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ience\Showcase\Publications\Varianta2\cz-P1-Intro\Validations\"/>
    </mc:Choice>
  </mc:AlternateContent>
  <xr:revisionPtr revIDLastSave="0" documentId="13_ncr:1_{8FE6449B-A0BA-40A3-A93A-EE9A0192259D}" xr6:coauthVersionLast="36" xr6:coauthVersionMax="36" xr10:uidLastSave="{00000000-0000-0000-0000-000000000000}"/>
  <bookViews>
    <workbookView xWindow="0" yWindow="0" windowWidth="23040" windowHeight="8772" activeTab="1" xr2:uid="{00000000-000D-0000-FFFF-FFFF00000000}"/>
  </bookViews>
  <sheets>
    <sheet name="Validation_ICP-MS" sheetId="3" r:id="rId1"/>
    <sheet name="Validation_LC-MS-MS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61" i="4" l="1"/>
  <c r="AB54" i="4"/>
  <c r="AB55" i="4"/>
  <c r="AB56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57" i="4"/>
  <c r="AA54" i="4"/>
  <c r="AA68" i="4"/>
  <c r="AA66" i="4"/>
  <c r="AA64" i="4"/>
  <c r="AA62" i="4"/>
  <c r="AA60" i="4"/>
  <c r="AA58" i="4"/>
  <c r="AA56" i="4"/>
  <c r="Y61" i="4"/>
  <c r="N68" i="4"/>
  <c r="N66" i="4"/>
  <c r="N64" i="4"/>
  <c r="N62" i="4"/>
  <c r="N60" i="4"/>
  <c r="N58" i="4"/>
  <c r="N56" i="4"/>
  <c r="O68" i="4"/>
  <c r="O66" i="4"/>
  <c r="O64" i="4"/>
  <c r="O62" i="4"/>
  <c r="O60" i="4"/>
  <c r="O58" i="4"/>
  <c r="O56" i="4"/>
  <c r="X66" i="3"/>
  <c r="X61" i="3"/>
  <c r="X56" i="3"/>
  <c r="X51" i="3"/>
  <c r="X46" i="3"/>
  <c r="T66" i="3"/>
  <c r="T61" i="3"/>
  <c r="T56" i="3"/>
  <c r="T51" i="3"/>
  <c r="T46" i="3"/>
  <c r="P66" i="3"/>
  <c r="P61" i="3"/>
  <c r="P56" i="3"/>
  <c r="P51" i="3"/>
  <c r="P46" i="3"/>
  <c r="AO91" i="3"/>
  <c r="AO89" i="3"/>
  <c r="AO87" i="3"/>
  <c r="AO85" i="3"/>
  <c r="AO83" i="3"/>
  <c r="AO81" i="3"/>
  <c r="AO79" i="3"/>
  <c r="AB91" i="3"/>
  <c r="AB89" i="3"/>
  <c r="AB87" i="3"/>
  <c r="AB85" i="3"/>
  <c r="AB83" i="3"/>
  <c r="AB81" i="3"/>
  <c r="AB79" i="3"/>
  <c r="O91" i="3"/>
  <c r="O89" i="3"/>
  <c r="O87" i="3"/>
  <c r="O85" i="3"/>
  <c r="O83" i="3"/>
  <c r="O81" i="3"/>
  <c r="O79" i="3"/>
  <c r="AC56" i="4" l="1"/>
  <c r="AG57" i="4" s="1"/>
  <c r="AC62" i="4"/>
  <c r="AG63" i="4" s="1"/>
  <c r="AC64" i="4"/>
  <c r="AG65" i="4" s="1"/>
  <c r="AC68" i="4"/>
  <c r="AG69" i="4" s="1"/>
  <c r="AC60" i="4"/>
  <c r="AG61" i="4" s="1"/>
  <c r="AC66" i="4"/>
  <c r="AG67" i="4" s="1"/>
  <c r="AC58" i="4"/>
  <c r="AG59" i="4" s="1"/>
  <c r="AC54" i="4"/>
  <c r="AG55" i="4" s="1"/>
  <c r="AG64" i="4" l="1"/>
  <c r="AG62" i="4"/>
  <c r="AG56" i="4"/>
  <c r="AG68" i="4"/>
  <c r="AG66" i="4"/>
  <c r="AG60" i="4"/>
  <c r="AG58" i="4"/>
  <c r="AG54" i="4"/>
  <c r="AL65" i="4" l="1"/>
  <c r="AB28" i="4"/>
  <c r="W24" i="4"/>
  <c r="W25" i="4"/>
  <c r="W26" i="4"/>
  <c r="W27" i="4"/>
  <c r="W28" i="4"/>
  <c r="W29" i="4"/>
  <c r="W30" i="4"/>
  <c r="W31" i="4"/>
  <c r="W23" i="4"/>
  <c r="O24" i="4"/>
  <c r="O25" i="4"/>
  <c r="O26" i="4"/>
  <c r="O27" i="4"/>
  <c r="O28" i="4"/>
  <c r="O29" i="4"/>
  <c r="O30" i="4"/>
  <c r="O31" i="4"/>
  <c r="O23" i="4"/>
  <c r="V24" i="4"/>
  <c r="V25" i="4"/>
  <c r="V26" i="4"/>
  <c r="V27" i="4"/>
  <c r="V28" i="4"/>
  <c r="V29" i="4"/>
  <c r="V30" i="4"/>
  <c r="V31" i="4"/>
  <c r="V23" i="4"/>
  <c r="AB27" i="4" l="1"/>
  <c r="AB29" i="4" s="1"/>
  <c r="AB30" i="4"/>
  <c r="AB26" i="4"/>
  <c r="AB24" i="4"/>
  <c r="AB25" i="4"/>
  <c r="V79" i="4" l="1"/>
  <c r="Q79" i="4"/>
  <c r="V78" i="4"/>
  <c r="V82" i="4" s="1"/>
  <c r="K85" i="4" s="1"/>
  <c r="Q78" i="4"/>
  <c r="Q82" i="4" s="1"/>
  <c r="K81" i="4" s="1"/>
  <c r="V77" i="4"/>
  <c r="V80" i="4" s="1"/>
  <c r="Q77" i="4"/>
  <c r="Q80" i="4" s="1"/>
  <c r="V81" i="4" l="1"/>
  <c r="K84" i="4" s="1"/>
  <c r="L85" i="4" s="1"/>
  <c r="Q81" i="4"/>
  <c r="K80" i="4" s="1"/>
  <c r="L81" i="4" s="1"/>
  <c r="AB103" i="3" l="1"/>
  <c r="W103" i="3"/>
  <c r="AB102" i="3"/>
  <c r="AB106" i="3" s="1"/>
  <c r="L113" i="3" s="1"/>
  <c r="W102" i="3"/>
  <c r="W106" i="3" s="1"/>
  <c r="L109" i="3" s="1"/>
  <c r="AB101" i="3"/>
  <c r="AB104" i="3" s="1"/>
  <c r="W101" i="3"/>
  <c r="W104" i="3" s="1"/>
  <c r="R102" i="3"/>
  <c r="R106" i="3" s="1"/>
  <c r="L105" i="3" s="1"/>
  <c r="R103" i="3"/>
  <c r="R101" i="3"/>
  <c r="R104" i="3" s="1"/>
  <c r="AL63" i="4"/>
  <c r="AL66" i="4" s="1"/>
  <c r="K64" i="4" s="1"/>
  <c r="AB105" i="3" l="1"/>
  <c r="L112" i="3" s="1"/>
  <c r="M113" i="3" s="1"/>
  <c r="W105" i="3"/>
  <c r="L108" i="3" s="1"/>
  <c r="M109" i="3" s="1"/>
  <c r="R105" i="3"/>
  <c r="L104" i="3" s="1"/>
  <c r="M105" i="3" s="1"/>
  <c r="Y63" i="4" l="1"/>
  <c r="Y66" i="4" s="1"/>
  <c r="K59" i="4" s="1"/>
  <c r="O59" i="4"/>
  <c r="O61" i="4"/>
  <c r="O63" i="4"/>
  <c r="O65" i="4"/>
  <c r="O67" i="4"/>
  <c r="O69" i="4"/>
  <c r="O57" i="4"/>
  <c r="O41" i="4"/>
  <c r="K42" i="4" s="1"/>
  <c r="P66" i="4" l="1"/>
  <c r="T66" i="4" s="1"/>
  <c r="P64" i="4"/>
  <c r="T64" i="4" s="1"/>
  <c r="P62" i="4"/>
  <c r="T62" i="4" s="1"/>
  <c r="P60" i="4"/>
  <c r="P56" i="4"/>
  <c r="P58" i="4"/>
  <c r="T59" i="4" s="1"/>
  <c r="P68" i="4"/>
  <c r="T68" i="4" s="1"/>
  <c r="Y60" i="4"/>
  <c r="Y59" i="4"/>
  <c r="L42" i="4"/>
  <c r="T65" i="4" l="1"/>
  <c r="T63" i="4"/>
  <c r="T58" i="4"/>
  <c r="Q56" i="4"/>
  <c r="R56" i="4" s="1"/>
  <c r="Q58" i="4"/>
  <c r="R58" i="4" s="1"/>
  <c r="Q68" i="4"/>
  <c r="R68" i="4" s="1"/>
  <c r="Q66" i="4"/>
  <c r="R66" i="4" s="1"/>
  <c r="Q64" i="4"/>
  <c r="R64" i="4" s="1"/>
  <c r="Q62" i="4"/>
  <c r="R62" i="4" s="1"/>
  <c r="Q60" i="4"/>
  <c r="T67" i="4"/>
  <c r="T57" i="4"/>
  <c r="T56" i="4"/>
  <c r="T69" i="4"/>
  <c r="R60" i="4"/>
  <c r="T60" i="4"/>
  <c r="T61" i="4"/>
  <c r="AL59" i="4"/>
  <c r="AL60" i="4"/>
  <c r="Y64" i="4" l="1"/>
  <c r="Y65" i="4"/>
  <c r="K58" i="4" s="1"/>
  <c r="L59" i="4" s="1"/>
  <c r="AD58" i="4"/>
  <c r="AE58" i="4" s="1"/>
  <c r="AD68" i="4"/>
  <c r="AE68" i="4" s="1"/>
  <c r="AD64" i="4"/>
  <c r="AE64" i="4" s="1"/>
  <c r="AD62" i="4"/>
  <c r="AE62" i="4" s="1"/>
  <c r="AD60" i="4"/>
  <c r="AE60" i="4" s="1"/>
  <c r="AD56" i="4"/>
  <c r="AE56" i="4" s="1"/>
  <c r="AD54" i="4"/>
  <c r="AE54" i="4" s="1"/>
  <c r="AD66" i="4"/>
  <c r="AE66" i="4" s="1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79" i="3"/>
  <c r="AZ82" i="3" s="1"/>
  <c r="AZ83" i="3"/>
  <c r="AZ85" i="3" s="1"/>
  <c r="AZ88" i="3" s="1"/>
  <c r="L91" i="3" s="1"/>
  <c r="AM83" i="3"/>
  <c r="Z83" i="3"/>
  <c r="AQ91" i="3" l="1"/>
  <c r="AL64" i="4"/>
  <c r="K63" i="4" s="1"/>
  <c r="L64" i="4" s="1"/>
  <c r="AQ89" i="3"/>
  <c r="AQ87" i="3"/>
  <c r="AU88" i="3" s="1"/>
  <c r="AU90" i="3"/>
  <c r="AU89" i="3"/>
  <c r="AU83" i="3"/>
  <c r="AU91" i="3"/>
  <c r="AU92" i="3"/>
  <c r="AQ81" i="3"/>
  <c r="AU81" i="3" s="1"/>
  <c r="AQ83" i="3"/>
  <c r="AU84" i="3" s="1"/>
  <c r="AQ79" i="3"/>
  <c r="AQ85" i="3"/>
  <c r="AZ81" i="3"/>
  <c r="AC80" i="3"/>
  <c r="AC81" i="3"/>
  <c r="AC82" i="3"/>
  <c r="AC83" i="3"/>
  <c r="AC84" i="3"/>
  <c r="AC85" i="3"/>
  <c r="AC86" i="3"/>
  <c r="AD85" i="3" s="1"/>
  <c r="AH86" i="3" s="1"/>
  <c r="AC87" i="3"/>
  <c r="AC88" i="3"/>
  <c r="AD87" i="3" s="1"/>
  <c r="AH87" i="3" s="1"/>
  <c r="AC89" i="3"/>
  <c r="AC90" i="3"/>
  <c r="AC91" i="3"/>
  <c r="AC92" i="3"/>
  <c r="AC79" i="3"/>
  <c r="AM85" i="3"/>
  <c r="AM88" i="3" s="1"/>
  <c r="L87" i="3" s="1"/>
  <c r="Z85" i="3"/>
  <c r="Z88" i="3" s="1"/>
  <c r="L83" i="3" s="1"/>
  <c r="AU87" i="3" l="1"/>
  <c r="AU82" i="3"/>
  <c r="AD91" i="3"/>
  <c r="AH92" i="3" s="1"/>
  <c r="AR89" i="3"/>
  <c r="AS89" i="3" s="1"/>
  <c r="AR91" i="3"/>
  <c r="AS91" i="3" s="1"/>
  <c r="AR87" i="3"/>
  <c r="AS87" i="3" s="1"/>
  <c r="AR85" i="3"/>
  <c r="AS85" i="3" s="1"/>
  <c r="AR79" i="3"/>
  <c r="AS79" i="3" s="1"/>
  <c r="AR83" i="3"/>
  <c r="AS83" i="3" s="1"/>
  <c r="AR81" i="3"/>
  <c r="AS81" i="3" s="1"/>
  <c r="AU79" i="3"/>
  <c r="AU80" i="3"/>
  <c r="AU86" i="3"/>
  <c r="AU85" i="3"/>
  <c r="AH85" i="3"/>
  <c r="AD79" i="3"/>
  <c r="AH80" i="3" s="1"/>
  <c r="AM81" i="3"/>
  <c r="AH88" i="3"/>
  <c r="AD81" i="3"/>
  <c r="AD83" i="3"/>
  <c r="AH83" i="3" s="1"/>
  <c r="AM82" i="3"/>
  <c r="AD89" i="3"/>
  <c r="AH91" i="3" l="1"/>
  <c r="AZ87" i="3"/>
  <c r="AZ86" i="3"/>
  <c r="L90" i="3" s="1"/>
  <c r="AH79" i="3"/>
  <c r="AE89" i="3"/>
  <c r="AF89" i="3" s="1"/>
  <c r="AH90" i="3"/>
  <c r="AE91" i="3"/>
  <c r="AF91" i="3" s="1"/>
  <c r="AH81" i="3"/>
  <c r="AE85" i="3"/>
  <c r="AF85" i="3" s="1"/>
  <c r="AE79" i="3"/>
  <c r="AF79" i="3" s="1"/>
  <c r="AE83" i="3"/>
  <c r="AF83" i="3" s="1"/>
  <c r="AH84" i="3"/>
  <c r="AE87" i="3"/>
  <c r="AF87" i="3" s="1"/>
  <c r="AH82" i="3"/>
  <c r="AE81" i="3"/>
  <c r="AF81" i="3" s="1"/>
  <c r="AH89" i="3"/>
  <c r="AM86" i="3" l="1"/>
  <c r="AM87" i="3"/>
  <c r="L86" i="3" l="1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79" i="3"/>
  <c r="Q87" i="3" l="1"/>
  <c r="U87" i="3" s="1"/>
  <c r="Q79" i="3"/>
  <c r="Z82" i="3"/>
  <c r="Z81" i="3"/>
  <c r="Q83" i="3"/>
  <c r="U84" i="3" s="1"/>
  <c r="Q85" i="3"/>
  <c r="U86" i="3" s="1"/>
  <c r="Q91" i="3"/>
  <c r="U92" i="3" s="1"/>
  <c r="M91" i="3" s="1"/>
  <c r="Q89" i="3"/>
  <c r="U90" i="3" s="1"/>
  <c r="Q81" i="3"/>
  <c r="U82" i="3" s="1"/>
  <c r="O45" i="4"/>
  <c r="K45" i="4" s="1"/>
  <c r="L45" i="4" s="1"/>
  <c r="U81" i="3" l="1"/>
  <c r="U83" i="3"/>
  <c r="U91" i="3"/>
  <c r="U88" i="3"/>
  <c r="R91" i="3"/>
  <c r="S91" i="3" s="1"/>
  <c r="U80" i="3"/>
  <c r="U79" i="3"/>
  <c r="U89" i="3"/>
  <c r="M87" i="3" s="1"/>
  <c r="U85" i="3"/>
  <c r="R87" i="3"/>
  <c r="S87" i="3" s="1"/>
  <c r="R89" i="3"/>
  <c r="S89" i="3" s="1"/>
  <c r="R81" i="3"/>
  <c r="S81" i="3" s="1"/>
  <c r="R83" i="3"/>
  <c r="S83" i="3" s="1"/>
  <c r="R85" i="3"/>
  <c r="S85" i="3" s="1"/>
  <c r="R79" i="3"/>
  <c r="S79" i="3" s="1"/>
  <c r="T28" i="4"/>
  <c r="N24" i="4"/>
  <c r="N25" i="4"/>
  <c r="N26" i="4"/>
  <c r="N27" i="4"/>
  <c r="N28" i="4"/>
  <c r="N29" i="4"/>
  <c r="N30" i="4"/>
  <c r="N31" i="4"/>
  <c r="N23" i="4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46" i="3"/>
  <c r="AK31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23" i="3"/>
  <c r="AC31" i="3"/>
  <c r="U31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23" i="3"/>
  <c r="Y66" i="3" l="1"/>
  <c r="L69" i="3" s="1"/>
  <c r="M69" i="3" s="1"/>
  <c r="U51" i="3"/>
  <c r="L58" i="3" s="1"/>
  <c r="M58" i="3" s="1"/>
  <c r="Q56" i="3"/>
  <c r="L51" i="3" s="1"/>
  <c r="M51" i="3" s="1"/>
  <c r="U66" i="3"/>
  <c r="L61" i="3" s="1"/>
  <c r="M61" i="3" s="1"/>
  <c r="Q46" i="3"/>
  <c r="L49" i="3" s="1"/>
  <c r="M49" i="3" s="1"/>
  <c r="Y46" i="3"/>
  <c r="L65" i="3" s="1"/>
  <c r="M65" i="3" s="1"/>
  <c r="Y61" i="3"/>
  <c r="L68" i="3" s="1"/>
  <c r="M68" i="3" s="1"/>
  <c r="U56" i="3"/>
  <c r="L59" i="3" s="1"/>
  <c r="M59" i="3" s="1"/>
  <c r="Q61" i="3"/>
  <c r="L52" i="3" s="1"/>
  <c r="M52" i="3" s="1"/>
  <c r="U46" i="3"/>
  <c r="L57" i="3" s="1"/>
  <c r="M57" i="3" s="1"/>
  <c r="Q51" i="3"/>
  <c r="L50" i="3" s="1"/>
  <c r="M50" i="3" s="1"/>
  <c r="U61" i="3"/>
  <c r="L60" i="3" s="1"/>
  <c r="M60" i="3" s="1"/>
  <c r="Y56" i="3"/>
  <c r="L67" i="3" s="1"/>
  <c r="M67" i="3" s="1"/>
  <c r="Q66" i="3"/>
  <c r="L53" i="3" s="1"/>
  <c r="M53" i="3" s="1"/>
  <c r="Y51" i="3"/>
  <c r="L66" i="3" s="1"/>
  <c r="M66" i="3" s="1"/>
  <c r="Z86" i="3"/>
  <c r="Z87" i="3"/>
  <c r="T27" i="4"/>
  <c r="T29" i="4" s="1"/>
  <c r="T30" i="4"/>
  <c r="T24" i="4"/>
  <c r="T25" i="4"/>
  <c r="T26" i="4"/>
  <c r="AK33" i="3"/>
  <c r="AC29" i="3"/>
  <c r="AC33" i="3"/>
  <c r="U27" i="3"/>
  <c r="U28" i="3"/>
  <c r="AC30" i="3"/>
  <c r="AC32" i="3" s="1"/>
  <c r="AC28" i="3"/>
  <c r="AK30" i="3"/>
  <c r="AK32" i="3" s="1"/>
  <c r="AC27" i="3"/>
  <c r="AK27" i="3"/>
  <c r="AK28" i="3"/>
  <c r="AK29" i="3"/>
  <c r="U29" i="3"/>
  <c r="U33" i="3"/>
  <c r="U30" i="3"/>
  <c r="U32" i="3" s="1"/>
  <c r="L26" i="3" s="1"/>
  <c r="L27" i="3" s="1"/>
  <c r="L82" i="3" l="1"/>
  <c r="M83" i="3" s="1"/>
  <c r="K30" i="4"/>
  <c r="K31" i="4" s="1"/>
  <c r="L30" i="3"/>
  <c r="L31" i="3" s="1"/>
  <c r="K26" i="4"/>
  <c r="K27" i="4" s="1"/>
  <c r="L34" i="3"/>
  <c r="L35" i="3" s="1"/>
</calcChain>
</file>

<file path=xl/sharedStrings.xml><?xml version="1.0" encoding="utf-8"?>
<sst xmlns="http://schemas.openxmlformats.org/spreadsheetml/2006/main" count="342" uniqueCount="105">
  <si>
    <t>raw data</t>
  </si>
  <si>
    <t>Reference:</t>
  </si>
  <si>
    <t>ICP-MS</t>
  </si>
  <si>
    <r>
      <t>V. Barwick (Ed),</t>
    </r>
    <r>
      <rPr>
        <i/>
        <sz val="11"/>
        <color theme="1"/>
        <rFont val="Calibri"/>
        <family val="2"/>
        <charset val="238"/>
        <scheme val="minor"/>
      </rPr>
      <t xml:space="preserve"> Eurachem/CITAC Guide: Guide to Quality in Analytical Chemistry: An Aid to Accreditation</t>
    </r>
    <r>
      <rPr>
        <sz val="11"/>
        <color theme="1"/>
        <rFont val="Calibri"/>
        <family val="2"/>
        <charset val="238"/>
        <scheme val="minor"/>
      </rPr>
      <t xml:space="preserve"> (3rd ed. 2016). ISBN 978-0-948926-32-7. Available from www.eurachem.org.</t>
    </r>
  </si>
  <si>
    <t xml:space="preserve">LOD = </t>
  </si>
  <si>
    <r>
      <rPr>
        <sz val="11"/>
        <rFont val="Calibri"/>
        <family val="2"/>
        <charset val="238"/>
        <scheme val="minor"/>
      </rPr>
      <t>(</t>
    </r>
    <r>
      <rPr>
        <b/>
        <i/>
        <sz val="11"/>
        <rFont val="Calibri"/>
        <family val="2"/>
        <charset val="238"/>
        <scheme val="minor"/>
      </rPr>
      <t>c</t>
    </r>
    <r>
      <rPr>
        <b/>
        <vertAlign val="subscript"/>
        <sz val="11"/>
        <rFont val="Calibri"/>
        <family val="2"/>
        <charset val="238"/>
        <scheme val="minor"/>
      </rPr>
      <t xml:space="preserve">i </t>
    </r>
    <r>
      <rPr>
        <sz val="11"/>
        <rFont val="Calibri"/>
        <family val="2"/>
        <charset val="238"/>
      </rPr>
      <t>−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c</t>
    </r>
    <r>
      <rPr>
        <b/>
        <vertAlign val="subscript"/>
        <sz val="11"/>
        <rFont val="Calibri"/>
        <family val="2"/>
        <charset val="238"/>
        <scheme val="minor"/>
      </rPr>
      <t>av</t>
    </r>
    <r>
      <rPr>
        <sz val="11"/>
        <rFont val="Calibri"/>
        <family val="2"/>
        <charset val="238"/>
        <scheme val="minor"/>
      </rPr>
      <t>)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</si>
  <si>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 xml:space="preserve">LOQ = </t>
  </si>
  <si>
    <r>
      <t>limit of detection (</t>
    </r>
    <r>
      <rPr>
        <b/>
        <sz val="18"/>
        <color theme="1"/>
        <rFont val="Calibri"/>
        <family val="2"/>
        <charset val="238"/>
        <scheme val="minor"/>
      </rPr>
      <t>LOD</t>
    </r>
    <r>
      <rPr>
        <sz val="18"/>
        <color theme="1"/>
        <rFont val="Calibri"/>
        <family val="2"/>
        <charset val="238"/>
        <scheme val="minor"/>
      </rPr>
      <t>) and limit of quantification (</t>
    </r>
    <r>
      <rPr>
        <b/>
        <sz val="18"/>
        <color theme="1"/>
        <rFont val="Calibri"/>
        <family val="2"/>
        <charset val="238"/>
        <scheme val="minor"/>
      </rPr>
      <t>LOQ</t>
    </r>
    <r>
      <rPr>
        <sz val="18"/>
        <color theme="1"/>
        <rFont val="Calibri"/>
        <family val="2"/>
        <charset val="238"/>
        <scheme val="minor"/>
      </rPr>
      <t>):</t>
    </r>
  </si>
  <si>
    <r>
      <rPr>
        <b/>
        <i/>
        <sz val="11"/>
        <color theme="1"/>
        <rFont val="Calibri"/>
        <family val="2"/>
        <charset val="238"/>
        <scheme val="minor"/>
      </rPr>
      <t>b</t>
    </r>
    <r>
      <rPr>
        <b/>
        <vertAlign val="subscript"/>
        <sz val="1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 xml:space="preserve"> (intercept)</t>
    </r>
  </si>
  <si>
    <r>
      <rPr>
        <b/>
        <i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(number of points)</t>
    </r>
  </si>
  <si>
    <r>
      <rPr>
        <b/>
        <i/>
        <sz val="11"/>
        <color theme="1"/>
        <rFont val="Calibri"/>
        <family val="2"/>
        <charset val="238"/>
        <scheme val="minor"/>
      </rP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av</t>
    </r>
    <r>
      <rPr>
        <sz val="11"/>
        <color theme="1"/>
        <rFont val="Calibri"/>
        <family val="2"/>
        <charset val="238"/>
        <scheme val="minor"/>
      </rPr>
      <t xml:space="preserve"> (concentration average) </t>
    </r>
  </si>
  <si>
    <r>
      <rPr>
        <b/>
        <i/>
        <sz val="11"/>
        <color theme="1"/>
        <rFont val="Calibri"/>
        <family val="2"/>
        <charset val="238"/>
        <scheme val="minor"/>
      </rP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1−</t>
    </r>
    <r>
      <rPr>
        <b/>
        <i/>
        <vertAlign val="subscript"/>
        <sz val="11"/>
        <color theme="1"/>
        <rFont val="Calibri"/>
        <family val="2"/>
        <charset val="238"/>
      </rPr>
      <t>α</t>
    </r>
    <r>
      <rPr>
        <vertAlign val="subscript"/>
        <sz val="11"/>
        <color theme="1"/>
        <rFont val="Calibri"/>
        <family val="2"/>
        <charset val="238"/>
        <scheme val="minor"/>
      </rPr>
      <t>;(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n</t>
    </r>
    <r>
      <rPr>
        <vertAlign val="subscript"/>
        <sz val="11"/>
        <color theme="1"/>
        <rFont val="Calibri"/>
        <family val="2"/>
        <charset val="238"/>
        <scheme val="minor"/>
      </rPr>
      <t>−2)</t>
    </r>
    <r>
      <rPr>
        <sz val="11"/>
        <color theme="1"/>
        <rFont val="Calibri"/>
        <family val="2"/>
        <charset val="238"/>
        <scheme val="minor"/>
      </rPr>
      <t xml:space="preserve"> (critical t-test value) </t>
    </r>
  </si>
  <si>
    <r>
      <rPr>
        <b/>
        <i/>
        <sz val="11"/>
        <color theme="1"/>
        <rFont val="Calibri"/>
        <family val="2"/>
        <charset val="238"/>
        <scheme val="minor"/>
      </rPr>
      <t>b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(slope)</t>
    </r>
  </si>
  <si>
    <t>calculations Lu</t>
  </si>
  <si>
    <t>parameters Lu</t>
  </si>
  <si>
    <t>calculations Yb</t>
  </si>
  <si>
    <t>parameters Yb</t>
  </si>
  <si>
    <t>calculations Tm</t>
  </si>
  <si>
    <t>parameters Tm</t>
  </si>
  <si>
    <t>repeatability Tm</t>
  </si>
  <si>
    <t>repeatability Yb</t>
  </si>
  <si>
    <t>rel. std. dev.</t>
  </si>
  <si>
    <t>std. dev.</t>
  </si>
  <si>
    <t>LC-MS/MS</t>
  </si>
  <si>
    <t>nM</t>
  </si>
  <si>
    <r>
      <t>Σ</t>
    </r>
    <r>
      <rPr>
        <sz val="11"/>
        <rFont val="Calibri"/>
        <family val="2"/>
        <charset val="238"/>
        <scheme val="minor"/>
      </rPr>
      <t xml:space="preserve"> (</t>
    </r>
    <r>
      <rPr>
        <b/>
        <i/>
        <sz val="11"/>
        <rFont val="Calibri"/>
        <family val="2"/>
        <charset val="238"/>
        <scheme val="minor"/>
      </rPr>
      <t>c</t>
    </r>
    <r>
      <rPr>
        <b/>
        <i/>
        <vertAlign val="subscript"/>
        <sz val="11"/>
        <rFont val="Calibri"/>
        <family val="2"/>
        <charset val="238"/>
        <scheme val="minor"/>
      </rPr>
      <t>i</t>
    </r>
    <r>
      <rPr>
        <b/>
        <vertAlign val="sub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</rPr>
      <t>−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c</t>
    </r>
    <r>
      <rPr>
        <b/>
        <vertAlign val="subscript"/>
        <sz val="11"/>
        <rFont val="Calibri"/>
        <family val="2"/>
        <charset val="238"/>
        <scheme val="minor"/>
      </rPr>
      <t>av</t>
    </r>
    <r>
      <rPr>
        <sz val="11"/>
        <rFont val="Calibri"/>
        <family val="2"/>
        <charset val="238"/>
        <scheme val="minor"/>
      </rPr>
      <t>)</t>
    </r>
    <r>
      <rPr>
        <vertAlign val="superscript"/>
        <sz val="11"/>
        <rFont val="Calibri"/>
        <family val="2"/>
        <charset val="238"/>
        <scheme val="minor"/>
      </rPr>
      <t>2</t>
    </r>
  </si>
  <si>
    <r>
      <rPr>
        <b/>
        <i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>, nM</t>
    </r>
  </si>
  <si>
    <r>
      <t>Lu</t>
    </r>
    <r>
      <rPr>
        <sz val="11"/>
        <color theme="1"/>
        <rFont val="Calibri"/>
        <family val="2"/>
        <charset val="238"/>
        <scheme val="minor"/>
      </rPr>
      <t>/</t>
    </r>
    <r>
      <rPr>
        <b/>
        <sz val="11"/>
        <color theme="1"/>
        <rFont val="Calibri"/>
        <family val="2"/>
        <charset val="238"/>
        <scheme val="minor"/>
      </rPr>
      <t>Y</t>
    </r>
  </si>
  <si>
    <r>
      <t>Yb</t>
    </r>
    <r>
      <rPr>
        <sz val="11"/>
        <color theme="1"/>
        <rFont val="Calibri"/>
        <family val="2"/>
        <charset val="238"/>
        <scheme val="minor"/>
      </rPr>
      <t>/</t>
    </r>
    <r>
      <rPr>
        <b/>
        <sz val="11"/>
        <color theme="1"/>
        <rFont val="Calibri"/>
        <family val="2"/>
        <charset val="238"/>
        <scheme val="minor"/>
      </rPr>
      <t>Y</t>
    </r>
  </si>
  <si>
    <r>
      <t>Tm</t>
    </r>
    <r>
      <rPr>
        <sz val="11"/>
        <color theme="1"/>
        <rFont val="Calibri"/>
        <family val="2"/>
        <charset val="238"/>
        <scheme val="minor"/>
      </rPr>
      <t>/</t>
    </r>
    <r>
      <rPr>
        <b/>
        <sz val="11"/>
        <color theme="1"/>
        <rFont val="Calibri"/>
        <family val="2"/>
        <charset val="238"/>
        <scheme val="minor"/>
      </rPr>
      <t>Y</t>
    </r>
  </si>
  <si>
    <r>
      <t>HO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CPh</t>
    </r>
    <r>
      <rPr>
        <sz val="11"/>
        <color theme="1"/>
        <rFont val="Calibri"/>
        <family val="2"/>
        <charset val="238"/>
        <scheme val="minor"/>
      </rPr>
      <t>{</t>
    </r>
    <r>
      <rPr>
        <b/>
        <sz val="11"/>
        <color theme="1"/>
        <rFont val="Calibri"/>
        <family val="2"/>
        <charset val="238"/>
        <scheme val="minor"/>
      </rPr>
      <t>Lu</t>
    </r>
    <r>
      <rPr>
        <sz val="11"/>
        <color theme="1"/>
        <rFont val="Calibri"/>
        <family val="2"/>
        <charset val="238"/>
        <scheme val="minor"/>
      </rPr>
      <t>}, nM</t>
    </r>
  </si>
  <si>
    <r>
      <t>HO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CPh</t>
    </r>
    <r>
      <rPr>
        <sz val="11"/>
        <color theme="1"/>
        <rFont val="Calibri"/>
        <family val="2"/>
        <charset val="238"/>
        <scheme val="minor"/>
      </rPr>
      <t>{</t>
    </r>
    <r>
      <rPr>
        <b/>
        <sz val="11"/>
        <color theme="1"/>
        <rFont val="Calibri"/>
        <family val="2"/>
        <charset val="238"/>
        <scheme val="minor"/>
      </rPr>
      <t>Tm</t>
    </r>
    <r>
      <rPr>
        <sz val="11"/>
        <color theme="1"/>
        <rFont val="Calibri"/>
        <family val="2"/>
        <charset val="238"/>
        <scheme val="minor"/>
      </rPr>
      <t>}, nM</t>
    </r>
  </si>
  <si>
    <r>
      <rPr>
        <b/>
        <sz val="18"/>
        <color theme="1"/>
        <rFont val="Calibri"/>
        <family val="2"/>
        <charset val="238"/>
        <scheme val="minor"/>
      </rPr>
      <t>repeatability</t>
    </r>
    <r>
      <rPr>
        <sz val="18"/>
        <color theme="1"/>
        <rFont val="Calibri"/>
        <family val="2"/>
        <charset val="238"/>
        <scheme val="minor"/>
      </rPr>
      <t xml:space="preserve"> (precision):</t>
    </r>
  </si>
  <si>
    <r>
      <rPr>
        <b/>
        <i/>
        <sz val="11"/>
        <rFont val="Calibri"/>
        <family val="2"/>
        <charset val="238"/>
        <scheme val="minor"/>
      </rPr>
      <t>y</t>
    </r>
    <r>
      <rPr>
        <b/>
        <i/>
        <vertAlign val="subscript"/>
        <sz val="11"/>
        <rFont val="Calibri"/>
        <family val="2"/>
        <charset val="238"/>
        <scheme val="minor"/>
      </rPr>
      <t>i</t>
    </r>
  </si>
  <si>
    <r>
      <rPr>
        <b/>
        <sz val="18"/>
        <color theme="1"/>
        <rFont val="Calibri"/>
        <family val="2"/>
        <charset val="238"/>
        <scheme val="minor"/>
      </rPr>
      <t>accuracy</t>
    </r>
    <r>
      <rPr>
        <sz val="18"/>
        <color theme="1"/>
        <rFont val="Calibri"/>
        <family val="2"/>
        <charset val="238"/>
        <scheme val="minor"/>
      </rPr>
      <t>:</t>
    </r>
  </si>
  <si>
    <r>
      <t xml:space="preserve">I </t>
    </r>
    <r>
      <rPr>
        <sz val="11"/>
        <rFont val="Calibri"/>
        <family val="2"/>
        <charset val="238"/>
      </rPr>
      <t>×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</t>
    </r>
    <r>
      <rPr>
        <b/>
        <i/>
        <sz val="11"/>
        <rFont val="Calibri"/>
        <family val="2"/>
        <charset val="238"/>
        <scheme val="minor"/>
      </rPr>
      <t>y</t>
    </r>
    <r>
      <rPr>
        <b/>
        <i/>
        <vertAlign val="subscript"/>
        <sz val="11"/>
        <rFont val="Calibri"/>
        <family val="2"/>
        <charset val="238"/>
        <scheme val="minor"/>
      </rPr>
      <t>i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</rPr>
      <t>−</t>
    </r>
    <r>
      <rPr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y</t>
    </r>
    <r>
      <rPr>
        <b/>
        <i/>
        <vertAlign val="subscript"/>
        <sz val="11"/>
        <rFont val="Calibri"/>
        <family val="2"/>
        <charset val="238"/>
        <scheme val="minor"/>
      </rPr>
      <t>reg,i</t>
    </r>
    <r>
      <rPr>
        <sz val="11"/>
        <rFont val="Calibri"/>
        <family val="2"/>
        <charset val="238"/>
        <scheme val="minor"/>
      </rPr>
      <t>)</t>
    </r>
    <r>
      <rPr>
        <b/>
        <i/>
        <vertAlign val="superscript"/>
        <sz val="11"/>
        <rFont val="Calibri"/>
        <family val="2"/>
        <charset val="238"/>
        <scheme val="minor"/>
      </rPr>
      <t>2</t>
    </r>
  </si>
  <si>
    <r>
      <t>y</t>
    </r>
    <r>
      <rPr>
        <b/>
        <i/>
        <vertAlign val="subscript"/>
        <sz val="11"/>
        <rFont val="Calibri"/>
        <family val="2"/>
        <charset val="238"/>
        <scheme val="minor"/>
      </rPr>
      <t>ij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</rPr>
      <t>−</t>
    </r>
    <r>
      <rPr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y</t>
    </r>
    <r>
      <rPr>
        <b/>
        <i/>
        <vertAlign val="subscript"/>
        <sz val="11"/>
        <rFont val="Calibri"/>
        <family val="2"/>
        <charset val="238"/>
        <scheme val="minor"/>
      </rPr>
      <t>i</t>
    </r>
  </si>
  <si>
    <r>
      <t>Σ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Σ</t>
    </r>
    <r>
      <rPr>
        <sz val="11"/>
        <rFont val="Calibri"/>
        <family val="2"/>
        <charset val="238"/>
        <scheme val="minor"/>
      </rPr>
      <t xml:space="preserve"> (</t>
    </r>
    <r>
      <rPr>
        <b/>
        <i/>
        <sz val="11"/>
        <rFont val="Calibri"/>
        <family val="2"/>
        <charset val="238"/>
        <scheme val="minor"/>
      </rPr>
      <t>y</t>
    </r>
    <r>
      <rPr>
        <b/>
        <i/>
        <vertAlign val="subscript"/>
        <sz val="11"/>
        <rFont val="Calibri"/>
        <family val="2"/>
        <charset val="238"/>
        <scheme val="minor"/>
      </rPr>
      <t>ij</t>
    </r>
    <r>
      <rPr>
        <b/>
        <vertAlign val="sub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</rPr>
      <t>−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y</t>
    </r>
    <r>
      <rPr>
        <b/>
        <i/>
        <vertAlign val="subscript"/>
        <sz val="11"/>
        <rFont val="Calibri"/>
        <family val="2"/>
        <charset val="238"/>
        <scheme val="minor"/>
      </rPr>
      <t>i</t>
    </r>
    <r>
      <rPr>
        <sz val="11"/>
        <rFont val="Calibri"/>
        <family val="2"/>
        <charset val="238"/>
        <scheme val="minor"/>
      </rPr>
      <t>)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</si>
  <si>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Y</t>
    </r>
    <r>
      <rPr>
        <b/>
        <i/>
        <vertAlign val="subscript"/>
        <sz val="11"/>
        <rFont val="Calibri"/>
        <family val="2"/>
        <charset val="238"/>
        <scheme val="minor"/>
      </rPr>
      <t>reg</t>
    </r>
    <r>
      <rPr>
        <vertAlign val="subscript"/>
        <sz val="11"/>
        <rFont val="Calibri"/>
        <family val="2"/>
        <charset val="238"/>
        <scheme val="minor"/>
      </rPr>
      <t>,</t>
    </r>
    <r>
      <rPr>
        <b/>
        <i/>
        <vertAlign val="subscript"/>
        <sz val="11"/>
        <rFont val="Calibri"/>
        <family val="2"/>
        <charset val="238"/>
        <scheme val="minor"/>
      </rPr>
      <t>i</t>
    </r>
  </si>
  <si>
    <r>
      <t>Σ</t>
    </r>
    <r>
      <rPr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I</t>
    </r>
    <r>
      <rPr>
        <sz val="11"/>
        <rFont val="Calibri"/>
        <family val="2"/>
        <charset val="238"/>
        <scheme val="minor"/>
      </rPr>
      <t xml:space="preserve"> × (</t>
    </r>
    <r>
      <rPr>
        <b/>
        <i/>
        <sz val="11"/>
        <rFont val="Calibri"/>
        <family val="2"/>
        <charset val="238"/>
        <scheme val="minor"/>
      </rPr>
      <t>y</t>
    </r>
    <r>
      <rPr>
        <b/>
        <i/>
        <vertAlign val="subscript"/>
        <sz val="11"/>
        <rFont val="Calibri"/>
        <family val="2"/>
        <charset val="238"/>
        <scheme val="minor"/>
      </rPr>
      <t>i</t>
    </r>
    <r>
      <rPr>
        <b/>
        <vertAlign val="sub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</rPr>
      <t>−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Y</t>
    </r>
    <r>
      <rPr>
        <b/>
        <i/>
        <vertAlign val="subscript"/>
        <sz val="11"/>
        <rFont val="Calibri"/>
        <family val="2"/>
        <charset val="238"/>
        <scheme val="minor"/>
      </rPr>
      <t>reg</t>
    </r>
    <r>
      <rPr>
        <vertAlign val="subscript"/>
        <sz val="11"/>
        <rFont val="Calibri"/>
        <family val="2"/>
        <charset val="238"/>
        <scheme val="minor"/>
      </rPr>
      <t>,</t>
    </r>
    <r>
      <rPr>
        <b/>
        <i/>
        <vertAlign val="subscript"/>
        <sz val="11"/>
        <rFont val="Calibri"/>
        <family val="2"/>
        <charset val="238"/>
        <scheme val="minor"/>
      </rPr>
      <t>i</t>
    </r>
    <r>
      <rPr>
        <sz val="11"/>
        <rFont val="Calibri"/>
        <family val="2"/>
        <charset val="238"/>
        <scheme val="minor"/>
      </rPr>
      <t>)</t>
    </r>
    <r>
      <rPr>
        <vertAlign val="superscript"/>
        <sz val="11"/>
        <rFont val="Calibri"/>
        <family val="2"/>
        <charset val="238"/>
        <scheme val="minor"/>
      </rPr>
      <t>2</t>
    </r>
  </si>
  <si>
    <r>
      <rPr>
        <b/>
        <i/>
        <sz val="11"/>
        <color theme="1"/>
        <rFont val="Calibri"/>
        <family val="2"/>
        <charset val="238"/>
        <scheme val="minor"/>
      </rPr>
      <t>F</t>
    </r>
    <r>
      <rPr>
        <b/>
        <vertAlign val="subscript"/>
        <sz val="11"/>
        <color theme="1"/>
        <rFont val="Calibri"/>
        <family val="2"/>
        <charset val="238"/>
        <scheme val="minor"/>
      </rPr>
      <t>1−</t>
    </r>
    <r>
      <rPr>
        <b/>
        <i/>
        <vertAlign val="subscript"/>
        <sz val="11"/>
        <color theme="1"/>
        <rFont val="Calibri"/>
        <family val="2"/>
        <charset val="238"/>
      </rPr>
      <t>α</t>
    </r>
    <r>
      <rPr>
        <vertAlign val="subscript"/>
        <sz val="11"/>
        <color theme="1"/>
        <rFont val="Calibri"/>
        <family val="2"/>
        <charset val="238"/>
        <scheme val="minor"/>
      </rPr>
      <t>;(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N</t>
    </r>
    <r>
      <rPr>
        <vertAlign val="subscript"/>
        <sz val="11"/>
        <color theme="1"/>
        <rFont val="Calibri"/>
        <family val="2"/>
        <charset val="238"/>
        <scheme val="minor"/>
      </rPr>
      <t>−2,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n</t>
    </r>
    <r>
      <rPr>
        <vertAlign val="subscript"/>
        <sz val="11"/>
        <color theme="1"/>
        <rFont val="Calibri"/>
        <family val="2"/>
        <charset val="238"/>
        <scheme val="minor"/>
      </rPr>
      <t>−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N</t>
    </r>
    <r>
      <rPr>
        <vertAlign val="subscript"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 (critical f-test value) </t>
    </r>
  </si>
  <si>
    <t>repeatability Lu:</t>
  </si>
  <si>
    <t>LOD and LOQ Lu:</t>
  </si>
  <si>
    <t>LOD and LOQ Yb:</t>
  </si>
  <si>
    <t>LOD and LOQ Tm:</t>
  </si>
  <si>
    <t>linearity Lu:</t>
  </si>
  <si>
    <t>linear:</t>
  </si>
  <si>
    <t>linearity Yb:</t>
  </si>
  <si>
    <t>linearity Tm:</t>
  </si>
  <si>
    <t>repeatable:</t>
  </si>
  <si>
    <r>
      <rPr>
        <b/>
        <i/>
        <sz val="11"/>
        <color theme="1"/>
        <rFont val="Calibri"/>
        <family val="2"/>
        <charset val="238"/>
        <scheme val="minor"/>
      </rPr>
      <t>F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=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</si>
  <si>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i/>
        <sz val="11"/>
        <color theme="1"/>
        <rFont val="Calibri"/>
        <family val="2"/>
        <charset val="238"/>
        <scheme val="minor"/>
      </rPr>
      <t>F</t>
    </r>
    <r>
      <rPr>
        <b/>
        <vertAlign val="subscript"/>
        <sz val="11"/>
        <color theme="1"/>
        <rFont val="Calibri"/>
        <family val="2"/>
        <charset val="238"/>
        <scheme val="minor"/>
      </rPr>
      <t>crit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=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</si>
  <si>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LOD </t>
    </r>
    <r>
      <rPr>
        <sz val="11"/>
        <color theme="1"/>
        <rFont val="Calibri"/>
        <family val="2"/>
        <charset val="238"/>
        <scheme val="minor"/>
      </rPr>
      <t>=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</si>
  <si>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LOQ </t>
    </r>
    <r>
      <rPr>
        <sz val="11"/>
        <color theme="1"/>
        <rFont val="Calibri"/>
        <family val="2"/>
        <charset val="238"/>
        <scheme val="minor"/>
      </rPr>
      <t>=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</si>
  <si>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LOD </t>
    </r>
    <r>
      <rPr>
        <sz val="11"/>
        <color theme="1"/>
        <rFont val="Calibri"/>
        <family val="2"/>
        <charset val="238"/>
        <scheme val="minor"/>
      </rPr>
      <t xml:space="preserve">= </t>
    </r>
  </si>
  <si>
    <r>
      <t>LOQ</t>
    </r>
    <r>
      <rPr>
        <sz val="11"/>
        <color theme="1"/>
        <rFont val="Calibri"/>
        <family val="2"/>
        <charset val="238"/>
        <scheme val="minor"/>
      </rPr>
      <t xml:space="preserve"> = </t>
    </r>
  </si>
  <si>
    <r>
      <rPr>
        <b/>
        <i/>
        <sz val="11"/>
        <color theme="1"/>
        <rFont val="Calibri"/>
        <family val="2"/>
        <charset val="238"/>
        <scheme val="minor"/>
      </rPr>
      <t>F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= </t>
    </r>
  </si>
  <si>
    <r>
      <rPr>
        <b/>
        <i/>
        <sz val="11"/>
        <color theme="1"/>
        <rFont val="Calibri"/>
        <family val="2"/>
        <charset val="238"/>
        <scheme val="minor"/>
      </rPr>
      <t>F</t>
    </r>
    <r>
      <rPr>
        <b/>
        <vertAlign val="subscript"/>
        <sz val="11"/>
        <color theme="1"/>
        <rFont val="Calibri"/>
        <family val="2"/>
        <charset val="238"/>
        <scheme val="minor"/>
      </rPr>
      <t>crit</t>
    </r>
    <r>
      <rPr>
        <sz val="11"/>
        <color theme="1"/>
        <rFont val="Calibri"/>
        <family val="2"/>
        <charset val="238"/>
        <scheme val="minor"/>
      </rPr>
      <t xml:space="preserve"> = </t>
    </r>
  </si>
  <si>
    <r>
      <rPr>
        <b/>
        <i/>
        <sz val="11"/>
        <color theme="1"/>
        <rFont val="Calibri"/>
        <family val="2"/>
        <charset val="238"/>
        <scheme val="minor"/>
      </rPr>
      <t>F</t>
    </r>
    <r>
      <rPr>
        <b/>
        <vertAlign val="subscript"/>
        <sz val="11"/>
        <color theme="1"/>
        <rFont val="Calibri"/>
        <family val="2"/>
        <charset val="238"/>
        <scheme val="minor"/>
      </rPr>
      <t>crit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= </t>
    </r>
  </si>
  <si>
    <t>calculation Lu</t>
  </si>
  <si>
    <t>calculation Tm</t>
  </si>
  <si>
    <r>
      <t>accuracy</t>
    </r>
    <r>
      <rPr>
        <sz val="18"/>
        <color theme="1"/>
        <rFont val="Calibri"/>
        <family val="2"/>
        <charset val="238"/>
        <scheme val="minor"/>
      </rPr>
      <t>:</t>
    </r>
  </si>
  <si>
    <t>accuracy Lu:</t>
  </si>
  <si>
    <t>acurate:</t>
  </si>
  <si>
    <r>
      <rPr>
        <b/>
        <i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(recovery)</t>
    </r>
  </si>
  <si>
    <r>
      <rPr>
        <b/>
        <i/>
        <sz val="11"/>
        <color theme="1"/>
        <rFont val="Calibri"/>
        <family val="2"/>
        <charset val="238"/>
        <scheme val="minor"/>
      </rPr>
      <t>s</t>
    </r>
    <r>
      <rPr>
        <b/>
        <vertAlign val="subscript"/>
        <sz val="11"/>
        <color theme="1"/>
        <rFont val="Calibri"/>
        <family val="2"/>
        <charset val="238"/>
        <scheme val="minor"/>
      </rPr>
      <t>yx</t>
    </r>
    <r>
      <rPr>
        <sz val="11"/>
        <color theme="1"/>
        <rFont val="Calibri"/>
        <family val="2"/>
        <charset val="238"/>
        <scheme val="minor"/>
      </rPr>
      <t xml:space="preserve"> (residual std. deviation) </t>
    </r>
  </si>
  <si>
    <r>
      <rPr>
        <b/>
        <i/>
        <sz val="11"/>
        <color theme="1"/>
        <rFont val="Calibri"/>
        <family val="2"/>
        <charset val="238"/>
        <scheme val="minor"/>
      </rPr>
      <t>sd</t>
    </r>
    <r>
      <rPr>
        <sz val="11"/>
        <color theme="1"/>
        <rFont val="Calibri"/>
        <family val="2"/>
        <charset val="238"/>
        <scheme val="minor"/>
      </rPr>
      <t xml:space="preserve"> (std. deviation) </t>
    </r>
  </si>
  <si>
    <r>
      <rPr>
        <b/>
        <i/>
        <sz val="11"/>
        <color theme="1"/>
        <rFont val="Calibri"/>
        <family val="2"/>
        <charset val="238"/>
        <scheme val="minor"/>
      </rP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1−</t>
    </r>
    <r>
      <rPr>
        <b/>
        <i/>
        <vertAlign val="subscript"/>
        <sz val="11"/>
        <color theme="1"/>
        <rFont val="Calibri"/>
        <family val="2"/>
        <charset val="238"/>
      </rPr>
      <t>α</t>
    </r>
    <r>
      <rPr>
        <vertAlign val="subscript"/>
        <sz val="11"/>
        <color theme="1"/>
        <rFont val="Calibri"/>
        <family val="2"/>
        <charset val="238"/>
        <scheme val="minor"/>
      </rPr>
      <t>;(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n</t>
    </r>
    <r>
      <rPr>
        <vertAlign val="subscript"/>
        <sz val="11"/>
        <color theme="1"/>
        <rFont val="Calibri"/>
        <family val="2"/>
        <charset val="238"/>
        <scheme val="minor"/>
      </rPr>
      <t>−1)</t>
    </r>
    <r>
      <rPr>
        <sz val="11"/>
        <color theme="1"/>
        <rFont val="Calibri"/>
        <family val="2"/>
        <charset val="238"/>
        <scheme val="minor"/>
      </rPr>
      <t xml:space="preserve"> (critical t-test value) </t>
    </r>
  </si>
  <si>
    <r>
      <rPr>
        <b/>
        <i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charset val="238"/>
        <scheme val="minor"/>
      </rPr>
      <t>(</t>
    </r>
    <r>
      <rPr>
        <b/>
        <i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>) (recovery uncertainty)</t>
    </r>
  </si>
  <si>
    <r>
      <rPr>
        <b/>
        <i/>
        <sz val="11"/>
        <color theme="1"/>
        <rFont val="Calibri"/>
        <family val="2"/>
        <charset val="238"/>
        <scheme val="minor"/>
      </rP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crit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=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</si>
  <si>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i/>
        <sz val="11"/>
        <color theme="1"/>
        <rFont val="Calibri"/>
        <family val="2"/>
        <charset val="238"/>
        <scheme val="minor"/>
      </rPr>
      <t>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=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</si>
  <si>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accuracy Tm:</t>
  </si>
  <si>
    <t>accuracy Yb:</t>
  </si>
  <si>
    <r>
      <t>HO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CPh</t>
    </r>
    <r>
      <rPr>
        <sz val="11"/>
        <color theme="1"/>
        <rFont val="Calibri"/>
        <family val="2"/>
        <charset val="238"/>
        <scheme val="minor"/>
      </rPr>
      <t>{</t>
    </r>
    <r>
      <rPr>
        <b/>
        <sz val="11"/>
        <color theme="1"/>
        <rFont val="Calibri"/>
        <family val="2"/>
        <charset val="238"/>
        <scheme val="minor"/>
      </rPr>
      <t>Lu</t>
    </r>
    <r>
      <rPr>
        <sz val="11"/>
        <color theme="1"/>
        <rFont val="Calibri"/>
        <family val="2"/>
        <charset val="238"/>
        <scheme val="minor"/>
      </rPr>
      <t>}</t>
    </r>
  </si>
  <si>
    <t>raw data (integration of peak area)</t>
  </si>
  <si>
    <r>
      <t>HO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CPh</t>
    </r>
    <r>
      <rPr>
        <sz val="11"/>
        <color theme="1"/>
        <rFont val="Calibri"/>
        <family val="2"/>
        <charset val="238"/>
        <scheme val="minor"/>
      </rPr>
      <t>{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>}</t>
    </r>
  </si>
  <si>
    <r>
      <t>HO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CPh</t>
    </r>
    <r>
      <rPr>
        <sz val="11"/>
        <color theme="1"/>
        <rFont val="Calibri"/>
        <family val="2"/>
        <charset val="238"/>
        <scheme val="minor"/>
      </rPr>
      <t>{</t>
    </r>
    <r>
      <rPr>
        <b/>
        <sz val="11"/>
        <color theme="1"/>
        <rFont val="Calibri"/>
        <family val="2"/>
        <charset val="238"/>
        <scheme val="minor"/>
      </rPr>
      <t>Tm</t>
    </r>
    <r>
      <rPr>
        <sz val="11"/>
        <color theme="1"/>
        <rFont val="Calibri"/>
        <family val="2"/>
        <charset val="238"/>
        <scheme val="minor"/>
      </rPr>
      <t>}</t>
    </r>
  </si>
  <si>
    <r>
      <rPr>
        <b/>
        <i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, ng </t>
    </r>
    <r>
      <rPr>
        <sz val="11"/>
        <color theme="1"/>
        <rFont val="Calibri"/>
        <family val="2"/>
        <charset val="238"/>
      </rPr>
      <t>×</t>
    </r>
    <r>
      <rPr>
        <sz val="11"/>
        <color theme="1"/>
        <rFont val="Calibri"/>
        <family val="2"/>
        <charset val="238"/>
        <scheme val="minor"/>
      </rPr>
      <t xml:space="preserve"> L</t>
    </r>
    <r>
      <rPr>
        <vertAlign val="superscript"/>
        <sz val="11"/>
        <color theme="1"/>
        <rFont val="Calibri"/>
        <family val="2"/>
      </rPr>
      <t>−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</si>
  <si>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r>
      <t>Accuracy was determined in presence of "Senonorm™ Trace elements in whole blood" reference material (with certified concentration of 1.2 ng × L</t>
    </r>
    <r>
      <rPr>
        <vertAlign val="superscript"/>
        <sz val="11"/>
        <rFont val="Calibri"/>
        <family val="2"/>
        <charset val="238"/>
        <scheme val="minor"/>
      </rPr>
      <t>−1</t>
    </r>
    <r>
      <rPr>
        <sz val="11"/>
        <rFont val="Calibri"/>
        <family val="2"/>
        <charset val="238"/>
        <scheme val="minor"/>
      </rPr>
      <t xml:space="preserve"> Lu</t>
    </r>
    <r>
      <rPr>
        <vertAlign val="superscript"/>
        <sz val="11"/>
        <rFont val="Calibri"/>
        <family val="2"/>
        <charset val="238"/>
        <scheme val="minor"/>
      </rPr>
      <t>3+</t>
    </r>
    <r>
      <rPr>
        <sz val="11"/>
        <rFont val="Calibri"/>
        <family val="2"/>
        <charset val="238"/>
        <scheme val="minor"/>
      </rPr>
      <t>, 8.6 ng × L</t>
    </r>
    <r>
      <rPr>
        <vertAlign val="superscript"/>
        <sz val="11"/>
        <rFont val="Calibri"/>
        <family val="2"/>
        <charset val="238"/>
        <scheme val="minor"/>
      </rPr>
      <t>−1</t>
    </r>
    <r>
      <rPr>
        <sz val="11"/>
        <rFont val="Calibri"/>
        <family val="2"/>
        <charset val="238"/>
        <scheme val="minor"/>
      </rPr>
      <t xml:space="preserve"> Yb</t>
    </r>
    <r>
      <rPr>
        <vertAlign val="superscript"/>
        <sz val="11"/>
        <rFont val="Calibri"/>
        <family val="2"/>
        <charset val="238"/>
        <scheme val="minor"/>
      </rPr>
      <t>3+</t>
    </r>
    <r>
      <rPr>
        <sz val="11"/>
        <rFont val="Calibri"/>
        <family val="2"/>
        <charset val="238"/>
        <scheme val="minor"/>
      </rPr>
      <t xml:space="preserve"> and 2.3 ng × L</t>
    </r>
    <r>
      <rPr>
        <vertAlign val="superscript"/>
        <sz val="11"/>
        <rFont val="Calibri"/>
        <family val="2"/>
        <charset val="238"/>
        <scheme val="minor"/>
      </rPr>
      <t>−1</t>
    </r>
    <r>
      <rPr>
        <sz val="11"/>
        <rFont val="Calibri"/>
        <family val="2"/>
        <charset val="238"/>
        <scheme val="minor"/>
      </rPr>
      <t xml:space="preserve"> Tm</t>
    </r>
    <r>
      <rPr>
        <vertAlign val="superscript"/>
        <sz val="11"/>
        <rFont val="Calibri"/>
        <family val="2"/>
        <charset val="238"/>
        <scheme val="minor"/>
      </rPr>
      <t>3+</t>
    </r>
    <r>
      <rPr>
        <sz val="11"/>
        <rFont val="Calibri"/>
        <family val="2"/>
        <charset val="238"/>
        <scheme val="minor"/>
      </rPr>
      <t>.</t>
    </r>
  </si>
  <si>
    <r>
      <rPr>
        <sz val="11"/>
        <color theme="1"/>
        <rFont val="Calibri"/>
        <family val="2"/>
        <charset val="238"/>
        <scheme val="minor"/>
      </rPr>
      <t xml:space="preserve">ng </t>
    </r>
    <r>
      <rPr>
        <sz val="11"/>
        <color theme="1"/>
        <rFont val="Calibri"/>
        <family val="2"/>
        <charset val="238"/>
      </rPr>
      <t>×</t>
    </r>
    <r>
      <rPr>
        <sz val="11"/>
        <color theme="1"/>
        <rFont val="Calibri"/>
        <family val="2"/>
        <charset val="238"/>
        <scheme val="minor"/>
      </rPr>
      <t xml:space="preserve"> L</t>
    </r>
    <r>
      <rPr>
        <vertAlign val="superscript"/>
        <sz val="11"/>
        <color theme="1"/>
        <rFont val="Calibri"/>
        <family val="2"/>
      </rPr>
      <t>−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</si>
  <si>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below LOQ</t>
  </si>
  <si>
    <r>
      <t xml:space="preserve">and </t>
    </r>
    <r>
      <rPr>
        <b/>
        <sz val="11"/>
        <color rgb="FF3264C8"/>
        <rFont val="Calibri"/>
        <family val="2"/>
        <charset val="238"/>
        <scheme val="minor"/>
      </rPr>
      <t>HO</t>
    </r>
    <r>
      <rPr>
        <b/>
        <vertAlign val="subscript"/>
        <sz val="11"/>
        <color rgb="FF3264C8"/>
        <rFont val="Calibri"/>
        <family val="2"/>
        <charset val="238"/>
        <scheme val="minor"/>
      </rPr>
      <t>2</t>
    </r>
    <r>
      <rPr>
        <b/>
        <sz val="11"/>
        <color rgb="FF3264C8"/>
        <rFont val="Calibri"/>
        <family val="2"/>
        <charset val="238"/>
        <scheme val="minor"/>
      </rPr>
      <t>CPh</t>
    </r>
    <r>
      <rPr>
        <sz val="11"/>
        <color rgb="FF3264C8"/>
        <rFont val="Calibri"/>
        <family val="2"/>
        <charset val="238"/>
        <scheme val="minor"/>
      </rPr>
      <t>{</t>
    </r>
    <r>
      <rPr>
        <b/>
        <sz val="11"/>
        <color rgb="FF3264C8"/>
        <rFont val="Calibri"/>
        <family val="2"/>
        <charset val="238"/>
        <scheme val="minor"/>
      </rPr>
      <t>Tm</t>
    </r>
    <r>
      <rPr>
        <sz val="11"/>
        <color rgb="FF3264C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were prepared by combining 4 µL of 50 nM stock solution mixture in matrix blanc with 2 µL of 1 µM </t>
    </r>
    <r>
      <rPr>
        <b/>
        <sz val="11"/>
        <color rgb="FFD4398C"/>
        <rFont val="Calibri"/>
        <family val="2"/>
        <charset val="238"/>
        <scheme val="minor"/>
      </rPr>
      <t>HO</t>
    </r>
    <r>
      <rPr>
        <b/>
        <vertAlign val="subscript"/>
        <sz val="11"/>
        <color rgb="FFD4398C"/>
        <rFont val="Calibri"/>
        <family val="2"/>
        <charset val="238"/>
        <scheme val="minor"/>
      </rPr>
      <t>2</t>
    </r>
    <r>
      <rPr>
        <b/>
        <sz val="11"/>
        <color rgb="FFD4398C"/>
        <rFont val="Calibri"/>
        <family val="2"/>
        <charset val="238"/>
        <scheme val="minor"/>
      </rPr>
      <t>CPh</t>
    </r>
    <r>
      <rPr>
        <sz val="11"/>
        <color rgb="FFD4398C"/>
        <rFont val="Calibri"/>
        <family val="2"/>
        <charset val="238"/>
        <scheme val="minor"/>
      </rPr>
      <t>{</t>
    </r>
    <r>
      <rPr>
        <b/>
        <sz val="11"/>
        <color rgb="FFD4398C"/>
        <rFont val="Calibri"/>
        <family val="2"/>
        <charset val="238"/>
        <scheme val="minor"/>
      </rPr>
      <t>Y</t>
    </r>
    <r>
      <rPr>
        <sz val="11"/>
        <color rgb="FFD4398C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internal standard solution and 14 µL of 10 mM NH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OAc diluent solution.</t>
    </r>
  </si>
  <si>
    <r>
      <t xml:space="preserve">1, 2 and 5 nM triplicate solutions of </t>
    </r>
    <r>
      <rPr>
        <b/>
        <sz val="11"/>
        <color rgb="FFED7608"/>
        <rFont val="Calibri"/>
        <family val="2"/>
        <charset val="238"/>
        <scheme val="minor"/>
      </rPr>
      <t>HO</t>
    </r>
    <r>
      <rPr>
        <b/>
        <vertAlign val="subscript"/>
        <sz val="11"/>
        <color rgb="FFED7608"/>
        <rFont val="Calibri"/>
        <family val="2"/>
        <charset val="238"/>
        <scheme val="minor"/>
      </rPr>
      <t>2</t>
    </r>
    <r>
      <rPr>
        <b/>
        <sz val="11"/>
        <color rgb="FFED7608"/>
        <rFont val="Calibri"/>
        <family val="2"/>
        <charset val="238"/>
        <scheme val="minor"/>
      </rPr>
      <t>CPh</t>
    </r>
    <r>
      <rPr>
        <sz val="11"/>
        <color rgb="FFED7608"/>
        <rFont val="Calibri"/>
        <family val="2"/>
        <charset val="238"/>
        <scheme val="minor"/>
      </rPr>
      <t>{</t>
    </r>
    <r>
      <rPr>
        <b/>
        <sz val="11"/>
        <color rgb="FFED7608"/>
        <rFont val="Calibri"/>
        <family val="2"/>
        <charset val="238"/>
        <scheme val="minor"/>
      </rPr>
      <t>Lu</t>
    </r>
    <r>
      <rPr>
        <sz val="11"/>
        <color rgb="FFED760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and </t>
    </r>
    <r>
      <rPr>
        <b/>
        <sz val="11"/>
        <color rgb="FF3264C8"/>
        <rFont val="Calibri"/>
        <family val="2"/>
        <charset val="238"/>
        <scheme val="minor"/>
      </rPr>
      <t>HO</t>
    </r>
    <r>
      <rPr>
        <b/>
        <vertAlign val="subscript"/>
        <sz val="11"/>
        <color rgb="FF3264C8"/>
        <rFont val="Calibri"/>
        <family val="2"/>
        <charset val="238"/>
        <scheme val="minor"/>
      </rPr>
      <t>2</t>
    </r>
    <r>
      <rPr>
        <b/>
        <sz val="11"/>
        <color rgb="FF3264C8"/>
        <rFont val="Calibri"/>
        <family val="2"/>
        <charset val="238"/>
        <scheme val="minor"/>
      </rPr>
      <t>CPh</t>
    </r>
    <r>
      <rPr>
        <sz val="11"/>
        <color rgb="FF3264C8"/>
        <rFont val="Calibri"/>
        <family val="2"/>
        <charset val="238"/>
        <scheme val="minor"/>
      </rPr>
      <t>{</t>
    </r>
    <r>
      <rPr>
        <b/>
        <sz val="11"/>
        <color rgb="FF3264C8"/>
        <rFont val="Calibri"/>
        <family val="2"/>
        <charset val="238"/>
        <scheme val="minor"/>
      </rPr>
      <t>Tm</t>
    </r>
    <r>
      <rPr>
        <sz val="11"/>
        <color rgb="FF3264C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were prepared by combining 2, 4 and 10 µL of 10 nM stock solution mixture with 4 µL of </t>
    </r>
    <r>
      <rPr>
        <b/>
        <sz val="11"/>
        <color rgb="FF6F561F"/>
        <rFont val="Calibri"/>
        <family val="2"/>
        <charset val="238"/>
        <scheme val="minor"/>
      </rPr>
      <t>matrix blanc</t>
    </r>
    <r>
      <rPr>
        <b/>
        <sz val="11"/>
        <color theme="1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charset val="238"/>
        <scheme val="minor"/>
      </rPr>
      <t xml:space="preserve"> 2 µL of 1 µM </t>
    </r>
    <r>
      <rPr>
        <b/>
        <sz val="11"/>
        <color rgb="FFD4398C"/>
        <rFont val="Calibri"/>
        <family val="2"/>
        <charset val="238"/>
        <scheme val="minor"/>
      </rPr>
      <t>HO</t>
    </r>
    <r>
      <rPr>
        <b/>
        <vertAlign val="subscript"/>
        <sz val="11"/>
        <color rgb="FFD4398C"/>
        <rFont val="Calibri"/>
        <family val="2"/>
        <charset val="238"/>
        <scheme val="minor"/>
      </rPr>
      <t>2</t>
    </r>
    <r>
      <rPr>
        <b/>
        <sz val="11"/>
        <color rgb="FFD4398C"/>
        <rFont val="Calibri"/>
        <family val="2"/>
        <charset val="238"/>
        <scheme val="minor"/>
      </rPr>
      <t>CPh</t>
    </r>
    <r>
      <rPr>
        <sz val="11"/>
        <color rgb="FFD4398C"/>
        <rFont val="Calibri"/>
        <family val="2"/>
        <charset val="238"/>
        <scheme val="minor"/>
      </rPr>
      <t>{</t>
    </r>
    <r>
      <rPr>
        <b/>
        <sz val="11"/>
        <color rgb="FFD4398C"/>
        <rFont val="Calibri"/>
        <family val="2"/>
        <charset val="238"/>
        <scheme val="minor"/>
      </rPr>
      <t>Y</t>
    </r>
    <r>
      <rPr>
        <sz val="11"/>
        <color rgb="FFD4398C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internal standard solution and 12, 10 and 4 µL of 10 mM NH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OAc diluent solution.</t>
    </r>
  </si>
  <si>
    <r>
      <rPr>
        <b/>
        <vertAlign val="superscript"/>
        <sz val="11"/>
        <color theme="1"/>
        <rFont val="Calibri"/>
        <family val="2"/>
        <charset val="238"/>
        <scheme val="minor"/>
      </rPr>
      <t>175</t>
    </r>
    <r>
      <rPr>
        <b/>
        <sz val="11"/>
        <color theme="1"/>
        <rFont val="Calibri"/>
        <family val="2"/>
        <charset val="238"/>
        <scheme val="minor"/>
      </rPr>
      <t>Lu</t>
    </r>
    <r>
      <rPr>
        <sz val="11"/>
        <color theme="1"/>
        <rFont val="Calibri"/>
        <family val="2"/>
        <charset val="238"/>
        <scheme val="minor"/>
      </rPr>
      <t>, cps</t>
    </r>
  </si>
  <si>
    <r>
      <rPr>
        <b/>
        <vertAlign val="superscript"/>
        <sz val="11"/>
        <color theme="1"/>
        <rFont val="Calibri"/>
        <family val="2"/>
        <charset val="238"/>
        <scheme val="minor"/>
      </rPr>
      <t>174</t>
    </r>
    <r>
      <rPr>
        <b/>
        <sz val="11"/>
        <color theme="1"/>
        <rFont val="Calibri"/>
        <family val="2"/>
        <charset val="238"/>
        <scheme val="minor"/>
      </rPr>
      <t>Yb</t>
    </r>
    <r>
      <rPr>
        <sz val="11"/>
        <color theme="1"/>
        <rFont val="Calibri"/>
        <family val="2"/>
        <charset val="238"/>
        <scheme val="minor"/>
      </rPr>
      <t>, cps</t>
    </r>
  </si>
  <si>
    <r>
      <rPr>
        <b/>
        <vertAlign val="superscript"/>
        <sz val="11"/>
        <color theme="1"/>
        <rFont val="Calibri"/>
        <family val="2"/>
        <charset val="238"/>
        <scheme val="minor"/>
      </rPr>
      <t>169</t>
    </r>
    <r>
      <rPr>
        <b/>
        <sz val="11"/>
        <color theme="1"/>
        <rFont val="Calibri"/>
        <family val="2"/>
        <charset val="238"/>
        <scheme val="minor"/>
      </rPr>
      <t>Tm</t>
    </r>
    <r>
      <rPr>
        <sz val="11"/>
        <color theme="1"/>
        <rFont val="Calibri"/>
        <family val="2"/>
        <charset val="238"/>
        <scheme val="minor"/>
      </rPr>
      <t>, cps</t>
    </r>
  </si>
  <si>
    <r>
      <t>Blood samples were first diluted 20</t>
    </r>
    <r>
      <rPr>
        <sz val="11"/>
        <rFont val="Calibri"/>
        <family val="2"/>
        <charset val="238"/>
      </rPr>
      <t>×</t>
    </r>
    <r>
      <rPr>
        <sz val="11"/>
        <rFont val="Calibri"/>
        <family val="2"/>
        <charset val="238"/>
        <scheme val="minor"/>
      </rPr>
      <t xml:space="preserve"> (resulting Lu, Yb and Tm content lower then LOQ) followed by adition of </t>
    </r>
    <r>
      <rPr>
        <b/>
        <sz val="11"/>
        <color rgb="FFED7608"/>
        <rFont val="Calibri"/>
        <family val="2"/>
        <charset val="238"/>
        <scheme val="minor"/>
      </rPr>
      <t>Lu</t>
    </r>
    <r>
      <rPr>
        <sz val="11"/>
        <color rgb="FFED7608"/>
        <rFont val="Calibri"/>
        <family val="2"/>
        <charset val="238"/>
        <scheme val="minor"/>
      </rPr>
      <t>(</t>
    </r>
    <r>
      <rPr>
        <b/>
        <sz val="11"/>
        <color rgb="FFED7608"/>
        <rFont val="Calibri"/>
        <family val="2"/>
        <charset val="238"/>
        <scheme val="minor"/>
      </rPr>
      <t>NO</t>
    </r>
    <r>
      <rPr>
        <b/>
        <vertAlign val="subscript"/>
        <sz val="11"/>
        <color rgb="FFED7608"/>
        <rFont val="Calibri"/>
        <family val="2"/>
        <charset val="238"/>
        <scheme val="minor"/>
      </rPr>
      <t>3</t>
    </r>
    <r>
      <rPr>
        <sz val="11"/>
        <color rgb="FFED7608"/>
        <rFont val="Calibri"/>
        <family val="2"/>
        <charset val="238"/>
        <scheme val="minor"/>
      </rPr>
      <t>)</t>
    </r>
    <r>
      <rPr>
        <b/>
        <vertAlign val="subscript"/>
        <sz val="11"/>
        <color rgb="FFED7608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, </t>
    </r>
    <r>
      <rPr>
        <b/>
        <sz val="11"/>
        <color rgb="FF669933"/>
        <rFont val="Calibri"/>
        <family val="2"/>
        <charset val="238"/>
        <scheme val="minor"/>
      </rPr>
      <t>Yb</t>
    </r>
    <r>
      <rPr>
        <sz val="11"/>
        <color rgb="FF669933"/>
        <rFont val="Calibri"/>
        <family val="2"/>
        <charset val="238"/>
        <scheme val="minor"/>
      </rPr>
      <t>(</t>
    </r>
    <r>
      <rPr>
        <b/>
        <sz val="11"/>
        <color rgb="FF669933"/>
        <rFont val="Calibri"/>
        <family val="2"/>
        <charset val="238"/>
        <scheme val="minor"/>
      </rPr>
      <t>NO</t>
    </r>
    <r>
      <rPr>
        <b/>
        <vertAlign val="subscript"/>
        <sz val="11"/>
        <color rgb="FF669933"/>
        <rFont val="Calibri"/>
        <family val="2"/>
        <charset val="238"/>
        <scheme val="minor"/>
      </rPr>
      <t>3</t>
    </r>
    <r>
      <rPr>
        <sz val="11"/>
        <color rgb="FF669933"/>
        <rFont val="Calibri"/>
        <family val="2"/>
        <charset val="238"/>
        <scheme val="minor"/>
      </rPr>
      <t>)</t>
    </r>
    <r>
      <rPr>
        <b/>
        <vertAlign val="subscript"/>
        <sz val="11"/>
        <color rgb="FF669933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and </t>
    </r>
    <r>
      <rPr>
        <b/>
        <sz val="11"/>
        <color rgb="FF3264C8"/>
        <rFont val="Calibri"/>
        <family val="2"/>
        <charset val="238"/>
        <scheme val="minor"/>
      </rPr>
      <t>Tm</t>
    </r>
    <r>
      <rPr>
        <sz val="11"/>
        <color rgb="FF3264C8"/>
        <rFont val="Calibri"/>
        <family val="2"/>
        <charset val="238"/>
        <scheme val="minor"/>
      </rPr>
      <t>(</t>
    </r>
    <r>
      <rPr>
        <b/>
        <sz val="11"/>
        <color rgb="FF3264C8"/>
        <rFont val="Calibri"/>
        <family val="2"/>
        <charset val="238"/>
        <scheme val="minor"/>
      </rPr>
      <t>NO</t>
    </r>
    <r>
      <rPr>
        <b/>
        <vertAlign val="subscript"/>
        <sz val="11"/>
        <color rgb="FF3264C8"/>
        <rFont val="Calibri"/>
        <family val="2"/>
        <charset val="238"/>
        <scheme val="minor"/>
      </rPr>
      <t>3</t>
    </r>
    <r>
      <rPr>
        <sz val="11"/>
        <color rgb="FF3264C8"/>
        <rFont val="Calibri"/>
        <family val="2"/>
        <charset val="238"/>
        <scheme val="minor"/>
      </rPr>
      <t>)</t>
    </r>
    <r>
      <rPr>
        <b/>
        <vertAlign val="subscript"/>
        <sz val="11"/>
        <color rgb="FF3264C8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analytes to reach 250 ng × L</t>
    </r>
    <r>
      <rPr>
        <vertAlign val="superscript"/>
        <sz val="11"/>
        <rFont val="Calibri"/>
        <family val="2"/>
        <charset val="238"/>
        <scheme val="minor"/>
      </rPr>
      <t>−1</t>
    </r>
    <r>
      <rPr>
        <sz val="11"/>
        <rFont val="Calibri"/>
        <family val="2"/>
        <charset val="238"/>
        <scheme val="minor"/>
      </rPr>
      <t xml:space="preserve"> final concentration of the analytes.</t>
    </r>
  </si>
  <si>
    <r>
      <rPr>
        <b/>
        <vertAlign val="superscript"/>
        <sz val="11"/>
        <color theme="1"/>
        <rFont val="Calibri"/>
        <family val="2"/>
        <charset val="238"/>
        <scheme val="minor"/>
      </rPr>
      <t>89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>, cps</t>
    </r>
  </si>
  <si>
    <r>
      <rPr>
        <b/>
        <sz val="18"/>
        <color theme="1"/>
        <rFont val="Calibri"/>
        <family val="2"/>
        <charset val="238"/>
        <scheme val="minor"/>
      </rPr>
      <t>linearity</t>
    </r>
    <r>
      <rPr>
        <sz val="18"/>
        <color theme="1"/>
        <rFont val="Calibri"/>
        <family val="2"/>
        <charset val="238"/>
        <scheme val="minor"/>
      </rPr>
      <t xml:space="preserve"> (2</t>
    </r>
    <r>
      <rPr>
        <sz val="18"/>
        <color theme="1"/>
        <rFont val="Calibri"/>
        <family val="2"/>
        <charset val="238"/>
      </rPr>
      <t>‒</t>
    </r>
    <r>
      <rPr>
        <sz val="18"/>
        <color theme="1"/>
        <rFont val="Calibri"/>
        <family val="2"/>
        <charset val="238"/>
        <scheme val="minor"/>
      </rPr>
      <t xml:space="preserve">1000 nM range for </t>
    </r>
    <r>
      <rPr>
        <b/>
        <sz val="18"/>
        <color theme="1"/>
        <rFont val="Calibri"/>
        <family val="2"/>
        <charset val="238"/>
        <scheme val="minor"/>
      </rPr>
      <t>HO</t>
    </r>
    <r>
      <rPr>
        <b/>
        <vertAlign val="subscript"/>
        <sz val="18"/>
        <color theme="1"/>
        <rFont val="Calibri"/>
        <family val="2"/>
        <charset val="238"/>
        <scheme val="minor"/>
      </rPr>
      <t>2</t>
    </r>
    <r>
      <rPr>
        <b/>
        <sz val="18"/>
        <color theme="1"/>
        <rFont val="Calibri"/>
        <family val="2"/>
        <charset val="238"/>
        <scheme val="minor"/>
      </rPr>
      <t>CPh</t>
    </r>
    <r>
      <rPr>
        <sz val="18"/>
        <color theme="1"/>
        <rFont val="Calibri"/>
        <family val="2"/>
        <charset val="238"/>
        <scheme val="minor"/>
      </rPr>
      <t>{</t>
    </r>
    <r>
      <rPr>
        <b/>
        <sz val="18"/>
        <color theme="1"/>
        <rFont val="Calibri"/>
        <family val="2"/>
        <charset val="238"/>
        <scheme val="minor"/>
      </rPr>
      <t>Lu</t>
    </r>
    <r>
      <rPr>
        <sz val="18"/>
        <color theme="1"/>
        <rFont val="Calibri"/>
        <family val="2"/>
        <charset val="238"/>
        <scheme val="minor"/>
      </rPr>
      <t xml:space="preserve">} and 1‒1000 nM range for </t>
    </r>
    <r>
      <rPr>
        <b/>
        <sz val="18"/>
        <color theme="1"/>
        <rFont val="Calibri"/>
        <family val="2"/>
        <charset val="238"/>
        <scheme val="minor"/>
      </rPr>
      <t>HO</t>
    </r>
    <r>
      <rPr>
        <b/>
        <vertAlign val="subscript"/>
        <sz val="18"/>
        <color theme="1"/>
        <rFont val="Calibri"/>
        <family val="2"/>
        <charset val="238"/>
        <scheme val="minor"/>
      </rPr>
      <t>2</t>
    </r>
    <r>
      <rPr>
        <b/>
        <sz val="18"/>
        <color theme="1"/>
        <rFont val="Calibri"/>
        <family val="2"/>
        <charset val="238"/>
        <scheme val="minor"/>
      </rPr>
      <t>CPh</t>
    </r>
    <r>
      <rPr>
        <sz val="18"/>
        <color theme="1"/>
        <rFont val="Calibri"/>
        <family val="2"/>
        <charset val="238"/>
        <scheme val="minor"/>
      </rPr>
      <t>{</t>
    </r>
    <r>
      <rPr>
        <b/>
        <sz val="18"/>
        <color theme="1"/>
        <rFont val="Calibri"/>
        <family val="2"/>
        <charset val="238"/>
        <scheme val="minor"/>
      </rPr>
      <t>Tm</t>
    </r>
    <r>
      <rPr>
        <sz val="18"/>
        <color theme="1"/>
        <rFont val="Calibri"/>
        <family val="2"/>
        <charset val="238"/>
        <scheme val="minor"/>
      </rPr>
      <t>}):</t>
    </r>
  </si>
  <si>
    <r>
      <rPr>
        <b/>
        <sz val="18"/>
        <color theme="1"/>
        <rFont val="Calibri"/>
        <family val="2"/>
        <charset val="238"/>
        <scheme val="minor"/>
      </rPr>
      <t>linearity</t>
    </r>
    <r>
      <rPr>
        <sz val="18"/>
        <color theme="1"/>
        <rFont val="Calibri"/>
        <family val="2"/>
        <charset val="238"/>
        <scheme val="minor"/>
      </rPr>
      <t xml:space="preserve"> (0.5</t>
    </r>
    <r>
      <rPr>
        <sz val="18"/>
        <color theme="1"/>
        <rFont val="Calibri"/>
        <family val="2"/>
        <charset val="238"/>
      </rPr>
      <t>‒</t>
    </r>
    <r>
      <rPr>
        <sz val="18"/>
        <color theme="1"/>
        <rFont val="Calibri"/>
        <family val="2"/>
        <charset val="238"/>
        <scheme val="minor"/>
      </rPr>
      <t xml:space="preserve">500 ng </t>
    </r>
    <r>
      <rPr>
        <sz val="18"/>
        <color theme="1"/>
        <rFont val="Calibri"/>
        <family val="2"/>
        <charset val="238"/>
      </rPr>
      <t>×</t>
    </r>
    <r>
      <rPr>
        <sz val="18"/>
        <color theme="1"/>
        <rFont val="Calibri"/>
        <family val="2"/>
        <charset val="238"/>
        <scheme val="minor"/>
      </rPr>
      <t xml:space="preserve"> L</t>
    </r>
    <r>
      <rPr>
        <vertAlign val="superscript"/>
        <sz val="18"/>
        <color theme="1"/>
        <rFont val="Calibri"/>
        <family val="2"/>
        <charset val="238"/>
        <scheme val="minor"/>
      </rPr>
      <t>−1</t>
    </r>
    <r>
      <rPr>
        <sz val="18"/>
        <color theme="1"/>
        <rFont val="Calibri"/>
        <family val="2"/>
        <charset val="238"/>
        <scheme val="minor"/>
      </rPr>
      <t xml:space="preserve"> range):</t>
    </r>
  </si>
  <si>
    <r>
      <t xml:space="preserve">Pentaplicate solutions of </t>
    </r>
    <r>
      <rPr>
        <b/>
        <sz val="11"/>
        <color rgb="FFED7608"/>
        <rFont val="Calibri"/>
        <family val="2"/>
        <charset val="238"/>
        <scheme val="minor"/>
      </rPr>
      <t>Lu</t>
    </r>
    <r>
      <rPr>
        <b/>
        <vertAlign val="superscript"/>
        <sz val="11"/>
        <color rgb="FFED7608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rgb="FF669933"/>
        <rFont val="Calibri"/>
        <family val="2"/>
        <charset val="238"/>
        <scheme val="minor"/>
      </rPr>
      <t>Yb</t>
    </r>
    <r>
      <rPr>
        <b/>
        <vertAlign val="superscript"/>
        <sz val="11"/>
        <color rgb="FF669933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 and </t>
    </r>
    <r>
      <rPr>
        <b/>
        <sz val="11"/>
        <color rgb="FF3264C8"/>
        <rFont val="Calibri"/>
        <family val="2"/>
        <charset val="238"/>
        <scheme val="minor"/>
      </rPr>
      <t>Tm</t>
    </r>
    <r>
      <rPr>
        <b/>
        <vertAlign val="superscript"/>
        <sz val="11"/>
        <color rgb="FF3264C8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 (all in form of nitrate) in concentration range of 0.5 and 1.0 ng × L</t>
    </r>
    <r>
      <rPr>
        <vertAlign val="superscript"/>
        <sz val="11"/>
        <color theme="1"/>
        <rFont val="Calibri"/>
        <family val="2"/>
        <charset val="238"/>
        <scheme val="minor"/>
      </rPr>
      <t>−1</t>
    </r>
    <r>
      <rPr>
        <sz val="11"/>
        <color theme="1"/>
        <rFont val="Calibri"/>
        <family val="2"/>
        <charset val="238"/>
        <scheme val="minor"/>
      </rPr>
      <t xml:space="preserve"> were prepared by dilution of 1 ng × L</t>
    </r>
    <r>
      <rPr>
        <vertAlign val="superscript"/>
        <sz val="11"/>
        <color theme="1"/>
        <rFont val="Calibri"/>
        <family val="2"/>
        <charset val="238"/>
        <scheme val="minor"/>
      </rPr>
      <t>−1</t>
    </r>
    <r>
      <rPr>
        <sz val="11"/>
        <color theme="1"/>
        <rFont val="Calibri"/>
        <family val="2"/>
        <charset val="238"/>
        <scheme val="minor"/>
      </rPr>
      <t xml:space="preserve"> stock solutions in a matrix blank (2% HNO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) with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b/>
        <vertAlign val="superscript"/>
        <sz val="11"/>
        <color theme="1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 (in form of nitrate) internal standard solution.</t>
    </r>
  </si>
  <si>
    <r>
      <t xml:space="preserve">5; 10; 50; 100; and 500 ng </t>
    </r>
    <r>
      <rPr>
        <sz val="11"/>
        <color theme="1"/>
        <rFont val="Calibri"/>
        <family val="2"/>
        <charset val="238"/>
      </rPr>
      <t xml:space="preserve">× </t>
    </r>
    <r>
      <rPr>
        <sz val="11"/>
        <color theme="1"/>
        <rFont val="Calibri"/>
        <family val="2"/>
        <charset val="238"/>
        <scheme val="minor"/>
      </rPr>
      <t>L</t>
    </r>
    <r>
      <rPr>
        <vertAlign val="superscript"/>
        <sz val="11"/>
        <color theme="1"/>
        <rFont val="Calibri"/>
        <family val="2"/>
        <charset val="238"/>
        <scheme val="minor"/>
      </rPr>
      <t>−1</t>
    </r>
    <r>
      <rPr>
        <sz val="11"/>
        <color theme="1"/>
        <rFont val="Calibri"/>
        <family val="2"/>
        <charset val="238"/>
        <scheme val="minor"/>
      </rPr>
      <t xml:space="preserve"> pentaplicate solutions of </t>
    </r>
    <r>
      <rPr>
        <b/>
        <sz val="11"/>
        <color rgb="FFED7608"/>
        <rFont val="Calibri"/>
        <family val="2"/>
        <charset val="238"/>
        <scheme val="minor"/>
      </rPr>
      <t>Lu</t>
    </r>
    <r>
      <rPr>
        <b/>
        <vertAlign val="superscript"/>
        <sz val="11"/>
        <color rgb="FFED7608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rgb="FF669933"/>
        <rFont val="Calibri"/>
        <family val="2"/>
        <charset val="238"/>
        <scheme val="minor"/>
      </rPr>
      <t>Yb</t>
    </r>
    <r>
      <rPr>
        <b/>
        <vertAlign val="superscript"/>
        <sz val="11"/>
        <color rgb="FF669933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 and </t>
    </r>
    <r>
      <rPr>
        <b/>
        <sz val="11"/>
        <color rgb="FF0070C0"/>
        <rFont val="Calibri"/>
        <family val="2"/>
        <charset val="238"/>
        <scheme val="minor"/>
      </rPr>
      <t>Tm</t>
    </r>
    <r>
      <rPr>
        <b/>
        <vertAlign val="superscript"/>
        <sz val="11"/>
        <color rgb="FF0070C0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 (all in form of nitrate) were prepared by stepwise dilution of 1 ng × L</t>
    </r>
    <r>
      <rPr>
        <vertAlign val="superscript"/>
        <sz val="11"/>
        <color theme="1"/>
        <rFont val="Calibri"/>
        <family val="2"/>
        <charset val="238"/>
        <scheme val="minor"/>
      </rPr>
      <t>−1</t>
    </r>
    <r>
      <rPr>
        <sz val="11"/>
        <color theme="1"/>
        <rFont val="Calibri"/>
        <family val="2"/>
        <charset val="238"/>
        <scheme val="minor"/>
      </rPr>
      <t xml:space="preserve"> stock solutions in a matrix blank (2% HNO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) with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b/>
        <vertAlign val="superscript"/>
        <sz val="11"/>
        <color theme="1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 (in form of nitrate) internal standard solution.</t>
    </r>
  </si>
  <si>
    <r>
      <t xml:space="preserve">Duplicate solutions of </t>
    </r>
    <r>
      <rPr>
        <b/>
        <sz val="11"/>
        <color rgb="FFED7608"/>
        <rFont val="Calibri"/>
        <family val="2"/>
        <charset val="238"/>
        <scheme val="minor"/>
      </rPr>
      <t>Lu</t>
    </r>
    <r>
      <rPr>
        <b/>
        <vertAlign val="superscript"/>
        <sz val="11"/>
        <color rgb="FFED7608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rgb="FF669933"/>
        <rFont val="Calibri"/>
        <family val="2"/>
        <charset val="238"/>
        <scheme val="minor"/>
      </rPr>
      <t>Yb</t>
    </r>
    <r>
      <rPr>
        <b/>
        <vertAlign val="superscript"/>
        <sz val="11"/>
        <color rgb="FF669933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 and </t>
    </r>
    <r>
      <rPr>
        <b/>
        <sz val="11"/>
        <color rgb="FF3264C8"/>
        <rFont val="Calibri"/>
        <family val="2"/>
        <charset val="238"/>
        <scheme val="minor"/>
      </rPr>
      <t>Tm</t>
    </r>
    <r>
      <rPr>
        <b/>
        <vertAlign val="superscript"/>
        <sz val="11"/>
        <color rgb="FF3264C8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 (all in form of nitrate) in concentration range of 0.5‒500 ng × L</t>
    </r>
    <r>
      <rPr>
        <vertAlign val="superscript"/>
        <sz val="11"/>
        <color theme="1"/>
        <rFont val="Calibri"/>
        <family val="2"/>
        <charset val="238"/>
      </rPr>
      <t>−</t>
    </r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were prepared by stepwise dilution of 1 g × L</t>
    </r>
    <r>
      <rPr>
        <vertAlign val="superscript"/>
        <sz val="11"/>
        <color theme="1"/>
        <rFont val="Calibri"/>
        <family val="2"/>
        <charset val="238"/>
        <scheme val="minor"/>
      </rPr>
      <t>−1</t>
    </r>
    <r>
      <rPr>
        <sz val="11"/>
        <color theme="1"/>
        <rFont val="Calibri"/>
        <family val="2"/>
        <charset val="238"/>
        <scheme val="minor"/>
      </rPr>
      <t xml:space="preserve"> stock solutions in a matrix blank (2% HNO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) with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b/>
        <vertAlign val="superscript"/>
        <sz val="11"/>
        <color theme="1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 xml:space="preserve"> (in form of nitrate) internal standard solution.</t>
    </r>
  </si>
  <si>
    <r>
      <rPr>
        <b/>
        <i/>
        <sz val="11"/>
        <rFont val="Calibri"/>
        <family val="2"/>
        <charset val="238"/>
        <scheme val="minor"/>
      </rPr>
      <t>N</t>
    </r>
    <r>
      <rPr>
        <sz val="11"/>
        <rFont val="Calibri"/>
        <family val="2"/>
        <charset val="238"/>
        <scheme val="minor"/>
      </rPr>
      <t xml:space="preserve"> (number of calibration points)</t>
    </r>
  </si>
  <si>
    <r>
      <rPr>
        <b/>
        <i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rFont val="Calibri"/>
        <family val="2"/>
        <charset val="238"/>
        <scheme val="minor"/>
      </rPr>
      <t>number of repetitions</t>
    </r>
    <r>
      <rPr>
        <sz val="11"/>
        <color theme="1"/>
        <rFont val="Calibri"/>
        <family val="2"/>
        <charset val="238"/>
        <scheme val="minor"/>
      </rPr>
      <t>)</t>
    </r>
  </si>
  <si>
    <r>
      <t>Lu</t>
    </r>
    <r>
      <rPr>
        <sz val="11"/>
        <rFont val="Calibri"/>
        <family val="2"/>
        <charset val="238"/>
        <scheme val="minor"/>
      </rPr>
      <t>(</t>
    </r>
    <r>
      <rPr>
        <b/>
        <sz val="11"/>
        <rFont val="Calibri"/>
        <family val="2"/>
        <charset val="238"/>
        <scheme val="minor"/>
      </rPr>
      <t>NO</t>
    </r>
    <r>
      <rPr>
        <b/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</t>
    </r>
    <r>
      <rPr>
        <b/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, ng × L</t>
    </r>
    <r>
      <rPr>
        <vertAlign val="superscript"/>
        <sz val="11"/>
        <rFont val="Calibri"/>
        <family val="2"/>
        <charset val="238"/>
        <scheme val="minor"/>
      </rPr>
      <t>−1</t>
    </r>
  </si>
  <si>
    <r>
      <t>Yb</t>
    </r>
    <r>
      <rPr>
        <sz val="11"/>
        <rFont val="Calibri"/>
        <family val="2"/>
        <charset val="238"/>
        <scheme val="minor"/>
      </rPr>
      <t>(</t>
    </r>
    <r>
      <rPr>
        <b/>
        <sz val="11"/>
        <rFont val="Calibri"/>
        <family val="2"/>
        <charset val="238"/>
        <scheme val="minor"/>
      </rPr>
      <t>NO</t>
    </r>
    <r>
      <rPr>
        <b/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</t>
    </r>
    <r>
      <rPr>
        <b/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, ng × L</t>
    </r>
    <r>
      <rPr>
        <vertAlign val="superscript"/>
        <sz val="11"/>
        <rFont val="Calibri"/>
        <family val="2"/>
        <charset val="238"/>
        <scheme val="minor"/>
      </rPr>
      <t>−1</t>
    </r>
  </si>
  <si>
    <r>
      <t>Tm</t>
    </r>
    <r>
      <rPr>
        <sz val="11"/>
        <rFont val="Calibri"/>
        <family val="2"/>
        <charset val="238"/>
        <scheme val="minor"/>
      </rPr>
      <t>(</t>
    </r>
    <r>
      <rPr>
        <b/>
        <sz val="11"/>
        <rFont val="Calibri"/>
        <family val="2"/>
        <charset val="238"/>
        <scheme val="minor"/>
      </rPr>
      <t>NO</t>
    </r>
    <r>
      <rPr>
        <b/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</t>
    </r>
    <r>
      <rPr>
        <b/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, ng × L</t>
    </r>
    <r>
      <rPr>
        <vertAlign val="superscript"/>
        <sz val="11"/>
        <rFont val="Calibri"/>
        <family val="2"/>
        <charset val="238"/>
        <scheme val="minor"/>
      </rPr>
      <t>−1</t>
    </r>
  </si>
  <si>
    <r>
      <t xml:space="preserve">Due to complete combustion of organic material in the plasma, validation of ClickZip tags was performed with </t>
    </r>
    <r>
      <rPr>
        <b/>
        <sz val="11"/>
        <color theme="5"/>
        <rFont val="Calibri"/>
        <family val="2"/>
        <charset val="238"/>
        <scheme val="minor"/>
      </rPr>
      <t>Lu</t>
    </r>
    <r>
      <rPr>
        <sz val="11"/>
        <color theme="5"/>
        <rFont val="Calibri"/>
        <family val="2"/>
        <charset val="238"/>
        <scheme val="minor"/>
      </rPr>
      <t>(</t>
    </r>
    <r>
      <rPr>
        <b/>
        <sz val="11"/>
        <color theme="5"/>
        <rFont val="Calibri"/>
        <family val="2"/>
        <charset val="238"/>
        <scheme val="minor"/>
      </rPr>
      <t>NO</t>
    </r>
    <r>
      <rPr>
        <b/>
        <vertAlign val="subscript"/>
        <sz val="11"/>
        <color theme="5"/>
        <rFont val="Calibri"/>
        <family val="2"/>
        <charset val="238"/>
        <scheme val="minor"/>
      </rPr>
      <t>3</t>
    </r>
    <r>
      <rPr>
        <sz val="11"/>
        <color theme="5"/>
        <rFont val="Calibri"/>
        <family val="2"/>
        <charset val="238"/>
        <scheme val="minor"/>
      </rPr>
      <t>)</t>
    </r>
    <r>
      <rPr>
        <b/>
        <vertAlign val="subscript"/>
        <sz val="11"/>
        <color theme="5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9" tint="-0.249977111117893"/>
        <rFont val="Calibri"/>
        <family val="2"/>
        <charset val="238"/>
        <scheme val="minor"/>
      </rPr>
      <t>Yb</t>
    </r>
    <r>
      <rPr>
        <sz val="11"/>
        <color theme="9" tint="-0.249977111117893"/>
        <rFont val="Calibri"/>
        <family val="2"/>
        <charset val="238"/>
        <scheme val="minor"/>
      </rPr>
      <t>(</t>
    </r>
    <r>
      <rPr>
        <b/>
        <sz val="11"/>
        <color theme="9" tint="-0.249977111117893"/>
        <rFont val="Calibri"/>
        <family val="2"/>
        <charset val="238"/>
        <scheme val="minor"/>
      </rPr>
      <t>NO</t>
    </r>
    <r>
      <rPr>
        <b/>
        <vertAlign val="subscript"/>
        <sz val="11"/>
        <color theme="9" tint="-0.249977111117893"/>
        <rFont val="Calibri"/>
        <family val="2"/>
        <charset val="238"/>
        <scheme val="minor"/>
      </rPr>
      <t>3</t>
    </r>
    <r>
      <rPr>
        <sz val="11"/>
        <color theme="9" tint="-0.249977111117893"/>
        <rFont val="Calibri"/>
        <family val="2"/>
        <charset val="238"/>
        <scheme val="minor"/>
      </rPr>
      <t>)</t>
    </r>
    <r>
      <rPr>
        <b/>
        <vertAlign val="subscript"/>
        <sz val="11"/>
        <color theme="9" tint="-0.249977111117893"/>
        <rFont val="Calibri"/>
        <family val="2"/>
        <charset val="238"/>
        <scheme val="minor"/>
      </rPr>
      <t>3</t>
    </r>
  </si>
  <si>
    <r>
      <t xml:space="preserve"> and </t>
    </r>
    <r>
      <rPr>
        <b/>
        <sz val="11"/>
        <color rgb="FF0070C0"/>
        <rFont val="Calibri"/>
        <family val="2"/>
        <charset val="238"/>
        <scheme val="minor"/>
      </rPr>
      <t>Tm(NO</t>
    </r>
    <r>
      <rPr>
        <b/>
        <vertAlign val="subscript"/>
        <sz val="11"/>
        <color rgb="FF0070C0"/>
        <rFont val="Calibri"/>
        <family val="2"/>
        <charset val="238"/>
        <scheme val="minor"/>
      </rPr>
      <t>3</t>
    </r>
    <r>
      <rPr>
        <b/>
        <sz val="11"/>
        <color rgb="FF0070C0"/>
        <rFont val="Calibri"/>
        <family val="2"/>
        <charset val="238"/>
        <scheme val="minor"/>
      </rPr>
      <t>)</t>
    </r>
    <r>
      <rPr>
        <b/>
        <vertAlign val="subscript"/>
        <sz val="11"/>
        <color rgb="FF0070C0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instead of the corresponding </t>
    </r>
    <r>
      <rPr>
        <b/>
        <sz val="11"/>
        <color theme="5"/>
        <rFont val="Calibri"/>
        <family val="2"/>
        <charset val="238"/>
        <scheme val="minor"/>
      </rPr>
      <t>HO</t>
    </r>
    <r>
      <rPr>
        <b/>
        <vertAlign val="subscript"/>
        <sz val="11"/>
        <color theme="5"/>
        <rFont val="Calibri"/>
        <family val="2"/>
        <charset val="238"/>
        <scheme val="minor"/>
      </rPr>
      <t>2</t>
    </r>
    <r>
      <rPr>
        <b/>
        <sz val="11"/>
        <color theme="5"/>
        <rFont val="Calibri"/>
        <family val="2"/>
        <charset val="238"/>
        <scheme val="minor"/>
      </rPr>
      <t>CPh</t>
    </r>
    <r>
      <rPr>
        <sz val="11"/>
        <color theme="5"/>
        <rFont val="Calibri"/>
        <family val="2"/>
        <charset val="238"/>
        <scheme val="minor"/>
      </rPr>
      <t>{</t>
    </r>
    <r>
      <rPr>
        <b/>
        <sz val="11"/>
        <color theme="5"/>
        <rFont val="Calibri"/>
        <family val="2"/>
        <charset val="238"/>
        <scheme val="minor"/>
      </rPr>
      <t>Lu</t>
    </r>
    <r>
      <rPr>
        <sz val="11"/>
        <color theme="5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9" tint="-0.249977111117893"/>
        <rFont val="Calibri"/>
        <family val="2"/>
        <charset val="238"/>
        <scheme val="minor"/>
      </rPr>
      <t>HO</t>
    </r>
    <r>
      <rPr>
        <b/>
        <vertAlign val="subscript"/>
        <sz val="11"/>
        <color theme="9" tint="-0.249977111117893"/>
        <rFont val="Calibri"/>
        <family val="2"/>
        <charset val="238"/>
        <scheme val="minor"/>
      </rPr>
      <t>2</t>
    </r>
    <r>
      <rPr>
        <b/>
        <sz val="11"/>
        <color theme="9" tint="-0.249977111117893"/>
        <rFont val="Calibri"/>
        <family val="2"/>
        <charset val="238"/>
        <scheme val="minor"/>
      </rPr>
      <t>CPh</t>
    </r>
    <r>
      <rPr>
        <sz val="11"/>
        <color theme="9" tint="-0.249977111117893"/>
        <rFont val="Calibri"/>
        <family val="2"/>
        <charset val="238"/>
        <scheme val="minor"/>
      </rPr>
      <t>{</t>
    </r>
    <r>
      <rPr>
        <b/>
        <sz val="11"/>
        <color theme="9" tint="-0.249977111117893"/>
        <rFont val="Calibri"/>
        <family val="2"/>
        <charset val="238"/>
        <scheme val="minor"/>
      </rPr>
      <t>Yb</t>
    </r>
    <r>
      <rPr>
        <sz val="11"/>
        <color theme="9" tint="-0.249977111117893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and </t>
    </r>
    <r>
      <rPr>
        <b/>
        <sz val="11"/>
        <color rgb="FF0070C0"/>
        <rFont val="Calibri"/>
        <family val="2"/>
        <charset val="238"/>
        <scheme val="minor"/>
      </rPr>
      <t>HO</t>
    </r>
    <r>
      <rPr>
        <b/>
        <vertAlign val="subscript"/>
        <sz val="11"/>
        <color rgb="FF0070C0"/>
        <rFont val="Calibri"/>
        <family val="2"/>
        <charset val="238"/>
        <scheme val="minor"/>
      </rPr>
      <t>2</t>
    </r>
    <r>
      <rPr>
        <b/>
        <sz val="11"/>
        <color rgb="FF0070C0"/>
        <rFont val="Calibri"/>
        <family val="2"/>
        <charset val="238"/>
        <scheme val="minor"/>
      </rPr>
      <t>CPh</t>
    </r>
    <r>
      <rPr>
        <sz val="11"/>
        <color rgb="FF0070C0"/>
        <rFont val="Calibri"/>
        <family val="2"/>
        <charset val="238"/>
        <scheme val="minor"/>
      </rPr>
      <t>{</t>
    </r>
    <r>
      <rPr>
        <b/>
        <sz val="11"/>
        <color rgb="FF0070C0"/>
        <rFont val="Calibri"/>
        <family val="2"/>
        <charset val="238"/>
        <scheme val="minor"/>
      </rPr>
      <t>Tm</t>
    </r>
    <r>
      <rPr>
        <sz val="11"/>
        <color rgb="FF0070C0"/>
        <rFont val="Calibri"/>
        <family val="2"/>
        <charset val="238"/>
        <scheme val="minor"/>
      </rPr>
      <t>}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(with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>(</t>
    </r>
    <r>
      <rPr>
        <b/>
        <sz val="11"/>
        <color theme="1"/>
        <rFont val="Calibri"/>
        <family val="2"/>
        <charset val="238"/>
        <scheme val="minor"/>
      </rPr>
      <t>NO</t>
    </r>
    <r>
      <rPr>
        <b/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  <r>
      <rPr>
        <b/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as an internal standard).</t>
    </r>
  </si>
  <si>
    <r>
      <t xml:space="preserve">and </t>
    </r>
    <r>
      <rPr>
        <b/>
        <sz val="11"/>
        <color rgb="FFD4398C"/>
        <rFont val="Calibri"/>
        <family val="2"/>
        <charset val="238"/>
        <scheme val="minor"/>
      </rPr>
      <t>HO</t>
    </r>
    <r>
      <rPr>
        <b/>
        <vertAlign val="subscript"/>
        <sz val="11"/>
        <color rgb="FFD4398C"/>
        <rFont val="Calibri"/>
        <family val="2"/>
        <charset val="238"/>
        <scheme val="minor"/>
      </rPr>
      <t>2</t>
    </r>
    <r>
      <rPr>
        <b/>
        <sz val="11"/>
        <color rgb="FFD4398C"/>
        <rFont val="Calibri"/>
        <family val="2"/>
        <charset val="238"/>
        <scheme val="minor"/>
      </rPr>
      <t>CPh</t>
    </r>
    <r>
      <rPr>
        <sz val="11"/>
        <color rgb="FFD4398C"/>
        <rFont val="Calibri"/>
        <family val="2"/>
        <charset val="238"/>
        <scheme val="minor"/>
      </rPr>
      <t>{</t>
    </r>
    <r>
      <rPr>
        <b/>
        <sz val="11"/>
        <color rgb="FFD4398C"/>
        <rFont val="Calibri"/>
        <family val="2"/>
        <charset val="238"/>
        <scheme val="minor"/>
      </rPr>
      <t>Y</t>
    </r>
    <r>
      <rPr>
        <sz val="11"/>
        <color rgb="FFD4398C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was determined by ICP-OES</t>
    </r>
    <r>
      <rPr>
        <sz val="11"/>
        <rFont val="Calibri"/>
        <family val="2"/>
        <charset val="238"/>
        <scheme val="minor"/>
      </rPr>
      <t xml:space="preserve">. Stock solution of </t>
    </r>
    <r>
      <rPr>
        <b/>
        <sz val="11"/>
        <color rgb="FF6F561F"/>
        <rFont val="Calibri"/>
        <family val="2"/>
        <charset val="238"/>
        <scheme val="minor"/>
      </rPr>
      <t>matrix blank</t>
    </r>
    <r>
      <rPr>
        <sz val="11"/>
        <rFont val="Calibri"/>
        <family val="2"/>
        <charset val="238"/>
        <scheme val="minor"/>
      </rPr>
      <t xml:space="preserve"> was obtained</t>
    </r>
    <r>
      <rPr>
        <sz val="11"/>
        <color theme="1"/>
        <rFont val="Calibri"/>
        <family val="2"/>
        <charset val="238"/>
        <scheme val="minor"/>
      </rPr>
      <t xml:space="preserve"> from 100 mg mouse liver that was processed (see Materials and Methods) into a final volume of 400 µL in MOPS/NaOH buffer (pH 7.0).</t>
    </r>
  </si>
  <si>
    <r>
      <t xml:space="preserve">Validation was performed with </t>
    </r>
    <r>
      <rPr>
        <b/>
        <sz val="11"/>
        <color rgb="FFED7608"/>
        <rFont val="Calibri"/>
        <family val="2"/>
        <charset val="238"/>
        <scheme val="minor"/>
      </rPr>
      <t>HO</t>
    </r>
    <r>
      <rPr>
        <b/>
        <vertAlign val="subscript"/>
        <sz val="11"/>
        <color rgb="FFED7608"/>
        <rFont val="Calibri"/>
        <family val="2"/>
        <charset val="238"/>
        <scheme val="minor"/>
      </rPr>
      <t>2</t>
    </r>
    <r>
      <rPr>
        <b/>
        <sz val="11"/>
        <color rgb="FFED7608"/>
        <rFont val="Calibri"/>
        <family val="2"/>
        <charset val="238"/>
        <scheme val="minor"/>
      </rPr>
      <t>CPh</t>
    </r>
    <r>
      <rPr>
        <sz val="11"/>
        <color rgb="FFED7608"/>
        <rFont val="Calibri"/>
        <family val="2"/>
        <charset val="238"/>
        <scheme val="minor"/>
      </rPr>
      <t>{</t>
    </r>
    <r>
      <rPr>
        <b/>
        <sz val="11"/>
        <color rgb="FFED7608"/>
        <rFont val="Calibri"/>
        <family val="2"/>
        <charset val="238"/>
        <scheme val="minor"/>
      </rPr>
      <t>Lu</t>
    </r>
    <r>
      <rPr>
        <sz val="11"/>
        <color rgb="FFED760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and </t>
    </r>
    <r>
      <rPr>
        <b/>
        <sz val="11"/>
        <color rgb="FF3264C8"/>
        <rFont val="Calibri"/>
        <family val="2"/>
        <charset val="238"/>
        <scheme val="minor"/>
      </rPr>
      <t>HO</t>
    </r>
    <r>
      <rPr>
        <b/>
        <vertAlign val="subscript"/>
        <sz val="11"/>
        <color rgb="FF3264C8"/>
        <rFont val="Calibri"/>
        <family val="2"/>
        <charset val="238"/>
        <scheme val="minor"/>
      </rPr>
      <t>2</t>
    </r>
    <r>
      <rPr>
        <b/>
        <sz val="11"/>
        <color rgb="FF3264C8"/>
        <rFont val="Calibri"/>
        <family val="2"/>
        <charset val="238"/>
        <scheme val="minor"/>
      </rPr>
      <t>CPh</t>
    </r>
    <r>
      <rPr>
        <sz val="11"/>
        <color rgb="FF3264C8"/>
        <rFont val="Calibri"/>
        <family val="2"/>
        <charset val="238"/>
        <scheme val="minor"/>
      </rPr>
      <t>{</t>
    </r>
    <r>
      <rPr>
        <b/>
        <sz val="11"/>
        <color rgb="FF3264C8"/>
        <rFont val="Calibri"/>
        <family val="2"/>
        <charset val="238"/>
        <scheme val="minor"/>
      </rPr>
      <t>Tm</t>
    </r>
    <r>
      <rPr>
        <sz val="11"/>
        <color rgb="FF3264C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(toghether) in presence of mouse liver lysate (</t>
    </r>
    <r>
      <rPr>
        <b/>
        <sz val="11"/>
        <color rgb="FF6F561F"/>
        <rFont val="Calibri"/>
        <family val="2"/>
        <charset val="238"/>
        <scheme val="minor"/>
      </rPr>
      <t>matrix blank</t>
    </r>
    <r>
      <rPr>
        <sz val="11"/>
        <color theme="1"/>
        <rFont val="Calibri"/>
        <family val="2"/>
        <charset val="238"/>
        <scheme val="minor"/>
      </rPr>
      <t xml:space="preserve">) with </t>
    </r>
    <r>
      <rPr>
        <b/>
        <sz val="11"/>
        <color rgb="FFD4398C"/>
        <rFont val="Calibri"/>
        <family val="2"/>
        <charset val="238"/>
        <scheme val="minor"/>
      </rPr>
      <t>HO</t>
    </r>
    <r>
      <rPr>
        <b/>
        <vertAlign val="subscript"/>
        <sz val="11"/>
        <color rgb="FFD4398C"/>
        <rFont val="Calibri"/>
        <family val="2"/>
        <charset val="238"/>
        <scheme val="minor"/>
      </rPr>
      <t>2</t>
    </r>
    <r>
      <rPr>
        <b/>
        <sz val="11"/>
        <color rgb="FFD4398C"/>
        <rFont val="Calibri"/>
        <family val="2"/>
        <charset val="238"/>
        <scheme val="minor"/>
      </rPr>
      <t>CPh</t>
    </r>
    <r>
      <rPr>
        <sz val="11"/>
        <color rgb="FFD4398C"/>
        <rFont val="Calibri"/>
        <family val="2"/>
        <charset val="238"/>
        <scheme val="minor"/>
      </rPr>
      <t>{</t>
    </r>
    <r>
      <rPr>
        <b/>
        <sz val="11"/>
        <color rgb="FFD4398C"/>
        <rFont val="Calibri"/>
        <family val="2"/>
        <charset val="238"/>
        <scheme val="minor"/>
      </rPr>
      <t>Y</t>
    </r>
    <r>
      <rPr>
        <sz val="11"/>
        <color rgb="FFD4398C"/>
        <rFont val="Calibri"/>
        <family val="2"/>
        <charset val="238"/>
        <scheme val="minor"/>
      </rPr>
      <t xml:space="preserve">} </t>
    </r>
    <r>
      <rPr>
        <sz val="11"/>
        <rFont val="Calibri"/>
        <family val="2"/>
        <charset val="238"/>
        <scheme val="minor"/>
      </rPr>
      <t>as an internal standard.</t>
    </r>
    <r>
      <rPr>
        <sz val="11"/>
        <color theme="1"/>
        <rFont val="Calibri"/>
        <family val="2"/>
        <charset val="238"/>
        <scheme val="minor"/>
      </rPr>
      <t xml:space="preserve"> Concentration of stock solution of </t>
    </r>
    <r>
      <rPr>
        <b/>
        <sz val="11"/>
        <color rgb="FFED7608"/>
        <rFont val="Calibri"/>
        <family val="2"/>
        <charset val="238"/>
        <scheme val="minor"/>
      </rPr>
      <t>HO</t>
    </r>
    <r>
      <rPr>
        <b/>
        <vertAlign val="subscript"/>
        <sz val="11"/>
        <color rgb="FFED7608"/>
        <rFont val="Calibri"/>
        <family val="2"/>
        <charset val="238"/>
        <scheme val="minor"/>
      </rPr>
      <t>2</t>
    </r>
    <r>
      <rPr>
        <b/>
        <sz val="11"/>
        <color rgb="FFED7608"/>
        <rFont val="Calibri"/>
        <family val="2"/>
        <charset val="238"/>
        <scheme val="minor"/>
      </rPr>
      <t>CPh</t>
    </r>
    <r>
      <rPr>
        <sz val="11"/>
        <color rgb="FFED7608"/>
        <rFont val="Calibri"/>
        <family val="2"/>
        <charset val="238"/>
        <scheme val="minor"/>
      </rPr>
      <t>{</t>
    </r>
    <r>
      <rPr>
        <b/>
        <sz val="11"/>
        <color rgb="FFED7608"/>
        <rFont val="Calibri"/>
        <family val="2"/>
        <charset val="238"/>
        <scheme val="minor"/>
      </rPr>
      <t>Lu</t>
    </r>
    <r>
      <rPr>
        <sz val="11"/>
        <color rgb="FFED760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rgb="FF3264C8"/>
        <rFont val="Calibri"/>
        <family val="2"/>
        <charset val="238"/>
        <scheme val="minor"/>
      </rPr>
      <t>HO</t>
    </r>
    <r>
      <rPr>
        <b/>
        <vertAlign val="subscript"/>
        <sz val="11"/>
        <color rgb="FF3264C8"/>
        <rFont val="Calibri"/>
        <family val="2"/>
        <charset val="238"/>
        <scheme val="minor"/>
      </rPr>
      <t>2</t>
    </r>
    <r>
      <rPr>
        <b/>
        <sz val="11"/>
        <color rgb="FF3264C8"/>
        <rFont val="Calibri"/>
        <family val="2"/>
        <charset val="238"/>
        <scheme val="minor"/>
      </rPr>
      <t>CPh</t>
    </r>
    <r>
      <rPr>
        <sz val="11"/>
        <color rgb="FF3264C8"/>
        <rFont val="Calibri"/>
        <family val="2"/>
        <charset val="238"/>
        <scheme val="minor"/>
      </rPr>
      <t>{</t>
    </r>
    <r>
      <rPr>
        <b/>
        <sz val="11"/>
        <color rgb="FF3264C8"/>
        <rFont val="Calibri"/>
        <family val="2"/>
        <charset val="238"/>
        <scheme val="minor"/>
      </rPr>
      <t>Tm</t>
    </r>
    <r>
      <rPr>
        <sz val="11"/>
        <color rgb="FF3264C8"/>
        <rFont val="Calibri"/>
        <family val="2"/>
        <charset val="238"/>
        <scheme val="minor"/>
      </rPr>
      <t>}</t>
    </r>
  </si>
  <si>
    <r>
      <t xml:space="preserve">A 50 nM solution of </t>
    </r>
    <r>
      <rPr>
        <b/>
        <sz val="11"/>
        <color theme="5"/>
        <rFont val="Calibri"/>
        <family val="2"/>
        <charset val="238"/>
        <scheme val="minor"/>
      </rPr>
      <t>HO</t>
    </r>
    <r>
      <rPr>
        <b/>
        <vertAlign val="subscript"/>
        <sz val="11"/>
        <color theme="5"/>
        <rFont val="Calibri"/>
        <family val="2"/>
        <charset val="238"/>
        <scheme val="minor"/>
      </rPr>
      <t>2</t>
    </r>
    <r>
      <rPr>
        <b/>
        <sz val="11"/>
        <color theme="5"/>
        <rFont val="Calibri"/>
        <family val="2"/>
        <charset val="238"/>
        <scheme val="minor"/>
      </rPr>
      <t>CPh</t>
    </r>
    <r>
      <rPr>
        <sz val="11"/>
        <color theme="5"/>
        <rFont val="Calibri"/>
        <family val="2"/>
        <charset val="238"/>
        <scheme val="minor"/>
      </rPr>
      <t>{</t>
    </r>
    <r>
      <rPr>
        <b/>
        <sz val="11"/>
        <color theme="5"/>
        <rFont val="Calibri"/>
        <family val="2"/>
        <charset val="238"/>
        <scheme val="minor"/>
      </rPr>
      <t>Lu</t>
    </r>
    <r>
      <rPr>
        <sz val="11"/>
        <color theme="5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and </t>
    </r>
    <r>
      <rPr>
        <b/>
        <sz val="11"/>
        <color rgb="FF3264C8"/>
        <rFont val="Calibri"/>
        <family val="2"/>
        <charset val="238"/>
        <scheme val="minor"/>
      </rPr>
      <t>HO</t>
    </r>
    <r>
      <rPr>
        <b/>
        <vertAlign val="subscript"/>
        <sz val="11"/>
        <color rgb="FF3264C8"/>
        <rFont val="Calibri"/>
        <family val="2"/>
        <charset val="238"/>
        <scheme val="minor"/>
      </rPr>
      <t>2</t>
    </r>
    <r>
      <rPr>
        <b/>
        <sz val="11"/>
        <color rgb="FF3264C8"/>
        <rFont val="Calibri"/>
        <family val="2"/>
        <charset val="238"/>
        <scheme val="minor"/>
      </rPr>
      <t>CPh</t>
    </r>
    <r>
      <rPr>
        <sz val="11"/>
        <color rgb="FF3264C8"/>
        <rFont val="Calibri"/>
        <family val="2"/>
        <charset val="238"/>
        <scheme val="minor"/>
      </rPr>
      <t>{</t>
    </r>
    <r>
      <rPr>
        <b/>
        <sz val="11"/>
        <color rgb="FF3264C8"/>
        <rFont val="Calibri"/>
        <family val="2"/>
        <charset val="238"/>
        <scheme val="minor"/>
      </rPr>
      <t>Tm</t>
    </r>
    <r>
      <rPr>
        <sz val="11"/>
        <color rgb="FF3264C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was prepared by mixing 3 µL of 500 nM stock solution mixture with 27 µL of a </t>
    </r>
    <r>
      <rPr>
        <b/>
        <sz val="11"/>
        <color rgb="FF6F561F"/>
        <rFont val="Calibri"/>
        <family val="2"/>
        <charset val="238"/>
        <scheme val="minor"/>
      </rPr>
      <t>matrix blank</t>
    </r>
    <r>
      <rPr>
        <sz val="11"/>
        <color theme="1"/>
        <rFont val="Calibri"/>
        <family val="2"/>
        <charset val="238"/>
        <scheme val="minor"/>
      </rPr>
      <t xml:space="preserve"> stock solution. 10 nM pentaplicate solutions of </t>
    </r>
    <r>
      <rPr>
        <b/>
        <sz val="11"/>
        <color rgb="FFED7608"/>
        <rFont val="Calibri"/>
        <family val="2"/>
        <charset val="238"/>
        <scheme val="minor"/>
      </rPr>
      <t>HO</t>
    </r>
    <r>
      <rPr>
        <b/>
        <vertAlign val="subscript"/>
        <sz val="11"/>
        <color rgb="FFED7608"/>
        <rFont val="Calibri"/>
        <family val="2"/>
        <charset val="238"/>
        <scheme val="minor"/>
      </rPr>
      <t>2</t>
    </r>
    <r>
      <rPr>
        <b/>
        <sz val="11"/>
        <color rgb="FFED7608"/>
        <rFont val="Calibri"/>
        <family val="2"/>
        <charset val="238"/>
        <scheme val="minor"/>
      </rPr>
      <t>CPh</t>
    </r>
    <r>
      <rPr>
        <sz val="11"/>
        <color rgb="FFED7608"/>
        <rFont val="Calibri"/>
        <family val="2"/>
        <charset val="238"/>
        <scheme val="minor"/>
      </rPr>
      <t>{</t>
    </r>
    <r>
      <rPr>
        <b/>
        <sz val="11"/>
        <color rgb="FFED7608"/>
        <rFont val="Calibri"/>
        <family val="2"/>
        <charset val="238"/>
        <scheme val="minor"/>
      </rPr>
      <t>Lu</t>
    </r>
    <r>
      <rPr>
        <sz val="11"/>
        <color rgb="FFED760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</si>
  <si>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1‒1000 nM duplicate solutions of </t>
    </r>
    <r>
      <rPr>
        <b/>
        <sz val="11"/>
        <color rgb="FFED7608"/>
        <rFont val="Calibri"/>
        <family val="2"/>
        <charset val="238"/>
        <scheme val="minor"/>
      </rPr>
      <t>HO</t>
    </r>
    <r>
      <rPr>
        <b/>
        <vertAlign val="subscript"/>
        <sz val="11"/>
        <color rgb="FFED7608"/>
        <rFont val="Calibri"/>
        <family val="2"/>
        <charset val="238"/>
        <scheme val="minor"/>
      </rPr>
      <t>2</t>
    </r>
    <r>
      <rPr>
        <b/>
        <sz val="11"/>
        <color rgb="FFED7608"/>
        <rFont val="Calibri"/>
        <family val="2"/>
        <charset val="238"/>
        <scheme val="minor"/>
      </rPr>
      <t>CPh</t>
    </r>
    <r>
      <rPr>
        <sz val="11"/>
        <color rgb="FFED7608"/>
        <rFont val="Calibri"/>
        <family val="2"/>
        <charset val="238"/>
        <scheme val="minor"/>
      </rPr>
      <t>{</t>
    </r>
    <r>
      <rPr>
        <b/>
        <sz val="11"/>
        <color rgb="FFED7608"/>
        <rFont val="Calibri"/>
        <family val="2"/>
        <charset val="238"/>
        <scheme val="minor"/>
      </rPr>
      <t>Lu</t>
    </r>
    <r>
      <rPr>
        <sz val="11"/>
        <color rgb="FFED760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and </t>
    </r>
    <r>
      <rPr>
        <b/>
        <sz val="11"/>
        <color rgb="FF3264C8"/>
        <rFont val="Calibri"/>
        <family val="2"/>
        <charset val="238"/>
        <scheme val="minor"/>
      </rPr>
      <t>HO</t>
    </r>
    <r>
      <rPr>
        <b/>
        <vertAlign val="subscript"/>
        <sz val="11"/>
        <color rgb="FF3264C8"/>
        <rFont val="Calibri"/>
        <family val="2"/>
        <charset val="238"/>
        <scheme val="minor"/>
      </rPr>
      <t>2</t>
    </r>
    <r>
      <rPr>
        <b/>
        <sz val="11"/>
        <color rgb="FF3264C8"/>
        <rFont val="Calibri"/>
        <family val="2"/>
        <charset val="238"/>
        <scheme val="minor"/>
      </rPr>
      <t>CPh</t>
    </r>
    <r>
      <rPr>
        <sz val="11"/>
        <color rgb="FF3264C8"/>
        <rFont val="Calibri"/>
        <family val="2"/>
        <charset val="238"/>
        <scheme val="minor"/>
      </rPr>
      <t>{</t>
    </r>
    <r>
      <rPr>
        <b/>
        <sz val="11"/>
        <color rgb="FF3264C8"/>
        <rFont val="Calibri"/>
        <family val="2"/>
        <charset val="238"/>
        <scheme val="minor"/>
      </rPr>
      <t>Tm</t>
    </r>
    <r>
      <rPr>
        <sz val="11"/>
        <color rgb="FF3264C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were prepared by combining 2‒10 µL of stock solution mixture of higher concentration with 4 µL of </t>
    </r>
    <r>
      <rPr>
        <b/>
        <sz val="11"/>
        <color rgb="FF6F561F"/>
        <rFont val="Calibri"/>
        <family val="2"/>
        <charset val="238"/>
        <scheme val="minor"/>
      </rPr>
      <t>matrix blank</t>
    </r>
    <r>
      <rPr>
        <b/>
        <sz val="11"/>
        <color theme="1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charset val="238"/>
        <scheme val="minor"/>
      </rPr>
      <t xml:space="preserve"> 2 µL of 1 µM </t>
    </r>
    <r>
      <rPr>
        <b/>
        <sz val="11"/>
        <color rgb="FFD4398C"/>
        <rFont val="Calibri"/>
        <family val="2"/>
        <charset val="238"/>
        <scheme val="minor"/>
      </rPr>
      <t>HO</t>
    </r>
    <r>
      <rPr>
        <b/>
        <vertAlign val="subscript"/>
        <sz val="11"/>
        <color rgb="FFD4398C"/>
        <rFont val="Calibri"/>
        <family val="2"/>
        <charset val="238"/>
        <scheme val="minor"/>
      </rPr>
      <t>2</t>
    </r>
    <r>
      <rPr>
        <b/>
        <sz val="11"/>
        <color rgb="FFD4398C"/>
        <rFont val="Calibri"/>
        <family val="2"/>
        <charset val="238"/>
        <scheme val="minor"/>
      </rPr>
      <t>CPh</t>
    </r>
    <r>
      <rPr>
        <sz val="11"/>
        <color rgb="FFD4398C"/>
        <rFont val="Calibri"/>
        <family val="2"/>
        <charset val="238"/>
        <scheme val="minor"/>
      </rPr>
      <t>{</t>
    </r>
    <r>
      <rPr>
        <b/>
        <sz val="11"/>
        <color rgb="FFD4398C"/>
        <rFont val="Calibri"/>
        <family val="2"/>
        <charset val="238"/>
        <scheme val="minor"/>
      </rPr>
      <t>Y</t>
    </r>
    <r>
      <rPr>
        <sz val="11"/>
        <color rgb="FFD4398C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internal standard solution and 4‒12 µL of 10 mM NH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OAc diluent solution (to reach final volume 20 µL). 1 nM </t>
    </r>
    <r>
      <rPr>
        <b/>
        <sz val="11"/>
        <color rgb="FFED7608"/>
        <rFont val="Calibri"/>
        <family val="2"/>
        <charset val="238"/>
        <scheme val="minor"/>
      </rPr>
      <t>HO</t>
    </r>
    <r>
      <rPr>
        <b/>
        <vertAlign val="subscript"/>
        <sz val="11"/>
        <color rgb="FFED7608"/>
        <rFont val="Calibri"/>
        <family val="2"/>
        <charset val="238"/>
        <scheme val="minor"/>
      </rPr>
      <t>2</t>
    </r>
    <r>
      <rPr>
        <b/>
        <sz val="11"/>
        <color rgb="FFED7608"/>
        <rFont val="Calibri"/>
        <family val="2"/>
        <charset val="238"/>
        <scheme val="minor"/>
      </rPr>
      <t>CPh</t>
    </r>
    <r>
      <rPr>
        <sz val="11"/>
        <color rgb="FFED7608"/>
        <rFont val="Calibri"/>
        <family val="2"/>
        <charset val="238"/>
        <scheme val="minor"/>
      </rPr>
      <t>{</t>
    </r>
    <r>
      <rPr>
        <b/>
        <sz val="11"/>
        <color rgb="FFED7608"/>
        <rFont val="Calibri"/>
        <family val="2"/>
        <charset val="238"/>
        <scheme val="minor"/>
      </rPr>
      <t>Lu</t>
    </r>
    <r>
      <rPr>
        <sz val="11"/>
        <color rgb="FFED760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was excluded from linearity test due to peak area below LOQ.</t>
    </r>
  </si>
  <si>
    <r>
      <t xml:space="preserve">10 nM pentaplicate solutions of </t>
    </r>
    <r>
      <rPr>
        <b/>
        <sz val="11"/>
        <color rgb="FFED7608"/>
        <rFont val="Calibri"/>
        <family val="2"/>
        <charset val="238"/>
        <scheme val="minor"/>
      </rPr>
      <t>HO</t>
    </r>
    <r>
      <rPr>
        <b/>
        <vertAlign val="subscript"/>
        <sz val="11"/>
        <color rgb="FFED7608"/>
        <rFont val="Calibri"/>
        <family val="2"/>
        <charset val="238"/>
        <scheme val="minor"/>
      </rPr>
      <t>2</t>
    </r>
    <r>
      <rPr>
        <b/>
        <sz val="11"/>
        <color rgb="FFED7608"/>
        <rFont val="Calibri"/>
        <family val="2"/>
        <charset val="238"/>
        <scheme val="minor"/>
      </rPr>
      <t>CPh</t>
    </r>
    <r>
      <rPr>
        <sz val="11"/>
        <color rgb="FFED7608"/>
        <rFont val="Calibri"/>
        <family val="2"/>
        <charset val="238"/>
        <scheme val="minor"/>
      </rPr>
      <t>{</t>
    </r>
    <r>
      <rPr>
        <b/>
        <sz val="11"/>
        <color rgb="FFED7608"/>
        <rFont val="Calibri"/>
        <family val="2"/>
        <charset val="238"/>
        <scheme val="minor"/>
      </rPr>
      <t>Lu</t>
    </r>
    <r>
      <rPr>
        <sz val="11"/>
        <color rgb="FFED760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and </t>
    </r>
    <r>
      <rPr>
        <b/>
        <sz val="11"/>
        <color rgb="FF3264C8"/>
        <rFont val="Calibri"/>
        <family val="2"/>
        <charset val="238"/>
        <scheme val="minor"/>
      </rPr>
      <t>HO</t>
    </r>
    <r>
      <rPr>
        <b/>
        <vertAlign val="subscript"/>
        <sz val="11"/>
        <color rgb="FF3264C8"/>
        <rFont val="Calibri"/>
        <family val="2"/>
        <charset val="238"/>
        <scheme val="minor"/>
      </rPr>
      <t>2</t>
    </r>
    <r>
      <rPr>
        <b/>
        <sz val="11"/>
        <color rgb="FF3264C8"/>
        <rFont val="Calibri"/>
        <family val="2"/>
        <charset val="238"/>
        <scheme val="minor"/>
      </rPr>
      <t>CPh</t>
    </r>
    <r>
      <rPr>
        <sz val="11"/>
        <color rgb="FF3264C8"/>
        <rFont val="Calibri"/>
        <family val="2"/>
        <charset val="238"/>
        <scheme val="minor"/>
      </rPr>
      <t>{</t>
    </r>
    <r>
      <rPr>
        <b/>
        <sz val="11"/>
        <color rgb="FF3264C8"/>
        <rFont val="Calibri"/>
        <family val="2"/>
        <charset val="238"/>
        <scheme val="minor"/>
      </rPr>
      <t>Tm</t>
    </r>
    <r>
      <rPr>
        <sz val="11"/>
        <color rgb="FF3264C8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were prepared by combining 2 µL of 100 nM stock solution mixture with 4 µL of </t>
    </r>
    <r>
      <rPr>
        <b/>
        <sz val="11"/>
        <color rgb="FF6F561F"/>
        <rFont val="Calibri"/>
        <family val="2"/>
        <charset val="238"/>
        <scheme val="minor"/>
      </rPr>
      <t>matrix blank</t>
    </r>
    <r>
      <rPr>
        <sz val="11"/>
        <color theme="1"/>
        <rFont val="Calibri"/>
        <family val="2"/>
        <charset val="238"/>
        <scheme val="minor"/>
      </rPr>
      <t xml:space="preserve">, 2 µL of 1 µM </t>
    </r>
    <r>
      <rPr>
        <b/>
        <sz val="11"/>
        <color rgb="FFD4398C"/>
        <rFont val="Calibri"/>
        <family val="2"/>
        <charset val="238"/>
        <scheme val="minor"/>
      </rPr>
      <t>HO</t>
    </r>
    <r>
      <rPr>
        <b/>
        <vertAlign val="subscript"/>
        <sz val="11"/>
        <color rgb="FFD4398C"/>
        <rFont val="Calibri"/>
        <family val="2"/>
        <charset val="238"/>
        <scheme val="minor"/>
      </rPr>
      <t>2</t>
    </r>
    <r>
      <rPr>
        <b/>
        <sz val="11"/>
        <color rgb="FFD4398C"/>
        <rFont val="Calibri"/>
        <family val="2"/>
        <charset val="238"/>
        <scheme val="minor"/>
      </rPr>
      <t>CPh</t>
    </r>
    <r>
      <rPr>
        <sz val="11"/>
        <color rgb="FFD4398C"/>
        <rFont val="Calibri"/>
        <family val="2"/>
        <charset val="238"/>
        <scheme val="minor"/>
      </rPr>
      <t>{</t>
    </r>
    <r>
      <rPr>
        <b/>
        <sz val="11"/>
        <color rgb="FFD4398C"/>
        <rFont val="Calibri"/>
        <family val="2"/>
        <charset val="238"/>
        <scheme val="minor"/>
      </rPr>
      <t>Y</t>
    </r>
    <r>
      <rPr>
        <sz val="11"/>
        <color rgb="FFD4398C"/>
        <rFont val="Calibri"/>
        <family val="2"/>
        <charset val="238"/>
        <scheme val="minor"/>
      </rPr>
      <t>}</t>
    </r>
    <r>
      <rPr>
        <sz val="11"/>
        <color theme="1"/>
        <rFont val="Calibri"/>
        <family val="2"/>
        <charset val="238"/>
        <scheme val="minor"/>
      </rPr>
      <t xml:space="preserve"> internal standard solution and 12 µL of 10 mM NH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OAc diluent solution.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</si>
</sst>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i/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i/>
      <vertAlign val="subscript"/>
      <sz val="11"/>
      <color theme="1"/>
      <name val="Calibri"/>
      <family val="2"/>
      <charset val="238"/>
    </font>
    <font>
      <vertAlign val="superscript"/>
      <sz val="11"/>
      <name val="Calibri"/>
      <family val="2"/>
      <charset val="238"/>
      <scheme val="minor"/>
    </font>
    <font>
      <b/>
      <i/>
      <vertAlign val="subscript"/>
      <sz val="11"/>
      <name val="Calibri"/>
      <family val="2"/>
      <charset val="238"/>
      <scheme val="minor"/>
    </font>
    <font>
      <b/>
      <sz val="11"/>
      <color rgb="FFED7608"/>
      <name val="Calibri"/>
      <family val="2"/>
      <charset val="238"/>
      <scheme val="minor"/>
    </font>
    <font>
      <b/>
      <vertAlign val="subscript"/>
      <sz val="11"/>
      <color rgb="FFED7608"/>
      <name val="Calibri"/>
      <family val="2"/>
      <charset val="238"/>
      <scheme val="minor"/>
    </font>
    <font>
      <sz val="11"/>
      <color rgb="FFED7608"/>
      <name val="Calibri"/>
      <family val="2"/>
      <charset val="238"/>
      <scheme val="minor"/>
    </font>
    <font>
      <b/>
      <sz val="11"/>
      <color rgb="FF3264C8"/>
      <name val="Calibri"/>
      <family val="2"/>
      <charset val="238"/>
      <scheme val="minor"/>
    </font>
    <font>
      <b/>
      <vertAlign val="subscript"/>
      <sz val="11"/>
      <color rgb="FF3264C8"/>
      <name val="Calibri"/>
      <family val="2"/>
      <charset val="238"/>
      <scheme val="minor"/>
    </font>
    <font>
      <sz val="11"/>
      <color rgb="FF3264C8"/>
      <name val="Calibri"/>
      <family val="2"/>
      <charset val="238"/>
      <scheme val="minor"/>
    </font>
    <font>
      <sz val="11"/>
      <color rgb="FFD4398C"/>
      <name val="Calibri"/>
      <family val="2"/>
      <charset val="238"/>
      <scheme val="minor"/>
    </font>
    <font>
      <b/>
      <sz val="11"/>
      <color rgb="FFD4398C"/>
      <name val="Calibri"/>
      <family val="2"/>
      <charset val="238"/>
      <scheme val="minor"/>
    </font>
    <font>
      <b/>
      <vertAlign val="subscript"/>
      <sz val="11"/>
      <color rgb="FFD4398C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8"/>
      <color theme="1"/>
      <name val="Calibri"/>
      <family val="2"/>
      <charset val="238"/>
    </font>
    <font>
      <i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</font>
    <font>
      <b/>
      <i/>
      <vertAlign val="superscript"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bscript"/>
      <sz val="18"/>
      <color theme="1"/>
      <name val="Calibri"/>
      <family val="2"/>
      <charset val="238"/>
      <scheme val="minor"/>
    </font>
    <font>
      <b/>
      <sz val="11"/>
      <color rgb="FF669933"/>
      <name val="Calibri"/>
      <family val="2"/>
      <charset val="238"/>
      <scheme val="minor"/>
    </font>
    <font>
      <b/>
      <vertAlign val="subscript"/>
      <sz val="11"/>
      <color rgb="FF669933"/>
      <name val="Calibri"/>
      <family val="2"/>
      <charset val="238"/>
      <scheme val="minor"/>
    </font>
    <font>
      <sz val="11"/>
      <color rgb="FF66993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</font>
    <font>
      <sz val="11"/>
      <color theme="5"/>
      <name val="Calibri"/>
      <family val="2"/>
      <charset val="238"/>
      <scheme val="minor"/>
    </font>
    <font>
      <vertAlign val="superscript"/>
      <sz val="18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vertAlign val="subscript"/>
      <sz val="11"/>
      <color theme="5"/>
      <name val="Calibri"/>
      <family val="2"/>
      <charset val="238"/>
      <scheme val="minor"/>
    </font>
    <font>
      <b/>
      <sz val="11"/>
      <color rgb="FF6F561F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rgb="FFED7608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vertAlign val="superscript"/>
      <sz val="11"/>
      <color rgb="FF0070C0"/>
      <name val="Calibri"/>
      <family val="2"/>
      <charset val="238"/>
      <scheme val="minor"/>
    </font>
    <font>
      <b/>
      <vertAlign val="superscript"/>
      <sz val="11"/>
      <color rgb="FF669933"/>
      <name val="Calibri"/>
      <family val="2"/>
      <charset val="238"/>
      <scheme val="minor"/>
    </font>
    <font>
      <b/>
      <vertAlign val="superscript"/>
      <sz val="11"/>
      <color rgb="FF3264C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vertAlign val="subscript"/>
      <sz val="11"/>
      <color theme="9" tint="-0.249977111117893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vertAlign val="subscript"/>
      <sz val="11"/>
      <color rgb="FF0070C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D7E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4" fontId="0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5" borderId="0" xfId="0" applyFont="1" applyFill="1" applyAlignment="1">
      <alignment horizontal="right" vertical="center"/>
    </xf>
    <xf numFmtId="49" fontId="0" fillId="5" borderId="0" xfId="0" applyNumberFormat="1" applyFont="1" applyFill="1" applyAlignment="1">
      <alignment vertical="center"/>
    </xf>
    <xf numFmtId="11" fontId="0" fillId="2" borderId="1" xfId="0" applyNumberFormat="1" applyFont="1" applyFill="1" applyBorder="1" applyAlignment="1">
      <alignment horizontal="center" vertical="center" wrapText="1"/>
    </xf>
    <xf numFmtId="11" fontId="0" fillId="6" borderId="1" xfId="0" applyNumberFormat="1" applyFont="1" applyFill="1" applyBorder="1" applyAlignment="1">
      <alignment horizontal="center" vertical="center" wrapText="1"/>
    </xf>
    <xf numFmtId="11" fontId="0" fillId="4" borderId="1" xfId="0" applyNumberFormat="1" applyFont="1" applyFill="1" applyBorder="1" applyAlignment="1">
      <alignment horizontal="center" vertical="center" wrapText="1"/>
    </xf>
    <xf numFmtId="11" fontId="0" fillId="5" borderId="1" xfId="0" applyNumberFormat="1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left" vertical="center"/>
    </xf>
    <xf numFmtId="0" fontId="0" fillId="8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5" borderId="0" xfId="0" applyFont="1" applyFill="1" applyBorder="1" applyAlignment="1">
      <alignment vertical="center"/>
    </xf>
    <xf numFmtId="11" fontId="0" fillId="2" borderId="1" xfId="0" applyNumberFormat="1" applyFont="1" applyFill="1" applyBorder="1" applyAlignment="1">
      <alignment horizontal="center" vertical="center"/>
    </xf>
    <xf numFmtId="11" fontId="0" fillId="4" borderId="1" xfId="0" applyNumberFormat="1" applyFont="1" applyFill="1" applyBorder="1" applyAlignment="1">
      <alignment horizontal="center" vertical="center"/>
    </xf>
    <xf numFmtId="11" fontId="0" fillId="6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11" fontId="0" fillId="3" borderId="1" xfId="0" applyNumberFormat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11" fontId="0" fillId="9" borderId="1" xfId="0" applyNumberFormat="1" applyFont="1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4" fillId="6" borderId="12" xfId="0" applyFont="1" applyFill="1" applyBorder="1" applyAlignment="1">
      <alignment horizontal="right" vertical="center"/>
    </xf>
    <xf numFmtId="2" fontId="4" fillId="6" borderId="13" xfId="0" applyNumberFormat="1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right" vertical="center"/>
    </xf>
    <xf numFmtId="2" fontId="4" fillId="4" borderId="13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right" vertical="center"/>
    </xf>
    <xf numFmtId="2" fontId="4" fillId="2" borderId="16" xfId="0" applyNumberFormat="1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right" vertical="center"/>
    </xf>
    <xf numFmtId="2" fontId="4" fillId="4" borderId="16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right" vertical="center"/>
    </xf>
    <xf numFmtId="2" fontId="4" fillId="6" borderId="16" xfId="0" applyNumberFormat="1" applyFont="1" applyFill="1" applyBorder="1" applyAlignment="1">
      <alignment horizontal="center" vertical="center" wrapText="1"/>
    </xf>
    <xf numFmtId="0" fontId="0" fillId="6" borderId="17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0" fillId="5" borderId="18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right" vertical="center"/>
    </xf>
    <xf numFmtId="2" fontId="4" fillId="5" borderId="21" xfId="0" applyNumberFormat="1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right" vertical="center"/>
    </xf>
    <xf numFmtId="2" fontId="4" fillId="5" borderId="22" xfId="0" applyNumberFormat="1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38" fillId="5" borderId="0" xfId="0" applyFont="1" applyFill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164" fontId="0" fillId="4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ont="1" applyFill="1" applyBorder="1" applyAlignment="1">
      <alignment horizontal="center" vertical="center" wrapText="1"/>
    </xf>
    <xf numFmtId="11" fontId="0" fillId="5" borderId="1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11" fontId="0" fillId="0" borderId="1" xfId="0" applyNumberFormat="1" applyFont="1" applyFill="1" applyBorder="1" applyAlignment="1">
      <alignment horizontal="center" vertical="center" wrapText="1"/>
    </xf>
    <xf numFmtId="11" fontId="0" fillId="6" borderId="1" xfId="0" applyNumberForma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 wrapText="1"/>
    </xf>
    <xf numFmtId="165" fontId="4" fillId="5" borderId="3" xfId="1" applyNumberFormat="1" applyFont="1" applyFill="1" applyBorder="1" applyAlignment="1">
      <alignment horizontal="center" vertical="center"/>
    </xf>
    <xf numFmtId="11" fontId="0" fillId="0" borderId="1" xfId="0" applyNumberFormat="1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2" fontId="0" fillId="6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5" fontId="3" fillId="5" borderId="3" xfId="1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35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1" fontId="0" fillId="2" borderId="1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" fontId="0" fillId="6" borderId="1" xfId="0" applyNumberFormat="1" applyFont="1" applyFill="1" applyBorder="1" applyAlignment="1">
      <alignment horizontal="center" vertical="center"/>
    </xf>
    <xf numFmtId="10" fontId="0" fillId="6" borderId="1" xfId="0" applyNumberFormat="1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10" fontId="0" fillId="4" borderId="1" xfId="0" applyNumberFormat="1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1" fontId="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1" fontId="0" fillId="5" borderId="1" xfId="0" applyNumberFormat="1" applyFont="1" applyFill="1" applyBorder="1" applyAlignment="1">
      <alignment horizontal="center" vertical="center"/>
    </xf>
    <xf numFmtId="0" fontId="0" fillId="6" borderId="17" xfId="0" applyFont="1" applyFill="1" applyBorder="1" applyAlignment="1">
      <alignment horizontal="left" vertical="center" wrapText="1"/>
    </xf>
    <xf numFmtId="0" fontId="0" fillId="6" borderId="24" xfId="0" applyFont="1" applyFill="1" applyBorder="1" applyAlignment="1">
      <alignment horizontal="left" vertical="center" wrapText="1"/>
    </xf>
    <xf numFmtId="0" fontId="0" fillId="4" borderId="17" xfId="0" applyFont="1" applyFill="1" applyBorder="1" applyAlignment="1">
      <alignment horizontal="left" vertical="center" wrapText="1"/>
    </xf>
    <xf numFmtId="0" fontId="0" fillId="4" borderId="24" xfId="0" applyFont="1" applyFill="1" applyBorder="1" applyAlignment="1">
      <alignment horizontal="left" vertical="center" wrapText="1"/>
    </xf>
    <xf numFmtId="0" fontId="0" fillId="2" borderId="17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1" fontId="0" fillId="2" borderId="3" xfId="0" applyNumberFormat="1" applyFont="1" applyFill="1" applyBorder="1" applyAlignment="1">
      <alignment horizontal="center" vertical="center" wrapText="1"/>
    </xf>
    <xf numFmtId="11" fontId="14" fillId="2" borderId="1" xfId="2" applyNumberFormat="1" applyFont="1" applyFill="1" applyBorder="1" applyAlignment="1">
      <alignment horizontal="center" vertical="center"/>
    </xf>
    <xf numFmtId="11" fontId="14" fillId="6" borderId="1" xfId="2" applyNumberFormat="1" applyFont="1" applyFill="1" applyBorder="1" applyAlignment="1">
      <alignment horizontal="center" vertical="center"/>
    </xf>
    <xf numFmtId="11" fontId="14" fillId="9" borderId="1" xfId="2" applyNumberFormat="1" applyFont="1" applyFill="1" applyBorder="1" applyAlignment="1">
      <alignment horizontal="center" vertical="center"/>
    </xf>
    <xf numFmtId="11" fontId="14" fillId="6" borderId="1" xfId="2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1" fontId="0" fillId="5" borderId="1" xfId="0" applyNumberFormat="1" applyFont="1" applyFill="1" applyBorder="1" applyAlignment="1">
      <alignment horizontal="center" vertical="center"/>
    </xf>
    <xf numFmtId="11" fontId="0" fillId="5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0" fillId="0" borderId="1" xfId="0" applyNumberFormat="1" applyFont="1" applyFill="1" applyBorder="1" applyAlignment="1">
      <alignment horizontal="center" vertical="center" wrapText="1"/>
    </xf>
    <xf numFmtId="164" fontId="0" fillId="5" borderId="5" xfId="0" applyNumberFormat="1" applyFont="1" applyFill="1" applyBorder="1" applyAlignment="1">
      <alignment horizontal="center" vertical="center"/>
    </xf>
    <xf numFmtId="164" fontId="0" fillId="5" borderId="7" xfId="0" applyNumberFormat="1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center" vertical="center"/>
    </xf>
    <xf numFmtId="11" fontId="0" fillId="0" borderId="5" xfId="0" applyNumberFormat="1" applyFont="1" applyFill="1" applyBorder="1" applyAlignment="1">
      <alignment horizontal="center" vertical="center" wrapText="1"/>
    </xf>
    <xf numFmtId="11" fontId="0" fillId="0" borderId="2" xfId="0" applyNumberFormat="1" applyFont="1" applyFill="1" applyBorder="1" applyAlignment="1">
      <alignment horizontal="center" vertical="center" wrapText="1"/>
    </xf>
    <xf numFmtId="11" fontId="0" fillId="0" borderId="8" xfId="0" applyNumberFormat="1" applyFont="1" applyFill="1" applyBorder="1" applyAlignment="1">
      <alignment horizontal="center" vertical="center" wrapText="1"/>
    </xf>
    <xf numFmtId="11" fontId="0" fillId="0" borderId="19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7" fillId="5" borderId="1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64" fontId="0" fillId="5" borderId="5" xfId="0" applyNumberFormat="1" applyFont="1" applyFill="1" applyBorder="1" applyAlignment="1">
      <alignment horizontal="center" vertical="center" wrapText="1"/>
    </xf>
    <xf numFmtId="164" fontId="0" fillId="5" borderId="2" xfId="0" applyNumberFormat="1" applyFont="1" applyFill="1" applyBorder="1" applyAlignment="1">
      <alignment horizontal="center" vertical="center" wrapText="1"/>
    </xf>
    <xf numFmtId="11" fontId="0" fillId="0" borderId="25" xfId="0" applyNumberFormat="1" applyFont="1" applyFill="1" applyBorder="1" applyAlignment="1">
      <alignment horizontal="center" vertical="center" wrapText="1"/>
    </xf>
    <xf numFmtId="11" fontId="0" fillId="0" borderId="26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left" vertical="center"/>
    </xf>
  </cellXfs>
  <cellStyles count="3">
    <cellStyle name="Normal" xfId="0" builtinId="0"/>
    <cellStyle name="Normal 2" xfId="2" xr:uid="{00000000-0005-0000-0000-00002F000000}"/>
    <cellStyle name="Percent" xfId="1" builtinId="5"/>
  </cellStyles>
  <dxfs count="0"/>
  <tableStyles count="0" defaultTableStyle="TableStyleMedium2" defaultPivotStyle="PivotStyleLight16"/>
  <colors>
    <mruColors>
      <color rgb="FF3264C8"/>
      <color rgb="FF669933"/>
      <color rgb="FFED7608"/>
      <color rgb="FFD4398C"/>
      <color rgb="FF6F561F"/>
      <color rgb="FFFDD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614759</xdr:colOff>
      <xdr:row>20</xdr:row>
      <xdr:rowOff>128220</xdr:rowOff>
    </xdr:from>
    <xdr:to>
      <xdr:col>12</xdr:col>
      <xdr:colOff>790831</xdr:colOff>
      <xdr:row>22</xdr:row>
      <xdr:rowOff>131642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8453" y="3785820"/>
          <a:ext cx="4213777" cy="448968"/>
        </a:xfrm>
        <a:prstGeom prst="rect">
          <a:avLst/>
        </a:prstGeom>
      </xdr:spPr>
    </xdr:pic>
    <xdr:clientData/>
  </xdr:twoCellAnchor>
  <xdr:twoCellAnchor editAs="oneCell">
    <xdr:from>
      <xdr:col>8</xdr:col>
      <xdr:colOff>323384</xdr:colOff>
      <xdr:row>43</xdr:row>
      <xdr:rowOff>39709</xdr:rowOff>
    </xdr:from>
    <xdr:to>
      <xdr:col>11</xdr:col>
      <xdr:colOff>191112</xdr:colOff>
      <xdr:row>43</xdr:row>
      <xdr:rowOff>190267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6960" y="8645827"/>
          <a:ext cx="1737317" cy="15055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76</xdr:row>
      <xdr:rowOff>28816</xdr:rowOff>
    </xdr:from>
    <xdr:to>
      <xdr:col>12</xdr:col>
      <xdr:colOff>734140</xdr:colOff>
      <xdr:row>79</xdr:row>
      <xdr:rowOff>18042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5694" y="15734981"/>
          <a:ext cx="4009845" cy="646115"/>
        </a:xfrm>
        <a:prstGeom prst="rect">
          <a:avLst/>
        </a:prstGeom>
      </xdr:spPr>
    </xdr:pic>
    <xdr:clientData/>
  </xdr:twoCellAnchor>
  <xdr:twoCellAnchor editAs="oneCell">
    <xdr:from>
      <xdr:col>7</xdr:col>
      <xdr:colOff>251014</xdr:colOff>
      <xdr:row>98</xdr:row>
      <xdr:rowOff>75621</xdr:rowOff>
    </xdr:from>
    <xdr:to>
      <xdr:col>11</xdr:col>
      <xdr:colOff>830508</xdr:colOff>
      <xdr:row>101</xdr:row>
      <xdr:rowOff>96575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6708" y="20299997"/>
          <a:ext cx="2989095" cy="651173"/>
        </a:xfrm>
        <a:prstGeom prst="rect">
          <a:avLst/>
        </a:prstGeom>
      </xdr:spPr>
    </xdr:pic>
    <xdr:clientData/>
  </xdr:twoCellAnchor>
  <xdr:twoCellAnchor editAs="oneCell">
    <xdr:from>
      <xdr:col>7</xdr:col>
      <xdr:colOff>268940</xdr:colOff>
      <xdr:row>33</xdr:row>
      <xdr:rowOff>89647</xdr:rowOff>
    </xdr:from>
    <xdr:to>
      <xdr:col>9</xdr:col>
      <xdr:colOff>315290</xdr:colOff>
      <xdr:row>34</xdr:row>
      <xdr:rowOff>128044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D43D41-749E-4BFC-A9EB-47B5828B5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634" y="6544235"/>
          <a:ext cx="1238656" cy="253550"/>
        </a:xfrm>
        <a:prstGeom prst="rect">
          <a:avLst/>
        </a:prstGeom>
      </xdr:spPr>
    </xdr:pic>
    <xdr:clientData/>
  </xdr:twoCellAnchor>
  <xdr:twoCellAnchor editAs="oneCell">
    <xdr:from>
      <xdr:col>7</xdr:col>
      <xdr:colOff>282389</xdr:colOff>
      <xdr:row>25</xdr:row>
      <xdr:rowOff>78441</xdr:rowOff>
    </xdr:from>
    <xdr:to>
      <xdr:col>9</xdr:col>
      <xdr:colOff>299643</xdr:colOff>
      <xdr:row>26</xdr:row>
      <xdr:rowOff>128038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0D54532-E903-48A0-B324-936D5DE92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083" y="4811806"/>
          <a:ext cx="1209560" cy="264750"/>
        </a:xfrm>
        <a:prstGeom prst="rect">
          <a:avLst/>
        </a:prstGeom>
      </xdr:spPr>
    </xdr:pic>
    <xdr:clientData/>
  </xdr:twoCellAnchor>
  <xdr:twoCellAnchor editAs="oneCell">
    <xdr:from>
      <xdr:col>7</xdr:col>
      <xdr:colOff>321163</xdr:colOff>
      <xdr:row>49</xdr:row>
      <xdr:rowOff>97042</xdr:rowOff>
    </xdr:from>
    <xdr:to>
      <xdr:col>9</xdr:col>
      <xdr:colOff>326858</xdr:colOff>
      <xdr:row>50</xdr:row>
      <xdr:rowOff>144734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0CC0A83-875B-43A0-9BAC-E3ADC67DA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545" y="9890983"/>
          <a:ext cx="1204725" cy="260604"/>
        </a:xfrm>
        <a:prstGeom prst="rect">
          <a:avLst/>
        </a:prstGeom>
      </xdr:spPr>
    </xdr:pic>
    <xdr:clientData/>
  </xdr:twoCellAnchor>
  <xdr:twoCellAnchor editAs="oneCell">
    <xdr:from>
      <xdr:col>7</xdr:col>
      <xdr:colOff>315448</xdr:colOff>
      <xdr:row>65</xdr:row>
      <xdr:rowOff>93457</xdr:rowOff>
    </xdr:from>
    <xdr:to>
      <xdr:col>9</xdr:col>
      <xdr:colOff>361798</xdr:colOff>
      <xdr:row>66</xdr:row>
      <xdr:rowOff>127698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8AC554-D9B0-45F0-89DD-9043075D6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142" y="13432939"/>
          <a:ext cx="1238656" cy="249394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285751</xdr:colOff>
      <xdr:row>81</xdr:row>
      <xdr:rowOff>78216</xdr:rowOff>
    </xdr:from>
    <xdr:to>
      <xdr:col>9</xdr:col>
      <xdr:colOff>298849</xdr:colOff>
      <xdr:row>82</xdr:row>
      <xdr:rowOff>129719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B1D894B-9246-49D9-85D4-4102E7549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445" y="16860145"/>
          <a:ext cx="1205404" cy="266656"/>
        </a:xfrm>
        <a:prstGeom prst="rect">
          <a:avLst/>
        </a:prstGeom>
      </xdr:spPr>
    </xdr:pic>
    <xdr:clientData/>
  </xdr:twoCellAnchor>
  <xdr:twoCellAnchor editAs="oneCell">
    <xdr:from>
      <xdr:col>7</xdr:col>
      <xdr:colOff>280147</xdr:colOff>
      <xdr:row>89</xdr:row>
      <xdr:rowOff>78441</xdr:rowOff>
    </xdr:from>
    <xdr:to>
      <xdr:col>9</xdr:col>
      <xdr:colOff>321656</xdr:colOff>
      <xdr:row>90</xdr:row>
      <xdr:rowOff>112682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9948056-E3AC-4FAF-92E5-E7BB14619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841" y="18581594"/>
          <a:ext cx="1233815" cy="249394"/>
        </a:xfrm>
        <a:prstGeom prst="rect">
          <a:avLst/>
        </a:prstGeom>
      </xdr:spPr>
    </xdr:pic>
    <xdr:clientData/>
  </xdr:twoCellAnchor>
  <xdr:twoCellAnchor editAs="oneCell">
    <xdr:from>
      <xdr:col>7</xdr:col>
      <xdr:colOff>313765</xdr:colOff>
      <xdr:row>103</xdr:row>
      <xdr:rowOff>78441</xdr:rowOff>
    </xdr:from>
    <xdr:to>
      <xdr:col>9</xdr:col>
      <xdr:colOff>331019</xdr:colOff>
      <xdr:row>104</xdr:row>
      <xdr:rowOff>129308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FFC1AF2-96E7-4DDE-B1A1-FC6BE3903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9459" y="21808888"/>
          <a:ext cx="1209560" cy="266020"/>
        </a:xfrm>
        <a:prstGeom prst="rect">
          <a:avLst/>
        </a:prstGeom>
      </xdr:spPr>
    </xdr:pic>
    <xdr:clientData/>
  </xdr:twoCellAnchor>
  <xdr:twoCellAnchor editAs="oneCell">
    <xdr:from>
      <xdr:col>7</xdr:col>
      <xdr:colOff>307938</xdr:colOff>
      <xdr:row>111</xdr:row>
      <xdr:rowOff>112060</xdr:rowOff>
    </xdr:from>
    <xdr:to>
      <xdr:col>9</xdr:col>
      <xdr:colOff>358445</xdr:colOff>
      <xdr:row>112</xdr:row>
      <xdr:rowOff>142144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8C35A78-FBAE-4D79-A793-7D3118276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2498" y="23368300"/>
          <a:ext cx="1239227" cy="2434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8</xdr:col>
      <xdr:colOff>119648</xdr:colOff>
      <xdr:row>11</xdr:row>
      <xdr:rowOff>37340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C5C7FCF-8D7A-4E62-9573-A083D7BBD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1280160"/>
          <a:ext cx="6398528" cy="1104140"/>
        </a:xfrm>
        <a:prstGeom prst="rect">
          <a:avLst/>
        </a:prstGeom>
      </xdr:spPr>
    </xdr:pic>
    <xdr:clientData/>
  </xdr:twoCellAnchor>
  <xdr:twoCellAnchor editAs="oneCell">
    <xdr:from>
      <xdr:col>7</xdr:col>
      <xdr:colOff>281940</xdr:colOff>
      <xdr:row>29</xdr:row>
      <xdr:rowOff>91440</xdr:rowOff>
    </xdr:from>
    <xdr:to>
      <xdr:col>9</xdr:col>
      <xdr:colOff>304803</xdr:colOff>
      <xdr:row>30</xdr:row>
      <xdr:rowOff>138684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B14413-BFA1-4047-824E-C5F2816F5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6278880"/>
          <a:ext cx="1211583" cy="260604"/>
        </a:xfrm>
        <a:prstGeom prst="rect">
          <a:avLst/>
        </a:prstGeom>
      </xdr:spPr>
    </xdr:pic>
    <xdr:clientData/>
  </xdr:twoCellAnchor>
  <xdr:twoCellAnchor editAs="oneCell">
    <xdr:from>
      <xdr:col>7</xdr:col>
      <xdr:colOff>327660</xdr:colOff>
      <xdr:row>57</xdr:row>
      <xdr:rowOff>99060</xdr:rowOff>
    </xdr:from>
    <xdr:to>
      <xdr:col>9</xdr:col>
      <xdr:colOff>350523</xdr:colOff>
      <xdr:row>58</xdr:row>
      <xdr:rowOff>146304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FADA4C-99E4-4CE4-8E0C-37F5B7F4B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2220" y="12260580"/>
          <a:ext cx="1211583" cy="260604"/>
        </a:xfrm>
        <a:prstGeom prst="rect">
          <a:avLst/>
        </a:prstGeom>
      </xdr:spPr>
    </xdr:pic>
    <xdr:clientData/>
  </xdr:twoCellAnchor>
  <xdr:twoCellAnchor editAs="oneCell">
    <xdr:from>
      <xdr:col>7</xdr:col>
      <xdr:colOff>297180</xdr:colOff>
      <xdr:row>85</xdr:row>
      <xdr:rowOff>106680</xdr:rowOff>
    </xdr:from>
    <xdr:to>
      <xdr:col>9</xdr:col>
      <xdr:colOff>320043</xdr:colOff>
      <xdr:row>86</xdr:row>
      <xdr:rowOff>153924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E38EA17-21C6-4880-BBA0-1ED700C5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740" y="18242280"/>
          <a:ext cx="1211583" cy="260604"/>
        </a:xfrm>
        <a:prstGeom prst="rect">
          <a:avLst/>
        </a:prstGeom>
      </xdr:spPr>
    </xdr:pic>
    <xdr:clientData/>
  </xdr:twoCellAnchor>
  <xdr:twoCellAnchor editAs="oneCell">
    <xdr:from>
      <xdr:col>7</xdr:col>
      <xdr:colOff>327660</xdr:colOff>
      <xdr:row>107</xdr:row>
      <xdr:rowOff>91440</xdr:rowOff>
    </xdr:from>
    <xdr:to>
      <xdr:col>9</xdr:col>
      <xdr:colOff>350523</xdr:colOff>
      <xdr:row>108</xdr:row>
      <xdr:rowOff>138684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F0C0E5B-455F-4417-B696-DCA14A958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2220" y="22920960"/>
          <a:ext cx="1211583" cy="2606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771563</xdr:colOff>
      <xdr:row>20</xdr:row>
      <xdr:rowOff>128226</xdr:rowOff>
    </xdr:from>
    <xdr:to>
      <xdr:col>11</xdr:col>
      <xdr:colOff>788463</xdr:colOff>
      <xdr:row>22</xdr:row>
      <xdr:rowOff>155039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575" y="3785826"/>
          <a:ext cx="4194453" cy="457119"/>
        </a:xfrm>
        <a:prstGeom prst="rect">
          <a:avLst/>
        </a:prstGeom>
      </xdr:spPr>
    </xdr:pic>
    <xdr:clientData/>
  </xdr:twoCellAnchor>
  <xdr:twoCellAnchor editAs="oneCell">
    <xdr:from>
      <xdr:col>6</xdr:col>
      <xdr:colOff>81029</xdr:colOff>
      <xdr:row>25</xdr:row>
      <xdr:rowOff>73841</xdr:rowOff>
    </xdr:from>
    <xdr:to>
      <xdr:col>8</xdr:col>
      <xdr:colOff>281944</xdr:colOff>
      <xdr:row>26</xdr:row>
      <xdr:rowOff>130299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6145" y="3777515"/>
          <a:ext cx="1395838" cy="257415"/>
        </a:xfrm>
        <a:prstGeom prst="rect">
          <a:avLst/>
        </a:prstGeom>
      </xdr:spPr>
    </xdr:pic>
    <xdr:clientData/>
  </xdr:twoCellAnchor>
  <xdr:twoCellAnchor editAs="oneCell">
    <xdr:from>
      <xdr:col>6</xdr:col>
      <xdr:colOff>116825</xdr:colOff>
      <xdr:row>40</xdr:row>
      <xdr:rowOff>81815</xdr:rowOff>
    </xdr:from>
    <xdr:to>
      <xdr:col>8</xdr:col>
      <xdr:colOff>321550</xdr:colOff>
      <xdr:row>41</xdr:row>
      <xdr:rowOff>132559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105" y="7976135"/>
          <a:ext cx="1397255" cy="273628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38</xdr:row>
      <xdr:rowOff>91440</xdr:rowOff>
    </xdr:from>
    <xdr:to>
      <xdr:col>10</xdr:col>
      <xdr:colOff>212220</xdr:colOff>
      <xdr:row>39</xdr:row>
      <xdr:rowOff>18288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7580" y="7559040"/>
          <a:ext cx="1717170" cy="136398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</xdr:colOff>
      <xdr:row>29</xdr:row>
      <xdr:rowOff>72390</xdr:rowOff>
    </xdr:from>
    <xdr:to>
      <xdr:col>8</xdr:col>
      <xdr:colOff>305946</xdr:colOff>
      <xdr:row>30</xdr:row>
      <xdr:rowOff>132968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8430" y="4892040"/>
          <a:ext cx="1437516" cy="279654"/>
        </a:xfrm>
        <a:prstGeom prst="rect">
          <a:avLst/>
        </a:prstGeom>
      </xdr:spPr>
    </xdr:pic>
    <xdr:clientData/>
  </xdr:twoCellAnchor>
  <xdr:twoCellAnchor editAs="oneCell">
    <xdr:from>
      <xdr:col>6</xdr:col>
      <xdr:colOff>125730</xdr:colOff>
      <xdr:row>43</xdr:row>
      <xdr:rowOff>78105</xdr:rowOff>
    </xdr:from>
    <xdr:to>
      <xdr:col>8</xdr:col>
      <xdr:colOff>359286</xdr:colOff>
      <xdr:row>44</xdr:row>
      <xdr:rowOff>134874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7010" y="8612505"/>
          <a:ext cx="1418466" cy="273939"/>
        </a:xfrm>
        <a:prstGeom prst="rect">
          <a:avLst/>
        </a:prstGeom>
      </xdr:spPr>
    </xdr:pic>
    <xdr:clientData/>
  </xdr:twoCellAnchor>
  <xdr:twoCellAnchor editAs="oneCell">
    <xdr:from>
      <xdr:col>6</xdr:col>
      <xdr:colOff>88231</xdr:colOff>
      <xdr:row>57</xdr:row>
      <xdr:rowOff>105215</xdr:rowOff>
    </xdr:from>
    <xdr:to>
      <xdr:col>8</xdr:col>
      <xdr:colOff>283811</xdr:colOff>
      <xdr:row>58</xdr:row>
      <xdr:rowOff>136643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360" y="11508321"/>
          <a:ext cx="1391696" cy="254201"/>
        </a:xfrm>
        <a:prstGeom prst="rect">
          <a:avLst/>
        </a:prstGeom>
      </xdr:spPr>
    </xdr:pic>
    <xdr:clientData/>
  </xdr:twoCellAnchor>
  <xdr:twoCellAnchor editAs="oneCell">
    <xdr:from>
      <xdr:col>6</xdr:col>
      <xdr:colOff>87630</xdr:colOff>
      <xdr:row>62</xdr:row>
      <xdr:rowOff>93345</xdr:rowOff>
    </xdr:from>
    <xdr:to>
      <xdr:col>8</xdr:col>
      <xdr:colOff>321186</xdr:colOff>
      <xdr:row>63</xdr:row>
      <xdr:rowOff>153924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8910" y="12254865"/>
          <a:ext cx="1418466" cy="273939"/>
        </a:xfrm>
        <a:prstGeom prst="rect">
          <a:avLst/>
        </a:prstGeom>
      </xdr:spPr>
    </xdr:pic>
    <xdr:clientData/>
  </xdr:twoCellAnchor>
  <xdr:twoCellAnchor editAs="oneCell">
    <xdr:from>
      <xdr:col>6</xdr:col>
      <xdr:colOff>26894</xdr:colOff>
      <xdr:row>51</xdr:row>
      <xdr:rowOff>8962</xdr:rowOff>
    </xdr:from>
    <xdr:to>
      <xdr:col>11</xdr:col>
      <xdr:colOff>754343</xdr:colOff>
      <xdr:row>54</xdr:row>
      <xdr:rowOff>21111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023" y="10336303"/>
          <a:ext cx="3986792" cy="653798"/>
        </a:xfrm>
        <a:prstGeom prst="rect">
          <a:avLst/>
        </a:prstGeom>
      </xdr:spPr>
    </xdr:pic>
    <xdr:clientData/>
  </xdr:twoCellAnchor>
  <xdr:twoCellAnchor editAs="oneCell">
    <xdr:from>
      <xdr:col>7</xdr:col>
      <xdr:colOff>170330</xdr:colOff>
      <xdr:row>75</xdr:row>
      <xdr:rowOff>8964</xdr:rowOff>
    </xdr:from>
    <xdr:to>
      <xdr:col>11</xdr:col>
      <xdr:colOff>445024</xdr:colOff>
      <xdr:row>78</xdr:row>
      <xdr:rowOff>19384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3F34B48-896A-4B5B-991F-F7C1010C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9342" y="14424211"/>
          <a:ext cx="2999965" cy="646354"/>
        </a:xfrm>
        <a:prstGeom prst="rect">
          <a:avLst/>
        </a:prstGeom>
      </xdr:spPr>
    </xdr:pic>
    <xdr:clientData/>
  </xdr:twoCellAnchor>
  <xdr:twoCellAnchor editAs="oneCell">
    <xdr:from>
      <xdr:col>6</xdr:col>
      <xdr:colOff>92209</xdr:colOff>
      <xdr:row>79</xdr:row>
      <xdr:rowOff>96051</xdr:rowOff>
    </xdr:from>
    <xdr:to>
      <xdr:col>8</xdr:col>
      <xdr:colOff>285884</xdr:colOff>
      <xdr:row>80</xdr:row>
      <xdr:rowOff>135100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1C6FCAA-56B9-4933-A547-B9464D2CD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3394" y="20837691"/>
          <a:ext cx="1386205" cy="248599"/>
        </a:xfrm>
        <a:prstGeom prst="rect">
          <a:avLst/>
        </a:prstGeom>
      </xdr:spPr>
    </xdr:pic>
    <xdr:clientData/>
  </xdr:twoCellAnchor>
  <xdr:twoCellAnchor editAs="oneCell">
    <xdr:from>
      <xdr:col>6</xdr:col>
      <xdr:colOff>80682</xdr:colOff>
      <xdr:row>83</xdr:row>
      <xdr:rowOff>80682</xdr:rowOff>
    </xdr:from>
    <xdr:to>
      <xdr:col>8</xdr:col>
      <xdr:colOff>320925</xdr:colOff>
      <xdr:row>84</xdr:row>
      <xdr:rowOff>135159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8B3B407-6727-4FFC-B0C7-7FB36AE5B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1811" y="16217153"/>
          <a:ext cx="1428739" cy="2658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5</xdr:col>
      <xdr:colOff>742107</xdr:colOff>
      <xdr:row>11</xdr:row>
      <xdr:rowOff>37340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4889688-FFF4-4F15-8695-A73C11047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1280160"/>
          <a:ext cx="4552107" cy="1104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F95C-DDE5-4D3D-A903-24310D0021EC}">
  <dimension ref="B1:AZ113"/>
  <sheetViews>
    <sheetView zoomScaleNormal="100" workbookViewId="0">
      <selection activeCell="C1" sqref="C1:D3"/>
    </sheetView>
  </sheetViews>
  <sheetFormatPr defaultRowHeight="16.8" customHeight="1" x14ac:dyDescent="0.3"/>
  <cols>
    <col min="1" max="1" width="3.77734375" style="9" customWidth="1"/>
    <col min="2" max="2" width="10.44140625" style="9" customWidth="1"/>
    <col min="3" max="5" width="16.6640625" style="9" customWidth="1"/>
    <col min="6" max="6" width="12.21875" style="9" customWidth="1"/>
    <col min="7" max="7" width="11.109375" style="9" customWidth="1"/>
    <col min="8" max="8" width="7.77734375" style="9" customWidth="1"/>
    <col min="9" max="9" width="9.5546875" style="9" customWidth="1"/>
    <col min="10" max="10" width="7.77734375" style="9" customWidth="1"/>
    <col min="11" max="11" width="9.77734375" style="9" customWidth="1"/>
    <col min="12" max="12" width="12.6640625" style="9" customWidth="1"/>
    <col min="13" max="13" width="12.109375" style="9" customWidth="1"/>
    <col min="14" max="14" width="10.77734375" style="9" bestFit="1" customWidth="1"/>
    <col min="15" max="37" width="11.88671875" style="9" customWidth="1"/>
    <col min="38" max="52" width="11.77734375" style="9" customWidth="1"/>
    <col min="53" max="16384" width="8.88671875" style="9"/>
  </cols>
  <sheetData>
    <row r="1" spans="2:15" ht="16.8" customHeight="1" x14ac:dyDescent="0.3">
      <c r="C1" s="147" t="s">
        <v>2</v>
      </c>
      <c r="D1" s="147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5" ht="16.8" customHeight="1" x14ac:dyDescent="0.3">
      <c r="B2" s="31"/>
      <c r="C2" s="147"/>
      <c r="D2" s="147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5" ht="16.8" customHeight="1" x14ac:dyDescent="0.3">
      <c r="B3" s="31"/>
      <c r="C3" s="147"/>
      <c r="D3" s="147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s="17" customFormat="1" ht="16.8" customHeight="1" x14ac:dyDescent="0.3">
      <c r="B4" s="17" t="s">
        <v>1</v>
      </c>
    </row>
    <row r="5" spans="2:15" s="17" customFormat="1" ht="16.8" customHeight="1" x14ac:dyDescent="0.3">
      <c r="B5" s="17" t="s">
        <v>3</v>
      </c>
    </row>
    <row r="10" spans="2:15" ht="16.8" customHeight="1" x14ac:dyDescent="0.3">
      <c r="H10" s="10"/>
      <c r="I10" s="11"/>
    </row>
    <row r="13" spans="2:15" ht="16.8" customHeight="1" x14ac:dyDescent="0.3">
      <c r="B13" s="9" t="s">
        <v>98</v>
      </c>
    </row>
    <row r="14" spans="2:15" ht="16.8" customHeight="1" x14ac:dyDescent="0.3">
      <c r="B14" s="9" t="s">
        <v>99</v>
      </c>
    </row>
    <row r="16" spans="2:15" s="7" customFormat="1" ht="16.8" customHeight="1" x14ac:dyDescent="0.3">
      <c r="B16" s="145" t="s">
        <v>7</v>
      </c>
      <c r="C16" s="145"/>
      <c r="D16" s="145"/>
      <c r="E16" s="145"/>
      <c r="F16" s="145"/>
      <c r="G16" s="145"/>
      <c r="H16" s="145"/>
      <c r="I16" s="8"/>
      <c r="J16" s="8"/>
      <c r="K16" s="8"/>
      <c r="L16" s="8"/>
      <c r="M16" s="8"/>
    </row>
    <row r="17" spans="2:37" s="7" customFormat="1" ht="16.8" customHeight="1" x14ac:dyDescent="0.3">
      <c r="B17" s="145"/>
      <c r="C17" s="145"/>
      <c r="D17" s="145"/>
      <c r="E17" s="145"/>
      <c r="F17" s="145"/>
      <c r="G17" s="145"/>
      <c r="H17" s="145"/>
      <c r="I17" s="8"/>
      <c r="J17" s="8"/>
      <c r="K17" s="8"/>
      <c r="L17" s="8"/>
      <c r="M17" s="8"/>
    </row>
    <row r="19" spans="2:37" ht="16.8" customHeight="1" x14ac:dyDescent="0.3">
      <c r="B19" s="9" t="s">
        <v>90</v>
      </c>
    </row>
    <row r="21" spans="2:37" ht="16.8" customHeight="1" x14ac:dyDescent="0.3">
      <c r="B21" s="131" t="s">
        <v>0</v>
      </c>
      <c r="C21" s="131"/>
      <c r="D21" s="131"/>
      <c r="E21" s="131"/>
      <c r="F21" s="131"/>
      <c r="O21" s="131" t="s">
        <v>13</v>
      </c>
      <c r="P21" s="131"/>
      <c r="W21" s="131" t="s">
        <v>15</v>
      </c>
      <c r="X21" s="131"/>
      <c r="AE21" s="131" t="s">
        <v>17</v>
      </c>
      <c r="AF21" s="131"/>
    </row>
    <row r="22" spans="2:37" ht="16.8" customHeight="1" x14ac:dyDescent="0.3">
      <c r="B22" s="1" t="s">
        <v>77</v>
      </c>
      <c r="C22" s="4" t="s">
        <v>83</v>
      </c>
      <c r="D22" s="6" t="s">
        <v>84</v>
      </c>
      <c r="E22" s="5" t="s">
        <v>85</v>
      </c>
      <c r="F22" s="1" t="s">
        <v>87</v>
      </c>
      <c r="O22" s="4" t="s">
        <v>27</v>
      </c>
      <c r="P22" s="80" t="s">
        <v>5</v>
      </c>
      <c r="W22" s="6" t="s">
        <v>28</v>
      </c>
      <c r="X22" s="80" t="s">
        <v>5</v>
      </c>
      <c r="AE22" s="5" t="s">
        <v>29</v>
      </c>
      <c r="AF22" s="80" t="s">
        <v>5</v>
      </c>
    </row>
    <row r="23" spans="2:37" ht="16.8" customHeight="1" x14ac:dyDescent="0.3">
      <c r="B23" s="3">
        <v>0</v>
      </c>
      <c r="C23" s="12">
        <v>0</v>
      </c>
      <c r="D23" s="14">
        <v>3.1155446194497198</v>
      </c>
      <c r="E23" s="13">
        <v>0.80000011200001597</v>
      </c>
      <c r="F23" s="15">
        <v>37543.6789839181</v>
      </c>
      <c r="O23" s="12">
        <f>C23/F23</f>
        <v>0</v>
      </c>
      <c r="P23" s="72">
        <f>(B23-AVERAGE($B$23:$B$37))^2</f>
        <v>0.25</v>
      </c>
      <c r="W23" s="14">
        <f t="shared" ref="W23:W37" si="0">D23/F23</f>
        <v>8.2984531717956276E-5</v>
      </c>
      <c r="X23" s="72">
        <f>(B23-AVERAGE($B$23:$B$37))^2</f>
        <v>0.25</v>
      </c>
      <c r="AE23" s="13">
        <f t="shared" ref="AE23:AE37" si="1">E23/F23</f>
        <v>2.1308516737070369E-5</v>
      </c>
      <c r="AF23" s="72">
        <f>(B23-AVERAGE($B$23:$B$37))^2</f>
        <v>0.25</v>
      </c>
    </row>
    <row r="24" spans="2:37" ht="16.8" customHeight="1" x14ac:dyDescent="0.3">
      <c r="B24" s="3">
        <v>0</v>
      </c>
      <c r="C24" s="12">
        <v>0</v>
      </c>
      <c r="D24" s="14">
        <v>0.71085205485141201</v>
      </c>
      <c r="E24" s="13">
        <v>0</v>
      </c>
      <c r="F24" s="15">
        <v>39209.806119622699</v>
      </c>
      <c r="O24" s="12">
        <f t="shared" ref="O24:O37" si="2">C24/F24</f>
        <v>0</v>
      </c>
      <c r="P24" s="72">
        <f t="shared" ref="P24:P37" si="3">(B24-AVERAGE($B$23:$B$37))^2</f>
        <v>0.25</v>
      </c>
      <c r="W24" s="14">
        <f t="shared" si="0"/>
        <v>1.8129445799418612E-5</v>
      </c>
      <c r="X24" s="72">
        <f t="shared" ref="X24:X37" si="4">(B24-AVERAGE($B$23:$B$37))^2</f>
        <v>0.25</v>
      </c>
      <c r="AE24" s="13">
        <f t="shared" si="1"/>
        <v>0</v>
      </c>
      <c r="AF24" s="72">
        <f t="shared" ref="AF24:AF37" si="5">(B24-AVERAGE($B$23:$B$37))^2</f>
        <v>0.25</v>
      </c>
    </row>
    <row r="25" spans="2:37" ht="16.8" customHeight="1" thickBot="1" x14ac:dyDescent="0.35">
      <c r="B25" s="3">
        <v>0</v>
      </c>
      <c r="C25" s="12">
        <v>0.80000011200001597</v>
      </c>
      <c r="D25" s="14">
        <v>3.8733166703598201</v>
      </c>
      <c r="E25" s="13">
        <v>0.80000011200001597</v>
      </c>
      <c r="F25" s="15">
        <v>38950.729944134</v>
      </c>
      <c r="K25" s="146" t="s">
        <v>42</v>
      </c>
      <c r="L25" s="146"/>
      <c r="M25" s="146"/>
      <c r="O25" s="12">
        <f t="shared" si="2"/>
        <v>2.0538770727722816E-5</v>
      </c>
      <c r="P25" s="72">
        <f t="shared" si="3"/>
        <v>0.25</v>
      </c>
      <c r="S25" s="49"/>
      <c r="T25" s="49"/>
      <c r="U25" s="49"/>
      <c r="W25" s="14">
        <f t="shared" si="0"/>
        <v>9.9441439888680276E-5</v>
      </c>
      <c r="X25" s="72">
        <f t="shared" si="4"/>
        <v>0.25</v>
      </c>
      <c r="AE25" s="13">
        <f t="shared" si="1"/>
        <v>2.0538770727722816E-5</v>
      </c>
      <c r="AF25" s="72">
        <f t="shared" si="5"/>
        <v>0.25</v>
      </c>
    </row>
    <row r="26" spans="2:37" ht="16.8" customHeight="1" x14ac:dyDescent="0.3">
      <c r="B26" s="3">
        <v>0</v>
      </c>
      <c r="C26" s="12">
        <v>0</v>
      </c>
      <c r="D26" s="14">
        <v>-0.10791610969908801</v>
      </c>
      <c r="E26" s="13">
        <v>0</v>
      </c>
      <c r="F26" s="15">
        <v>38883.292069310402</v>
      </c>
      <c r="K26" s="40" t="s">
        <v>54</v>
      </c>
      <c r="L26" s="41">
        <f>((U29/U28)*U32)*SQRT((1+(1/U30)+((U31*U31)/U33)))</f>
        <v>0.14880940352633842</v>
      </c>
      <c r="M26" s="112" t="s">
        <v>79</v>
      </c>
      <c r="O26" s="12">
        <f t="shared" si="2"/>
        <v>0</v>
      </c>
      <c r="P26" s="72">
        <f t="shared" si="3"/>
        <v>0.25</v>
      </c>
      <c r="R26" s="125" t="s">
        <v>14</v>
      </c>
      <c r="S26" s="125"/>
      <c r="T26" s="125"/>
      <c r="U26" s="125"/>
      <c r="W26" s="14">
        <f t="shared" si="0"/>
        <v>-2.7753851064545908E-6</v>
      </c>
      <c r="X26" s="72">
        <f t="shared" si="4"/>
        <v>0.25</v>
      </c>
      <c r="AB26" s="48" t="s">
        <v>16</v>
      </c>
      <c r="AC26" s="48"/>
      <c r="AE26" s="13">
        <f t="shared" si="1"/>
        <v>0</v>
      </c>
      <c r="AF26" s="72">
        <f t="shared" si="5"/>
        <v>0.25</v>
      </c>
      <c r="AH26" s="131" t="s">
        <v>18</v>
      </c>
      <c r="AI26" s="131"/>
      <c r="AJ26" s="131"/>
      <c r="AK26" s="131"/>
    </row>
    <row r="27" spans="2:37" ht="16.8" customHeight="1" thickBot="1" x14ac:dyDescent="0.35">
      <c r="B27" s="3">
        <v>0</v>
      </c>
      <c r="C27" s="12">
        <v>0</v>
      </c>
      <c r="D27" s="14">
        <v>3.0733165439083998</v>
      </c>
      <c r="E27" s="13">
        <v>0</v>
      </c>
      <c r="F27" s="15">
        <v>38202.305442631099</v>
      </c>
      <c r="J27" s="18"/>
      <c r="K27" s="37" t="s">
        <v>55</v>
      </c>
      <c r="L27" s="38">
        <f>L26*3</f>
        <v>0.44642821057901527</v>
      </c>
      <c r="M27" s="113" t="s">
        <v>79</v>
      </c>
      <c r="O27" s="12">
        <f t="shared" si="2"/>
        <v>0</v>
      </c>
      <c r="P27" s="72">
        <f t="shared" si="3"/>
        <v>0.25</v>
      </c>
      <c r="R27" s="127" t="s">
        <v>8</v>
      </c>
      <c r="S27" s="127"/>
      <c r="T27" s="127"/>
      <c r="U27" s="20">
        <f>INTERCEPT(O23:O37,$B$23:$B$37)</f>
        <v>3.2997681325263456E-5</v>
      </c>
      <c r="W27" s="14">
        <f t="shared" si="0"/>
        <v>8.0448457450392344E-5</v>
      </c>
      <c r="X27" s="72">
        <f t="shared" si="4"/>
        <v>0.25</v>
      </c>
      <c r="Z27" s="127" t="s">
        <v>8</v>
      </c>
      <c r="AA27" s="127"/>
      <c r="AB27" s="127"/>
      <c r="AC27" s="21">
        <f>INTERCEPT(W23:W37,$B$23:$B$37)</f>
        <v>6.3398063306101618E-5</v>
      </c>
      <c r="AE27" s="13">
        <f t="shared" si="1"/>
        <v>0</v>
      </c>
      <c r="AF27" s="72">
        <f t="shared" si="5"/>
        <v>0.25</v>
      </c>
      <c r="AH27" s="127" t="s">
        <v>8</v>
      </c>
      <c r="AI27" s="127"/>
      <c r="AJ27" s="127"/>
      <c r="AK27" s="22">
        <f>INTERCEPT(AE23:AE37,$B$23:$B$37)</f>
        <v>1.1680944034560725E-5</v>
      </c>
    </row>
    <row r="28" spans="2:37" ht="16.8" customHeight="1" x14ac:dyDescent="0.3">
      <c r="B28" s="2">
        <v>0.5</v>
      </c>
      <c r="C28" s="12">
        <v>28.000032368040301</v>
      </c>
      <c r="D28" s="14">
        <v>13.5014758922289</v>
      </c>
      <c r="E28" s="13">
        <v>32.800038864047302</v>
      </c>
      <c r="F28" s="15">
        <v>38990.7962536372</v>
      </c>
      <c r="O28" s="12">
        <f t="shared" si="2"/>
        <v>7.1811901931672804E-4</v>
      </c>
      <c r="P28" s="72">
        <f t="shared" si="3"/>
        <v>0</v>
      </c>
      <c r="R28" s="127" t="s">
        <v>12</v>
      </c>
      <c r="S28" s="127"/>
      <c r="T28" s="127"/>
      <c r="U28" s="20">
        <f>SLOPE(O23:O37,$B$23:$B$37)</f>
        <v>1.2980563768847646E-3</v>
      </c>
      <c r="W28" s="14">
        <f t="shared" si="0"/>
        <v>3.4627340781658017E-4</v>
      </c>
      <c r="X28" s="72">
        <f t="shared" si="4"/>
        <v>0</v>
      </c>
      <c r="Z28" s="127" t="s">
        <v>12</v>
      </c>
      <c r="AA28" s="127"/>
      <c r="AB28" s="127"/>
      <c r="AC28" s="21">
        <f>SLOPE(W23:W37,$B$23:$B$37)</f>
        <v>4.0436985996395369E-4</v>
      </c>
      <c r="AE28" s="13">
        <f t="shared" si="1"/>
        <v>8.4122516120679631E-4</v>
      </c>
      <c r="AF28" s="72">
        <f t="shared" si="5"/>
        <v>0</v>
      </c>
      <c r="AH28" s="127" t="s">
        <v>12</v>
      </c>
      <c r="AI28" s="127"/>
      <c r="AJ28" s="127"/>
      <c r="AK28" s="22">
        <f>SLOPE(AE23:AE37,$B$23:$B$37)</f>
        <v>1.4671202493389708E-3</v>
      </c>
    </row>
    <row r="29" spans="2:37" ht="16.8" customHeight="1" thickBot="1" x14ac:dyDescent="0.35">
      <c r="B29" s="2">
        <v>0.5</v>
      </c>
      <c r="C29" s="12">
        <v>24.8000218400195</v>
      </c>
      <c r="D29" s="14">
        <v>9.4920877232641008</v>
      </c>
      <c r="E29" s="13">
        <v>32.000038304048701</v>
      </c>
      <c r="F29" s="15">
        <v>39012.467308028303</v>
      </c>
      <c r="G29" s="10"/>
      <c r="H29" s="19"/>
      <c r="I29" s="16"/>
      <c r="K29" s="146" t="s">
        <v>43</v>
      </c>
      <c r="L29" s="146"/>
      <c r="M29" s="146"/>
      <c r="O29" s="12">
        <f t="shared" si="2"/>
        <v>6.3569478044563337E-4</v>
      </c>
      <c r="P29" s="72">
        <f t="shared" si="3"/>
        <v>0</v>
      </c>
      <c r="Q29" s="50"/>
      <c r="R29" s="126" t="s">
        <v>65</v>
      </c>
      <c r="S29" s="126"/>
      <c r="T29" s="126"/>
      <c r="U29" s="20">
        <f>STEYX(O23:O37,$B$23:$B$37)</f>
        <v>1.0098300923251808E-4</v>
      </c>
      <c r="W29" s="14">
        <f t="shared" si="0"/>
        <v>2.4330908497322194E-4</v>
      </c>
      <c r="X29" s="72">
        <f t="shared" si="4"/>
        <v>0</v>
      </c>
      <c r="Z29" s="126" t="s">
        <v>65</v>
      </c>
      <c r="AA29" s="126"/>
      <c r="AB29" s="126"/>
      <c r="AC29" s="21">
        <f>STEYX(W23:W37,$B$23:$B$37)</f>
        <v>6.0354366543754061E-5</v>
      </c>
      <c r="AE29" s="13">
        <f t="shared" si="1"/>
        <v>8.2025158909812079E-4</v>
      </c>
      <c r="AF29" s="72">
        <f t="shared" si="5"/>
        <v>0</v>
      </c>
      <c r="AH29" s="126" t="s">
        <v>65</v>
      </c>
      <c r="AI29" s="126"/>
      <c r="AJ29" s="126"/>
      <c r="AK29" s="22">
        <f>STEYX(AE23:AE37,$B$23:$B$37)</f>
        <v>9.2186898603593718E-5</v>
      </c>
    </row>
    <row r="30" spans="2:37" ht="16.8" customHeight="1" x14ac:dyDescent="0.3">
      <c r="B30" s="2">
        <v>0.5</v>
      </c>
      <c r="C30" s="12">
        <v>33.600040096048502</v>
      </c>
      <c r="D30" s="14">
        <v>11.8967829863755</v>
      </c>
      <c r="E30" s="13">
        <v>24.8000231840232</v>
      </c>
      <c r="F30" s="15">
        <v>39032.462365521897</v>
      </c>
      <c r="G30" s="10"/>
      <c r="I30" s="16"/>
      <c r="K30" s="43" t="s">
        <v>52</v>
      </c>
      <c r="L30" s="44">
        <f>((AC29/AC28)*AC32)*SQRT((1+(1/AC30)+((AC31*AC31)/AC33)))</f>
        <v>0.28549962434950849</v>
      </c>
      <c r="M30" s="110" t="s">
        <v>79</v>
      </c>
      <c r="O30" s="12">
        <f t="shared" si="2"/>
        <v>8.6082296785170397E-4</v>
      </c>
      <c r="P30" s="72">
        <f t="shared" si="3"/>
        <v>0</v>
      </c>
      <c r="R30" s="127" t="s">
        <v>9</v>
      </c>
      <c r="S30" s="127"/>
      <c r="T30" s="127"/>
      <c r="U30" s="81">
        <f>COUNTA(O23:O37)</f>
        <v>15</v>
      </c>
      <c r="W30" s="14">
        <f t="shared" si="0"/>
        <v>3.0479201837094834E-4</v>
      </c>
      <c r="X30" s="72">
        <f t="shared" si="4"/>
        <v>0</v>
      </c>
      <c r="Z30" s="127" t="s">
        <v>9</v>
      </c>
      <c r="AA30" s="127"/>
      <c r="AB30" s="127"/>
      <c r="AC30" s="88">
        <f>COUNTA(W23:W37)</f>
        <v>15</v>
      </c>
      <c r="AE30" s="13">
        <f t="shared" si="1"/>
        <v>6.3536916917466938E-4</v>
      </c>
      <c r="AF30" s="72">
        <f t="shared" si="5"/>
        <v>0</v>
      </c>
      <c r="AH30" s="127" t="s">
        <v>9</v>
      </c>
      <c r="AI30" s="127"/>
      <c r="AJ30" s="127"/>
      <c r="AK30" s="83">
        <f>COUNTA(AE23:AE37)</f>
        <v>15</v>
      </c>
    </row>
    <row r="31" spans="2:37" ht="16.8" customHeight="1" thickBot="1" x14ac:dyDescent="0.35">
      <c r="B31" s="2">
        <v>0.5</v>
      </c>
      <c r="C31" s="12">
        <v>28.800031360037</v>
      </c>
      <c r="D31" s="14">
        <v>9.4920881804609092</v>
      </c>
      <c r="E31" s="13">
        <v>32.800045360071699</v>
      </c>
      <c r="F31" s="15">
        <v>39027.724311355603</v>
      </c>
      <c r="K31" s="35" t="s">
        <v>53</v>
      </c>
      <c r="L31" s="36">
        <f>L30*3</f>
        <v>0.85649887304852546</v>
      </c>
      <c r="M31" s="111" t="s">
        <v>79</v>
      </c>
      <c r="O31" s="12">
        <f t="shared" si="2"/>
        <v>7.3793775753553921E-4</v>
      </c>
      <c r="P31" s="72">
        <f t="shared" si="3"/>
        <v>0</v>
      </c>
      <c r="R31" s="126" t="s">
        <v>10</v>
      </c>
      <c r="S31" s="126"/>
      <c r="T31" s="126"/>
      <c r="U31" s="20">
        <f>AVERAGE($B$23:$B$37)</f>
        <v>0.5</v>
      </c>
      <c r="W31" s="14">
        <f t="shared" si="0"/>
        <v>2.4321398052151014E-4</v>
      </c>
      <c r="X31" s="72">
        <f t="shared" si="4"/>
        <v>0</v>
      </c>
      <c r="Z31" s="126" t="s">
        <v>10</v>
      </c>
      <c r="AA31" s="126"/>
      <c r="AB31" s="126"/>
      <c r="AC31" s="21">
        <f>AVERAGE($B$23:$B$37)</f>
        <v>0.5</v>
      </c>
      <c r="AE31" s="13">
        <f t="shared" si="1"/>
        <v>8.4042935986734226E-4</v>
      </c>
      <c r="AF31" s="72">
        <f t="shared" si="5"/>
        <v>0</v>
      </c>
      <c r="AH31" s="126" t="s">
        <v>10</v>
      </c>
      <c r="AI31" s="126"/>
      <c r="AJ31" s="126"/>
      <c r="AK31" s="22">
        <f>AVERAGE($B$23:$B$37)</f>
        <v>0.5</v>
      </c>
    </row>
    <row r="32" spans="2:37" ht="16.8" customHeight="1" x14ac:dyDescent="0.3">
      <c r="B32" s="2">
        <v>0.5</v>
      </c>
      <c r="C32" s="12">
        <v>28.800033824044899</v>
      </c>
      <c r="D32" s="14">
        <v>10.334316339099299</v>
      </c>
      <c r="E32" s="13">
        <v>24.000022400022601</v>
      </c>
      <c r="F32" s="15">
        <v>38582.458048275599</v>
      </c>
      <c r="O32" s="12">
        <f t="shared" si="2"/>
        <v>7.4645409548581329E-4</v>
      </c>
      <c r="P32" s="72">
        <f t="shared" si="3"/>
        <v>0</v>
      </c>
      <c r="R32" s="126" t="s">
        <v>11</v>
      </c>
      <c r="S32" s="126"/>
      <c r="T32" s="126"/>
      <c r="U32" s="82">
        <f>TINV(0.1,U30-2)</f>
        <v>1.7709333959868729</v>
      </c>
      <c r="W32" s="14">
        <f t="shared" si="0"/>
        <v>2.6785012831916186E-4</v>
      </c>
      <c r="X32" s="72">
        <f t="shared" si="4"/>
        <v>0</v>
      </c>
      <c r="Z32" s="126" t="s">
        <v>11</v>
      </c>
      <c r="AA32" s="126"/>
      <c r="AB32" s="126"/>
      <c r="AC32" s="89">
        <f>TINV(0.1,AC30-2)</f>
        <v>1.7709333959868729</v>
      </c>
      <c r="AE32" s="13">
        <f t="shared" si="1"/>
        <v>6.2204492958932293E-4</v>
      </c>
      <c r="AF32" s="72">
        <f t="shared" si="5"/>
        <v>0</v>
      </c>
      <c r="AH32" s="126" t="s">
        <v>11</v>
      </c>
      <c r="AI32" s="126"/>
      <c r="AJ32" s="126"/>
      <c r="AK32" s="84">
        <f>TINV(0.1,AK30-2)</f>
        <v>1.7709333959868729</v>
      </c>
    </row>
    <row r="33" spans="2:37" ht="16.8" customHeight="1" thickBot="1" x14ac:dyDescent="0.35">
      <c r="B33" s="3">
        <v>1</v>
      </c>
      <c r="C33" s="12">
        <v>40.800060368092197</v>
      </c>
      <c r="D33" s="14">
        <v>16.757783299527599</v>
      </c>
      <c r="E33" s="13">
        <v>52.800099680191799</v>
      </c>
      <c r="F33" s="15">
        <v>37418.557908348201</v>
      </c>
      <c r="G33" s="10"/>
      <c r="I33" s="16"/>
      <c r="K33" s="146" t="s">
        <v>44</v>
      </c>
      <c r="L33" s="146"/>
      <c r="M33" s="146"/>
      <c r="O33" s="12">
        <f t="shared" si="2"/>
        <v>1.0903696627760627E-3</v>
      </c>
      <c r="P33" s="72">
        <f t="shared" si="3"/>
        <v>0.25</v>
      </c>
      <c r="R33" s="143" t="s">
        <v>25</v>
      </c>
      <c r="S33" s="143"/>
      <c r="T33" s="143"/>
      <c r="U33" s="20">
        <f>SUM(P23:P37)</f>
        <v>2.5</v>
      </c>
      <c r="W33" s="14">
        <f t="shared" si="0"/>
        <v>4.4784685023334061E-4</v>
      </c>
      <c r="X33" s="72">
        <f t="shared" si="4"/>
        <v>0.25</v>
      </c>
      <c r="Z33" s="143" t="s">
        <v>25</v>
      </c>
      <c r="AA33" s="143"/>
      <c r="AB33" s="143"/>
      <c r="AC33" s="21">
        <f>SUM(X23:X37)</f>
        <v>2.5</v>
      </c>
      <c r="AE33" s="13">
        <f t="shared" si="1"/>
        <v>1.4110671985146687E-3</v>
      </c>
      <c r="AF33" s="72">
        <f t="shared" si="5"/>
        <v>0.25</v>
      </c>
      <c r="AH33" s="143" t="s">
        <v>25</v>
      </c>
      <c r="AI33" s="143"/>
      <c r="AJ33" s="143"/>
      <c r="AK33" s="22">
        <f>SUM(AF23:AF37)</f>
        <v>2.5</v>
      </c>
    </row>
    <row r="34" spans="2:37" ht="16.8" customHeight="1" x14ac:dyDescent="0.3">
      <c r="B34" s="3">
        <v>1</v>
      </c>
      <c r="C34" s="12">
        <v>48.800091056185501</v>
      </c>
      <c r="D34" s="14">
        <v>23.143717589747801</v>
      </c>
      <c r="E34" s="13">
        <v>58.4001284642939</v>
      </c>
      <c r="F34" s="15">
        <v>38521.498293885597</v>
      </c>
      <c r="G34" s="10"/>
      <c r="I34" s="16"/>
      <c r="K34" s="45" t="s">
        <v>52</v>
      </c>
      <c r="L34" s="46">
        <f>((AK29/AK28)*AK32)*SQRT((1+(1/AK30)+((AK31*AK31)/AK33)))</f>
        <v>0.12019298356593573</v>
      </c>
      <c r="M34" s="108" t="s">
        <v>79</v>
      </c>
      <c r="O34" s="12">
        <f t="shared" si="2"/>
        <v>1.2668274396775319E-3</v>
      </c>
      <c r="P34" s="72">
        <f t="shared" si="3"/>
        <v>0.25</v>
      </c>
      <c r="W34" s="14">
        <f t="shared" si="0"/>
        <v>6.0080003672705886E-4</v>
      </c>
      <c r="X34" s="72">
        <f t="shared" si="4"/>
        <v>0.25</v>
      </c>
      <c r="AE34" s="13">
        <f t="shared" si="1"/>
        <v>1.5160399011157771E-3</v>
      </c>
      <c r="AF34" s="72">
        <f t="shared" si="5"/>
        <v>0.25</v>
      </c>
    </row>
    <row r="35" spans="2:37" ht="16.8" customHeight="1" thickBot="1" x14ac:dyDescent="0.35">
      <c r="B35" s="3">
        <v>1</v>
      </c>
      <c r="C35" s="12">
        <v>48.000083104148203</v>
      </c>
      <c r="D35" s="14">
        <v>16.762474182809999</v>
      </c>
      <c r="E35" s="13">
        <v>52.000114576277099</v>
      </c>
      <c r="F35" s="15">
        <v>37306.254633396602</v>
      </c>
      <c r="G35" s="10"/>
      <c r="I35" s="16"/>
      <c r="K35" s="32" t="s">
        <v>53</v>
      </c>
      <c r="L35" s="33">
        <f>L34*3</f>
        <v>0.36057895069780721</v>
      </c>
      <c r="M35" s="109" t="s">
        <v>79</v>
      </c>
      <c r="O35" s="12">
        <f t="shared" si="2"/>
        <v>1.2866497474977956E-3</v>
      </c>
      <c r="P35" s="72">
        <f t="shared" si="3"/>
        <v>0.25</v>
      </c>
      <c r="W35" s="14">
        <f t="shared" si="0"/>
        <v>4.4932074654860187E-4</v>
      </c>
      <c r="X35" s="72">
        <f t="shared" si="4"/>
        <v>0.25</v>
      </c>
      <c r="AE35" s="13">
        <f t="shared" si="1"/>
        <v>1.3938712177696481E-3</v>
      </c>
      <c r="AF35" s="72">
        <f t="shared" si="5"/>
        <v>0.25</v>
      </c>
    </row>
    <row r="36" spans="2:37" ht="16.8" customHeight="1" x14ac:dyDescent="0.3">
      <c r="B36" s="3">
        <v>1</v>
      </c>
      <c r="C36" s="12">
        <v>56.800115696241598</v>
      </c>
      <c r="D36" s="14">
        <v>14.339011587758399</v>
      </c>
      <c r="E36" s="13">
        <v>54.400110208235802</v>
      </c>
      <c r="F36" s="15">
        <v>39260.298777440097</v>
      </c>
      <c r="O36" s="12">
        <f t="shared" si="2"/>
        <v>1.4467570921513286E-3</v>
      </c>
      <c r="P36" s="72">
        <f t="shared" si="3"/>
        <v>0.25</v>
      </c>
      <c r="W36" s="14">
        <f t="shared" si="0"/>
        <v>3.6522930375654548E-4</v>
      </c>
      <c r="X36" s="72">
        <f t="shared" si="4"/>
        <v>0.25</v>
      </c>
      <c r="AE36" s="13">
        <f t="shared" si="1"/>
        <v>1.3856264955246697E-3</v>
      </c>
      <c r="AF36" s="72">
        <f t="shared" si="5"/>
        <v>0.25</v>
      </c>
    </row>
    <row r="37" spans="2:37" ht="16.8" customHeight="1" x14ac:dyDescent="0.3">
      <c r="B37" s="3">
        <v>1</v>
      </c>
      <c r="C37" s="12">
        <v>54.4001059522109</v>
      </c>
      <c r="D37" s="14">
        <v>16.734322611104499</v>
      </c>
      <c r="E37" s="13">
        <v>64.000144928331906</v>
      </c>
      <c r="F37" s="15">
        <v>38304.087997548202</v>
      </c>
      <c r="O37" s="12">
        <f t="shared" si="2"/>
        <v>1.4202167130488261E-3</v>
      </c>
      <c r="P37" s="72">
        <f t="shared" si="3"/>
        <v>0.25</v>
      </c>
      <c r="W37" s="14">
        <f t="shared" si="0"/>
        <v>4.3688085230421468E-4</v>
      </c>
      <c r="X37" s="72">
        <f t="shared" si="4"/>
        <v>0.25</v>
      </c>
      <c r="AE37" s="13">
        <f t="shared" si="1"/>
        <v>1.6708437212348843E-3</v>
      </c>
      <c r="AF37" s="72">
        <f t="shared" si="5"/>
        <v>0.25</v>
      </c>
    </row>
    <row r="38" spans="2:37" ht="16.8" customHeight="1" x14ac:dyDescent="0.3">
      <c r="P38" s="85"/>
    </row>
    <row r="39" spans="2:37" s="7" customFormat="1" ht="16.8" customHeight="1" x14ac:dyDescent="0.3">
      <c r="B39" s="145" t="s">
        <v>32</v>
      </c>
      <c r="C39" s="145"/>
      <c r="D39" s="145"/>
      <c r="E39" s="145"/>
      <c r="F39" s="145"/>
      <c r="G39" s="145"/>
      <c r="H39" s="145"/>
      <c r="I39" s="8"/>
      <c r="J39" s="8"/>
      <c r="K39" s="8"/>
      <c r="L39" s="8"/>
      <c r="M39" s="8"/>
    </row>
    <row r="40" spans="2:37" s="7" customFormat="1" ht="16.8" customHeight="1" x14ac:dyDescent="0.3">
      <c r="B40" s="145"/>
      <c r="C40" s="145"/>
      <c r="D40" s="145"/>
      <c r="E40" s="145"/>
      <c r="F40" s="145"/>
      <c r="G40" s="145"/>
      <c r="H40" s="145"/>
      <c r="I40" s="8"/>
      <c r="J40" s="8"/>
      <c r="K40" s="8"/>
      <c r="L40" s="8"/>
      <c r="M40" s="8"/>
    </row>
    <row r="42" spans="2:37" ht="16.95" customHeight="1" x14ac:dyDescent="0.3">
      <c r="B42" s="9" t="s">
        <v>91</v>
      </c>
      <c r="J42" s="16"/>
      <c r="M42" s="93"/>
    </row>
    <row r="43" spans="2:37" ht="16.95" customHeight="1" x14ac:dyDescent="0.3">
      <c r="J43" s="16"/>
    </row>
    <row r="44" spans="2:37" ht="16.8" customHeight="1" x14ac:dyDescent="0.3">
      <c r="B44" s="131" t="s">
        <v>0</v>
      </c>
      <c r="C44" s="131"/>
      <c r="D44" s="131"/>
      <c r="E44" s="131"/>
      <c r="F44" s="131"/>
      <c r="O44" s="131" t="s">
        <v>13</v>
      </c>
      <c r="P44" s="131"/>
      <c r="Q44" s="49"/>
      <c r="S44" s="131" t="s">
        <v>15</v>
      </c>
      <c r="T44" s="131"/>
      <c r="W44" s="131" t="s">
        <v>17</v>
      </c>
      <c r="X44" s="131"/>
    </row>
    <row r="45" spans="2:37" ht="16.8" customHeight="1" x14ac:dyDescent="0.3">
      <c r="B45" s="1" t="s">
        <v>77</v>
      </c>
      <c r="C45" s="4" t="s">
        <v>83</v>
      </c>
      <c r="D45" s="6" t="s">
        <v>84</v>
      </c>
      <c r="E45" s="5" t="s">
        <v>85</v>
      </c>
      <c r="F45" s="1" t="s">
        <v>87</v>
      </c>
      <c r="O45" s="4" t="s">
        <v>27</v>
      </c>
      <c r="P45" s="1" t="s">
        <v>77</v>
      </c>
      <c r="Q45" s="58" t="s">
        <v>22</v>
      </c>
      <c r="S45" s="6" t="s">
        <v>28</v>
      </c>
      <c r="T45" s="1" t="s">
        <v>77</v>
      </c>
      <c r="U45" s="58" t="s">
        <v>22</v>
      </c>
      <c r="W45" s="5" t="s">
        <v>29</v>
      </c>
      <c r="X45" s="1" t="s">
        <v>77</v>
      </c>
      <c r="Y45" s="58" t="s">
        <v>22</v>
      </c>
    </row>
    <row r="46" spans="2:37" ht="16.8" customHeight="1" x14ac:dyDescent="0.3">
      <c r="B46" s="23">
        <v>5</v>
      </c>
      <c r="C46" s="12">
        <v>271.20257591248202</v>
      </c>
      <c r="D46" s="14">
        <v>89.5439876240291</v>
      </c>
      <c r="E46" s="24">
        <v>284.00284830084598</v>
      </c>
      <c r="F46" s="72">
        <v>40528.619916094998</v>
      </c>
      <c r="O46" s="12">
        <f t="shared" ref="O46:O70" si="6">C46/F46</f>
        <v>6.6916311602502956E-3</v>
      </c>
      <c r="P46" s="136">
        <f>AVERAGE($B46:$B50)</f>
        <v>5</v>
      </c>
      <c r="Q46" s="132">
        <f>_xlfn.STDEV.S(O46:O50)</f>
        <v>4.9814215901718367E-4</v>
      </c>
      <c r="S46" s="14">
        <f t="shared" ref="S46:S70" si="7">D46/F46</f>
        <v>2.2094013516721993E-3</v>
      </c>
      <c r="T46" s="136">
        <f>AVERAGE($B46:$B50)</f>
        <v>5</v>
      </c>
      <c r="U46" s="132">
        <f>_xlfn.STDEV.S(S46:S50)</f>
        <v>1.780036986702094E-4</v>
      </c>
      <c r="W46" s="13">
        <f t="shared" ref="W46:W70" si="8">E46/F46</f>
        <v>7.0074640806621902E-3</v>
      </c>
      <c r="X46" s="136">
        <f>AVERAGE($B46:$B50)</f>
        <v>5</v>
      </c>
      <c r="Y46" s="132">
        <f>_xlfn.STDEV.S(W46:W50)</f>
        <v>3.6282327857867122E-4</v>
      </c>
    </row>
    <row r="47" spans="2:37" ht="16.8" customHeight="1" thickBot="1" x14ac:dyDescent="0.35">
      <c r="B47" s="23">
        <v>5</v>
      </c>
      <c r="C47" s="12">
        <v>226.40181004659399</v>
      </c>
      <c r="D47" s="14">
        <v>79.929848671164905</v>
      </c>
      <c r="E47" s="24">
        <v>260.80238763792102</v>
      </c>
      <c r="F47" s="72">
        <v>40489.3014533307</v>
      </c>
      <c r="K47" s="125" t="s">
        <v>41</v>
      </c>
      <c r="L47" s="125"/>
      <c r="M47" s="125"/>
      <c r="O47" s="12">
        <f t="shared" si="6"/>
        <v>5.5916452475119182E-3</v>
      </c>
      <c r="P47" s="137"/>
      <c r="Q47" s="132"/>
      <c r="S47" s="14">
        <f t="shared" si="7"/>
        <v>1.9740979913742073E-3</v>
      </c>
      <c r="T47" s="137"/>
      <c r="U47" s="132"/>
      <c r="W47" s="13">
        <f t="shared" si="8"/>
        <v>6.4412666624671317E-3</v>
      </c>
      <c r="X47" s="137"/>
      <c r="Y47" s="132"/>
    </row>
    <row r="48" spans="2:37" ht="16.8" customHeight="1" x14ac:dyDescent="0.3">
      <c r="B48" s="23">
        <v>5</v>
      </c>
      <c r="C48" s="12">
        <v>283.20281189996598</v>
      </c>
      <c r="D48" s="14">
        <v>89.576837244428205</v>
      </c>
      <c r="E48" s="24">
        <v>289.60296063853201</v>
      </c>
      <c r="F48" s="72">
        <v>41832.479888862697</v>
      </c>
      <c r="K48" s="1" t="s">
        <v>77</v>
      </c>
      <c r="L48" s="66" t="s">
        <v>21</v>
      </c>
      <c r="M48" s="27" t="s">
        <v>49</v>
      </c>
      <c r="O48" s="12">
        <f t="shared" si="6"/>
        <v>6.7699264459663245E-3</v>
      </c>
      <c r="P48" s="137"/>
      <c r="Q48" s="132"/>
      <c r="S48" s="14">
        <f t="shared" si="7"/>
        <v>2.141322663213107E-3</v>
      </c>
      <c r="T48" s="137"/>
      <c r="U48" s="132"/>
      <c r="W48" s="13">
        <f t="shared" si="8"/>
        <v>6.9229211705336812E-3</v>
      </c>
      <c r="X48" s="137"/>
      <c r="Y48" s="132"/>
    </row>
    <row r="49" spans="2:25" ht="16.8" customHeight="1" x14ac:dyDescent="0.3">
      <c r="B49" s="23">
        <v>5</v>
      </c>
      <c r="C49" s="12">
        <v>248.80218368331299</v>
      </c>
      <c r="D49" s="14">
        <v>75.1204420378903</v>
      </c>
      <c r="E49" s="24">
        <v>264.00245125487402</v>
      </c>
      <c r="F49" s="72">
        <v>41325.398631976001</v>
      </c>
      <c r="K49" s="90">
        <v>5</v>
      </c>
      <c r="L49" s="91">
        <f>Q46/AVERAGE(O46:O50)</f>
        <v>7.888806241027245E-2</v>
      </c>
      <c r="M49" s="60" t="str">
        <f>IF(L49&lt;0.15,"yes","no")</f>
        <v>yes</v>
      </c>
      <c r="O49" s="12">
        <f t="shared" si="6"/>
        <v>6.0205634287771748E-3</v>
      </c>
      <c r="P49" s="137"/>
      <c r="Q49" s="132"/>
      <c r="S49" s="14">
        <f t="shared" si="7"/>
        <v>1.8177790057605154E-3</v>
      </c>
      <c r="T49" s="137"/>
      <c r="U49" s="132"/>
      <c r="W49" s="13">
        <f t="shared" si="8"/>
        <v>6.3883824474617193E-3</v>
      </c>
      <c r="X49" s="137"/>
      <c r="Y49" s="132"/>
    </row>
    <row r="50" spans="2:25" ht="16.8" customHeight="1" x14ac:dyDescent="0.3">
      <c r="B50" s="23">
        <v>5</v>
      </c>
      <c r="C50" s="12">
        <v>266.40253178449302</v>
      </c>
      <c r="D50" s="14">
        <v>91.911153779919005</v>
      </c>
      <c r="E50" s="24">
        <v>252.80225704435199</v>
      </c>
      <c r="F50" s="72">
        <v>40991.596029424603</v>
      </c>
      <c r="K50" s="92">
        <v>10</v>
      </c>
      <c r="L50" s="91">
        <f>Q51/AVERAGE(O51:O55)</f>
        <v>3.1623339444624761E-2</v>
      </c>
      <c r="M50" s="60" t="str">
        <f>IF(L50&lt;0.15,"yes","no")</f>
        <v>yes</v>
      </c>
      <c r="O50" s="12">
        <f t="shared" si="6"/>
        <v>6.4989548490198782E-3</v>
      </c>
      <c r="P50" s="138"/>
      <c r="Q50" s="132"/>
      <c r="S50" s="14">
        <f t="shared" si="7"/>
        <v>2.2421950517355631E-3</v>
      </c>
      <c r="T50" s="138"/>
      <c r="U50" s="132"/>
      <c r="W50" s="13">
        <f t="shared" si="8"/>
        <v>6.1671728239828813E-3</v>
      </c>
      <c r="X50" s="138"/>
      <c r="Y50" s="132"/>
    </row>
    <row r="51" spans="2:25" ht="16.8" customHeight="1" x14ac:dyDescent="0.3">
      <c r="B51" s="23">
        <v>10</v>
      </c>
      <c r="C51" s="12">
        <v>481.60817210757301</v>
      </c>
      <c r="D51" s="14">
        <v>162.33523967110699</v>
      </c>
      <c r="E51" s="24">
        <v>527.20980029548105</v>
      </c>
      <c r="F51" s="72">
        <v>38188.591753178502</v>
      </c>
      <c r="K51" s="92">
        <v>50</v>
      </c>
      <c r="L51" s="91">
        <f>Q56/AVERAGE(O56:O60)</f>
        <v>2.0907242752352093E-2</v>
      </c>
      <c r="M51" s="60" t="str">
        <f>IF(L51&lt;0.15,"yes","no")</f>
        <v>yes</v>
      </c>
      <c r="O51" s="12">
        <f t="shared" si="6"/>
        <v>1.2611310079730499E-2</v>
      </c>
      <c r="P51" s="136">
        <f>AVERAGE($B51:$B55)</f>
        <v>10</v>
      </c>
      <c r="Q51" s="132">
        <f>_xlfn.STDEV.S(O51:O55)</f>
        <v>4.1468916904560964E-4</v>
      </c>
      <c r="S51" s="14">
        <f t="shared" si="7"/>
        <v>4.2508831098123836E-3</v>
      </c>
      <c r="T51" s="136">
        <f>AVERAGE($B51:$B55)</f>
        <v>10</v>
      </c>
      <c r="U51" s="132">
        <f>_xlfn.STDEV.S(S51:S55)</f>
        <v>2.8213029636416808E-4</v>
      </c>
      <c r="W51" s="13">
        <f t="shared" si="8"/>
        <v>1.3805426597109344E-2</v>
      </c>
      <c r="X51" s="136">
        <f>AVERAGE($B51:$B55)</f>
        <v>10</v>
      </c>
      <c r="Y51" s="132">
        <f>_xlfn.STDEV.S(W51:W55)</f>
        <v>3.4730758580056516E-4</v>
      </c>
    </row>
    <row r="52" spans="2:25" ht="16.8" customHeight="1" x14ac:dyDescent="0.3">
      <c r="B52" s="23">
        <v>10</v>
      </c>
      <c r="C52" s="12">
        <v>528.00988418755003</v>
      </c>
      <c r="D52" s="14">
        <v>178.35890128288199</v>
      </c>
      <c r="E52" s="24">
        <v>555.20933223377097</v>
      </c>
      <c r="F52" s="72">
        <v>38653.041576453703</v>
      </c>
      <c r="K52" s="92">
        <v>100</v>
      </c>
      <c r="L52" s="91">
        <f>Q61/AVERAGE(O61:O65)</f>
        <v>2.2453446459564558E-2</v>
      </c>
      <c r="M52" s="60" t="str">
        <f>IF(L52&lt;0.15,"yes","no")</f>
        <v>yes</v>
      </c>
      <c r="O52" s="12">
        <f t="shared" si="6"/>
        <v>1.3660241539936099E-2</v>
      </c>
      <c r="P52" s="137"/>
      <c r="Q52" s="132"/>
      <c r="S52" s="14">
        <f t="shared" si="7"/>
        <v>4.6143561802270434E-3</v>
      </c>
      <c r="T52" s="137"/>
      <c r="U52" s="132"/>
      <c r="W52" s="13">
        <f t="shared" si="8"/>
        <v>1.4363923499670675E-2</v>
      </c>
      <c r="X52" s="137"/>
      <c r="Y52" s="132"/>
    </row>
    <row r="53" spans="2:25" ht="16.8" customHeight="1" thickBot="1" x14ac:dyDescent="0.35">
      <c r="B53" s="23">
        <v>10</v>
      </c>
      <c r="C53" s="12">
        <v>502.40884569193702</v>
      </c>
      <c r="D53" s="14">
        <v>182.33080717437599</v>
      </c>
      <c r="E53" s="24">
        <v>520.80951782238196</v>
      </c>
      <c r="F53" s="72">
        <v>38659.486054804598</v>
      </c>
      <c r="K53" s="92">
        <v>500</v>
      </c>
      <c r="L53" s="91">
        <f>Q66/AVERAGE(O66:O70)</f>
        <v>1.6215472047733565E-2</v>
      </c>
      <c r="M53" s="59" t="str">
        <f>IF(L53&lt;0.15,"yes","no")</f>
        <v>yes</v>
      </c>
      <c r="O53" s="12">
        <f t="shared" si="6"/>
        <v>1.2995745597334388E-2</v>
      </c>
      <c r="P53" s="137"/>
      <c r="Q53" s="132"/>
      <c r="S53" s="14">
        <f t="shared" si="7"/>
        <v>4.7163277575883846E-3</v>
      </c>
      <c r="T53" s="137"/>
      <c r="U53" s="132"/>
      <c r="W53" s="13">
        <f t="shared" si="8"/>
        <v>1.3471713438819909E-2</v>
      </c>
      <c r="X53" s="137"/>
      <c r="Y53" s="132"/>
    </row>
    <row r="54" spans="2:25" ht="16.8" customHeight="1" x14ac:dyDescent="0.3">
      <c r="B54" s="23">
        <v>10</v>
      </c>
      <c r="C54" s="12">
        <v>510.40914406827801</v>
      </c>
      <c r="D54" s="14">
        <v>191.94499921991499</v>
      </c>
      <c r="E54" s="24">
        <v>524.80968504358202</v>
      </c>
      <c r="F54" s="72">
        <v>38104.391758493999</v>
      </c>
      <c r="O54" s="12">
        <f t="shared" si="6"/>
        <v>1.3395021427011775E-2</v>
      </c>
      <c r="P54" s="137"/>
      <c r="Q54" s="132"/>
      <c r="S54" s="14">
        <f t="shared" si="7"/>
        <v>5.0373458376258631E-3</v>
      </c>
      <c r="T54" s="137"/>
      <c r="U54" s="132"/>
      <c r="W54" s="13">
        <f t="shared" si="8"/>
        <v>1.3772944818797551E-2</v>
      </c>
      <c r="X54" s="137"/>
      <c r="Y54" s="132"/>
    </row>
    <row r="55" spans="2:25" ht="16.8" customHeight="1" thickBot="1" x14ac:dyDescent="0.35">
      <c r="B55" s="23">
        <v>10</v>
      </c>
      <c r="C55" s="12">
        <v>501.608864397606</v>
      </c>
      <c r="D55" s="14">
        <v>178.36829582288701</v>
      </c>
      <c r="E55" s="24">
        <v>527.20976938177603</v>
      </c>
      <c r="F55" s="72">
        <v>38870.459588907397</v>
      </c>
      <c r="K55" s="125" t="s">
        <v>20</v>
      </c>
      <c r="L55" s="125"/>
      <c r="M55" s="125"/>
      <c r="O55" s="12">
        <f t="shared" si="6"/>
        <v>1.2904629111736871E-2</v>
      </c>
      <c r="P55" s="138"/>
      <c r="Q55" s="132"/>
      <c r="S55" s="14">
        <f t="shared" si="7"/>
        <v>4.5887879307140635E-3</v>
      </c>
      <c r="T55" s="138"/>
      <c r="U55" s="132"/>
      <c r="W55" s="13">
        <f t="shared" si="8"/>
        <v>1.3563250215138382E-2</v>
      </c>
      <c r="X55" s="138"/>
      <c r="Y55" s="132"/>
    </row>
    <row r="56" spans="2:25" ht="16.8" customHeight="1" x14ac:dyDescent="0.3">
      <c r="B56" s="23">
        <v>50</v>
      </c>
      <c r="C56" s="12">
        <v>2567.4311069693699</v>
      </c>
      <c r="D56" s="14">
        <v>865.58409615119501</v>
      </c>
      <c r="E56" s="24">
        <v>2695.45464478132</v>
      </c>
      <c r="F56" s="72">
        <v>38475.753769729999</v>
      </c>
      <c r="K56" s="1" t="s">
        <v>77</v>
      </c>
      <c r="L56" s="66" t="s">
        <v>21</v>
      </c>
      <c r="M56" s="26" t="s">
        <v>49</v>
      </c>
      <c r="O56" s="12">
        <f t="shared" si="6"/>
        <v>6.6728546043177017E-2</v>
      </c>
      <c r="P56" s="136">
        <f>AVERAGE($B56:$B60)</f>
        <v>50</v>
      </c>
      <c r="Q56" s="132">
        <f>_xlfn.STDEV.S(O56:O60)</f>
        <v>1.3718876789278048E-3</v>
      </c>
      <c r="S56" s="14">
        <f t="shared" si="7"/>
        <v>2.249687170085217E-2</v>
      </c>
      <c r="T56" s="136">
        <f>AVERAGE($B56:$B60)</f>
        <v>50</v>
      </c>
      <c r="U56" s="132">
        <f>_xlfn.STDEV.S(S56:S60)</f>
        <v>5.0124539736009978E-4</v>
      </c>
      <c r="W56" s="13">
        <f t="shared" si="8"/>
        <v>7.0055928232442138E-2</v>
      </c>
      <c r="X56" s="136">
        <f>AVERAGE($B56:$B60)</f>
        <v>50</v>
      </c>
      <c r="Y56" s="132">
        <f>_xlfn.STDEV.S(W56:W60)</f>
        <v>1.4366201414097366E-3</v>
      </c>
    </row>
    <row r="57" spans="2:25" ht="16.8" customHeight="1" x14ac:dyDescent="0.3">
      <c r="B57" s="23">
        <v>50</v>
      </c>
      <c r="C57" s="12">
        <v>2585.83436223234</v>
      </c>
      <c r="D57" s="14">
        <v>845.57348714421801</v>
      </c>
      <c r="E57" s="24">
        <v>2665.04865660109</v>
      </c>
      <c r="F57" s="72">
        <v>38556.776920301301</v>
      </c>
      <c r="K57" s="90">
        <v>5</v>
      </c>
      <c r="L57" s="91">
        <f>U46/AVERAGE(S46:S50)</f>
        <v>8.570399340410137E-2</v>
      </c>
      <c r="M57" s="61" t="str">
        <f>IF(L57&lt;0.15,"yes","no")</f>
        <v>yes</v>
      </c>
      <c r="O57" s="12">
        <f t="shared" si="6"/>
        <v>6.7065625520965691E-2</v>
      </c>
      <c r="P57" s="137"/>
      <c r="Q57" s="132"/>
      <c r="S57" s="14">
        <f t="shared" si="7"/>
        <v>2.1930606100506244E-2</v>
      </c>
      <c r="T57" s="137"/>
      <c r="U57" s="132"/>
      <c r="W57" s="13">
        <f t="shared" si="8"/>
        <v>6.9120109860579704E-2</v>
      </c>
      <c r="X57" s="137"/>
      <c r="Y57" s="132"/>
    </row>
    <row r="58" spans="2:25" ht="16.8" customHeight="1" x14ac:dyDescent="0.3">
      <c r="B58" s="23">
        <v>50</v>
      </c>
      <c r="C58" s="12">
        <v>2487.4170370134302</v>
      </c>
      <c r="D58" s="14">
        <v>877.603902574416</v>
      </c>
      <c r="E58" s="24">
        <v>2669.0508690195102</v>
      </c>
      <c r="F58" s="72">
        <v>38964.314695006899</v>
      </c>
      <c r="K58" s="92">
        <v>10</v>
      </c>
      <c r="L58" s="91">
        <f>U51/AVERAGE(S51:S55)</f>
        <v>6.078376712139711E-2</v>
      </c>
      <c r="M58" s="61" t="str">
        <f>IF(L58&lt;0.15,"yes","no")</f>
        <v>yes</v>
      </c>
      <c r="O58" s="12">
        <f t="shared" si="6"/>
        <v>6.3838336603214571E-2</v>
      </c>
      <c r="P58" s="137"/>
      <c r="Q58" s="132"/>
      <c r="S58" s="14">
        <f t="shared" si="7"/>
        <v>2.25232731396371E-2</v>
      </c>
      <c r="T58" s="137"/>
      <c r="U58" s="132"/>
      <c r="W58" s="13">
        <f t="shared" si="8"/>
        <v>6.8499879695344337E-2</v>
      </c>
      <c r="X58" s="137"/>
      <c r="Y58" s="132"/>
    </row>
    <row r="59" spans="2:25" ht="16.8" customHeight="1" x14ac:dyDescent="0.3">
      <c r="B59" s="23">
        <v>50</v>
      </c>
      <c r="C59" s="12">
        <v>2449.0100210453902</v>
      </c>
      <c r="D59" s="14">
        <v>830.36787098396996</v>
      </c>
      <c r="E59" s="24">
        <v>2663.4491744551201</v>
      </c>
      <c r="F59" s="72">
        <v>37895.827856532902</v>
      </c>
      <c r="K59" s="92">
        <v>50</v>
      </c>
      <c r="L59" s="91">
        <f>U56/AVERAGE(S56:S60)</f>
        <v>2.2748409436099983E-2</v>
      </c>
      <c r="M59" s="61" t="str">
        <f>IF(L59&lt;0.15,"yes","no")</f>
        <v>yes</v>
      </c>
      <c r="O59" s="12">
        <f t="shared" si="6"/>
        <v>6.4624792742803291E-2</v>
      </c>
      <c r="P59" s="137"/>
      <c r="Q59" s="132"/>
      <c r="S59" s="14">
        <f t="shared" si="7"/>
        <v>2.1911854627575368E-2</v>
      </c>
      <c r="T59" s="137"/>
      <c r="U59" s="132"/>
      <c r="W59" s="13">
        <f t="shared" si="8"/>
        <v>7.0283440819355669E-2</v>
      </c>
      <c r="X59" s="137"/>
      <c r="Y59" s="132"/>
    </row>
    <row r="60" spans="2:25" ht="16.8" customHeight="1" x14ac:dyDescent="0.3">
      <c r="B60" s="23">
        <v>50</v>
      </c>
      <c r="C60" s="12">
        <v>2523.4229057432799</v>
      </c>
      <c r="D60" s="14">
        <v>816.80011343482204</v>
      </c>
      <c r="E60" s="24">
        <v>2557.0294642979702</v>
      </c>
      <c r="F60" s="72">
        <v>38331.369596179196</v>
      </c>
      <c r="K60" s="92">
        <v>100</v>
      </c>
      <c r="L60" s="91">
        <f>U61/AVERAGE(S61:S65)</f>
        <v>2.1407572822643571E-2</v>
      </c>
      <c r="M60" s="61" t="str">
        <f>IF(L60&lt;0.15,"yes","no")</f>
        <v>yes</v>
      </c>
      <c r="O60" s="12">
        <f t="shared" si="6"/>
        <v>6.5831796054446487E-2</v>
      </c>
      <c r="P60" s="138"/>
      <c r="Q60" s="132"/>
      <c r="S60" s="14">
        <f t="shared" si="7"/>
        <v>2.1308920657931284E-2</v>
      </c>
      <c r="T60" s="138"/>
      <c r="U60" s="132"/>
      <c r="W60" s="13">
        <f t="shared" si="8"/>
        <v>6.6708533799764103E-2</v>
      </c>
      <c r="X60" s="138"/>
      <c r="Y60" s="132"/>
    </row>
    <row r="61" spans="2:25" ht="16.8" customHeight="1" thickBot="1" x14ac:dyDescent="0.35">
      <c r="B61" s="23">
        <v>100</v>
      </c>
      <c r="C61" s="12">
        <v>5068.9005845990596</v>
      </c>
      <c r="D61" s="14">
        <v>1736.06809291676</v>
      </c>
      <c r="E61" s="24">
        <v>5237.7606154894602</v>
      </c>
      <c r="F61" s="72">
        <v>37638.332262992197</v>
      </c>
      <c r="K61" s="92">
        <v>500</v>
      </c>
      <c r="L61" s="91">
        <f>U66/AVERAGE(S66:S70)</f>
        <v>1.9170597408663857E-2</v>
      </c>
      <c r="M61" s="62" t="str">
        <f>IF(L61&lt;0.15,"yes","no")</f>
        <v>yes</v>
      </c>
      <c r="O61" s="12">
        <f t="shared" si="6"/>
        <v>0.13467388908681918</v>
      </c>
      <c r="P61" s="136">
        <f>AVERAGE($B61:$B65)</f>
        <v>100</v>
      </c>
      <c r="Q61" s="132">
        <f>_xlfn.STDEV.S(O61:O65)</f>
        <v>2.9893570252353891E-3</v>
      </c>
      <c r="S61" s="14">
        <f t="shared" si="7"/>
        <v>4.6125000459272342E-2</v>
      </c>
      <c r="T61" s="136">
        <f>AVERAGE($B61:$B65)</f>
        <v>100</v>
      </c>
      <c r="U61" s="132">
        <f>_xlfn.STDEV.S(S61:S65)</f>
        <v>9.675996046022233E-4</v>
      </c>
      <c r="W61" s="13">
        <f t="shared" si="8"/>
        <v>0.13916027359797437</v>
      </c>
      <c r="X61" s="136">
        <f>AVERAGE($B61:$B65)</f>
        <v>100</v>
      </c>
      <c r="Y61" s="132">
        <f>_xlfn.STDEV.S(W61:W65)</f>
        <v>2.3494723358730382E-3</v>
      </c>
    </row>
    <row r="62" spans="2:25" ht="16.8" customHeight="1" x14ac:dyDescent="0.3">
      <c r="B62" s="23">
        <v>100</v>
      </c>
      <c r="C62" s="12">
        <v>5124.9228565864896</v>
      </c>
      <c r="D62" s="14">
        <v>1691.25852761904</v>
      </c>
      <c r="E62" s="24">
        <v>5309.78714980121</v>
      </c>
      <c r="F62" s="72">
        <v>38136.527155718402</v>
      </c>
      <c r="O62" s="12">
        <f t="shared" si="6"/>
        <v>0.13438357498207673</v>
      </c>
      <c r="P62" s="137"/>
      <c r="Q62" s="132"/>
      <c r="S62" s="14">
        <f t="shared" si="7"/>
        <v>4.4347470883054525E-2</v>
      </c>
      <c r="T62" s="137"/>
      <c r="U62" s="132"/>
      <c r="W62" s="13">
        <f t="shared" si="8"/>
        <v>0.13923100884672535</v>
      </c>
      <c r="X62" s="137"/>
      <c r="Y62" s="132"/>
    </row>
    <row r="63" spans="2:25" ht="16.8" customHeight="1" thickBot="1" x14ac:dyDescent="0.35">
      <c r="B63" s="23">
        <v>100</v>
      </c>
      <c r="C63" s="12">
        <v>4943.2562435845803</v>
      </c>
      <c r="D63" s="14">
        <v>1663.2593403389899</v>
      </c>
      <c r="E63" s="24">
        <v>5115.31694786546</v>
      </c>
      <c r="F63" s="72">
        <v>37434.613814291602</v>
      </c>
      <c r="K63" s="125" t="s">
        <v>19</v>
      </c>
      <c r="L63" s="125"/>
      <c r="M63" s="125"/>
      <c r="O63" s="12">
        <f t="shared" si="6"/>
        <v>0.13205041377232982</v>
      </c>
      <c r="P63" s="137"/>
      <c r="Q63" s="132"/>
      <c r="S63" s="14">
        <f t="shared" si="7"/>
        <v>4.4431053799304829E-2</v>
      </c>
      <c r="T63" s="137"/>
      <c r="U63" s="132"/>
      <c r="W63" s="13">
        <f t="shared" si="8"/>
        <v>0.13664671347330848</v>
      </c>
      <c r="X63" s="137"/>
      <c r="Y63" s="132"/>
    </row>
    <row r="64" spans="2:25" ht="16.8" customHeight="1" x14ac:dyDescent="0.3">
      <c r="B64" s="23">
        <v>100</v>
      </c>
      <c r="C64" s="12">
        <v>4908.0449685209096</v>
      </c>
      <c r="D64" s="14">
        <v>1771.2724201047699</v>
      </c>
      <c r="E64" s="24">
        <v>5257.80470837548</v>
      </c>
      <c r="F64" s="72">
        <v>38205.4217579162</v>
      </c>
      <c r="K64" s="1" t="s">
        <v>77</v>
      </c>
      <c r="L64" s="66" t="s">
        <v>21</v>
      </c>
      <c r="M64" s="25" t="s">
        <v>49</v>
      </c>
      <c r="O64" s="12">
        <f t="shared" si="6"/>
        <v>0.1284646194883049</v>
      </c>
      <c r="P64" s="137"/>
      <c r="Q64" s="132"/>
      <c r="S64" s="14">
        <f t="shared" si="7"/>
        <v>4.6361807790742698E-2</v>
      </c>
      <c r="T64" s="137"/>
      <c r="U64" s="132"/>
      <c r="W64" s="13">
        <f t="shared" si="8"/>
        <v>0.13761933428430373</v>
      </c>
      <c r="X64" s="137"/>
      <c r="Y64" s="132"/>
    </row>
    <row r="65" spans="2:52" ht="16.8" customHeight="1" x14ac:dyDescent="0.3">
      <c r="B65" s="23">
        <v>100</v>
      </c>
      <c r="C65" s="12">
        <v>5109.7152734487599</v>
      </c>
      <c r="D65" s="14">
        <v>1679.2330308810599</v>
      </c>
      <c r="E65" s="24">
        <v>5361.8087008804096</v>
      </c>
      <c r="F65" s="72">
        <v>37542.069041520597</v>
      </c>
      <c r="K65" s="90">
        <v>5</v>
      </c>
      <c r="L65" s="91">
        <f>Y46/AVERAGE(W46:W50)</f>
        <v>5.5094754398540335E-2</v>
      </c>
      <c r="M65" s="63" t="str">
        <f>IF(L65&lt;0.15,"yes","no")</f>
        <v>yes</v>
      </c>
      <c r="O65" s="12">
        <f t="shared" si="6"/>
        <v>0.136106384221859</v>
      </c>
      <c r="P65" s="138"/>
      <c r="Q65" s="132"/>
      <c r="S65" s="14">
        <f t="shared" si="7"/>
        <v>4.4729368246163255E-2</v>
      </c>
      <c r="T65" s="138"/>
      <c r="U65" s="132"/>
      <c r="W65" s="13">
        <f t="shared" si="8"/>
        <v>0.14282134250380238</v>
      </c>
      <c r="X65" s="138"/>
      <c r="Y65" s="132"/>
    </row>
    <row r="66" spans="2:52" ht="16.8" customHeight="1" x14ac:dyDescent="0.3">
      <c r="B66" s="23">
        <v>500</v>
      </c>
      <c r="C66" s="12">
        <v>25228.88267999862</v>
      </c>
      <c r="D66" s="14">
        <v>8557.4140455634097</v>
      </c>
      <c r="E66" s="24">
        <v>26204.919655163616</v>
      </c>
      <c r="F66" s="72">
        <v>37526.034461735697</v>
      </c>
      <c r="K66" s="92">
        <v>10</v>
      </c>
      <c r="L66" s="91">
        <f>Y51/AVERAGE(W51:W55)</f>
        <v>2.5175513857980086E-2</v>
      </c>
      <c r="M66" s="63" t="str">
        <f>IF(L66&lt;0.15,"yes","no")</f>
        <v>yes</v>
      </c>
      <c r="O66" s="117">
        <f t="shared" si="6"/>
        <v>0.67230345657023372</v>
      </c>
      <c r="P66" s="136">
        <f>AVERAGE($B66:$B70)</f>
        <v>500</v>
      </c>
      <c r="Q66" s="133">
        <f>_xlfn.STDEV.S(O66:O70)</f>
        <v>1.0618758827591971E-2</v>
      </c>
      <c r="S66" s="14">
        <f t="shared" si="7"/>
        <v>0.22803939100704015</v>
      </c>
      <c r="T66" s="136">
        <f>AVERAGE($B66:$B70)</f>
        <v>500</v>
      </c>
      <c r="U66" s="132">
        <f>_xlfn.STDEV.S(S66:S70)</f>
        <v>4.2376638036760233E-3</v>
      </c>
      <c r="W66" s="13">
        <f t="shared" si="8"/>
        <v>0.69831305201950067</v>
      </c>
      <c r="X66" s="136">
        <f>AVERAGE($B66:$B70)</f>
        <v>500</v>
      </c>
      <c r="Y66" s="132">
        <f>_xlfn.STDEV.S(W66:W70)</f>
        <v>6.3762545908815724E-3</v>
      </c>
    </row>
    <row r="67" spans="2:52" ht="16.8" customHeight="1" x14ac:dyDescent="0.3">
      <c r="B67" s="23">
        <v>500</v>
      </c>
      <c r="C67" s="12">
        <v>24590.7918287149</v>
      </c>
      <c r="D67" s="14">
        <v>8297.5690813185192</v>
      </c>
      <c r="E67" s="24">
        <v>25566.899631232802</v>
      </c>
      <c r="F67" s="72">
        <v>37449.880613075802</v>
      </c>
      <c r="K67" s="92">
        <v>50</v>
      </c>
      <c r="L67" s="91">
        <f>Y56/AVERAGE(W56:W60)</f>
        <v>2.0840643602962623E-2</v>
      </c>
      <c r="M67" s="63" t="str">
        <f>IF(L67&lt;0.15,"yes","no")</f>
        <v>yes</v>
      </c>
      <c r="O67" s="117">
        <f t="shared" si="6"/>
        <v>0.65663204865141567</v>
      </c>
      <c r="P67" s="137"/>
      <c r="Q67" s="133"/>
      <c r="S67" s="14">
        <f t="shared" si="7"/>
        <v>0.22156463373133917</v>
      </c>
      <c r="T67" s="137"/>
      <c r="U67" s="132"/>
      <c r="W67" s="13">
        <f t="shared" si="8"/>
        <v>0.68269642553429122</v>
      </c>
      <c r="X67" s="137"/>
      <c r="Y67" s="132"/>
    </row>
    <row r="68" spans="2:52" ht="16.8" customHeight="1" x14ac:dyDescent="0.3">
      <c r="B68" s="23">
        <v>500</v>
      </c>
      <c r="C68" s="12">
        <v>24046.633648162198</v>
      </c>
      <c r="D68" s="14">
        <v>8070.2190479272203</v>
      </c>
      <c r="E68" s="24">
        <v>25397.769233625699</v>
      </c>
      <c r="F68" s="72">
        <v>37201.9842654858</v>
      </c>
      <c r="K68" s="92">
        <v>100</v>
      </c>
      <c r="L68" s="91">
        <f>Y61/AVERAGE(W61:W65)</f>
        <v>1.6891045175628595E-2</v>
      </c>
      <c r="M68" s="63" t="str">
        <f>IF(L68&lt;0.15,"yes","no")</f>
        <v>yes</v>
      </c>
      <c r="O68" s="117">
        <f t="shared" si="6"/>
        <v>0.64638040478049175</v>
      </c>
      <c r="P68" s="137"/>
      <c r="Q68" s="133"/>
      <c r="S68" s="14">
        <f t="shared" si="7"/>
        <v>0.2169298011185489</v>
      </c>
      <c r="T68" s="137"/>
      <c r="U68" s="132"/>
      <c r="W68" s="13">
        <f t="shared" si="8"/>
        <v>0.68269931658426397</v>
      </c>
      <c r="X68" s="137"/>
      <c r="Y68" s="132"/>
    </row>
    <row r="69" spans="2:52" ht="16.8" customHeight="1" thickBot="1" x14ac:dyDescent="0.35">
      <c r="B69" s="23">
        <v>500</v>
      </c>
      <c r="C69" s="12">
        <v>24264.596878013101</v>
      </c>
      <c r="D69" s="14">
        <v>8231.8972349119904</v>
      </c>
      <c r="E69" s="24">
        <v>25809.7108885327</v>
      </c>
      <c r="F69" s="72">
        <v>37511.638768445897</v>
      </c>
      <c r="K69" s="92">
        <v>500</v>
      </c>
      <c r="L69" s="91">
        <f>Y66/AVERAGE(W66:W70)</f>
        <v>9.2679310543361884E-3</v>
      </c>
      <c r="M69" s="64" t="str">
        <f>IF(L69&lt;0.15,"yes","no")</f>
        <v>yes</v>
      </c>
      <c r="O69" s="117">
        <f t="shared" si="6"/>
        <v>0.64685515415082406</v>
      </c>
      <c r="P69" s="137"/>
      <c r="Q69" s="133"/>
      <c r="S69" s="14">
        <f t="shared" si="7"/>
        <v>0.2194491497885854</v>
      </c>
      <c r="T69" s="137"/>
      <c r="U69" s="132"/>
      <c r="W69" s="13">
        <f t="shared" si="8"/>
        <v>0.68804541032857658</v>
      </c>
      <c r="X69" s="137"/>
      <c r="Y69" s="132"/>
    </row>
    <row r="70" spans="2:52" ht="16.8" customHeight="1" x14ac:dyDescent="0.3">
      <c r="B70" s="23">
        <v>500</v>
      </c>
      <c r="C70" s="12">
        <v>24374.407326511999</v>
      </c>
      <c r="D70" s="14">
        <v>8195.9102930637691</v>
      </c>
      <c r="E70" s="24">
        <v>25723.961787470798</v>
      </c>
      <c r="F70" s="72">
        <v>37378.528154923602</v>
      </c>
      <c r="O70" s="117">
        <f t="shared" si="6"/>
        <v>0.65209649843586293</v>
      </c>
      <c r="P70" s="138"/>
      <c r="Q70" s="133"/>
      <c r="S70" s="14">
        <f t="shared" si="7"/>
        <v>0.21926787109149939</v>
      </c>
      <c r="T70" s="138"/>
      <c r="U70" s="132"/>
      <c r="W70" s="13">
        <f t="shared" si="8"/>
        <v>0.68820157072135457</v>
      </c>
      <c r="X70" s="138"/>
      <c r="Y70" s="132"/>
    </row>
    <row r="72" spans="2:52" s="7" customFormat="1" ht="16.8" customHeight="1" x14ac:dyDescent="0.3">
      <c r="B72" s="145" t="s">
        <v>89</v>
      </c>
      <c r="C72" s="145"/>
      <c r="D72" s="145"/>
      <c r="E72" s="145"/>
      <c r="F72" s="145"/>
      <c r="G72" s="145"/>
      <c r="H72" s="145"/>
      <c r="I72" s="8"/>
      <c r="J72" s="8"/>
      <c r="K72" s="8"/>
      <c r="L72" s="8"/>
      <c r="M72" s="8"/>
    </row>
    <row r="73" spans="2:52" s="7" customFormat="1" ht="16.8" customHeight="1" x14ac:dyDescent="0.3">
      <c r="B73" s="145"/>
      <c r="C73" s="145"/>
      <c r="D73" s="145"/>
      <c r="E73" s="145"/>
      <c r="F73" s="145"/>
      <c r="G73" s="145"/>
      <c r="H73" s="145"/>
      <c r="I73" s="8"/>
      <c r="J73" s="8"/>
      <c r="K73" s="8"/>
      <c r="L73" s="8"/>
      <c r="M73" s="8"/>
    </row>
    <row r="75" spans="2:52" ht="16.8" customHeight="1" x14ac:dyDescent="0.3">
      <c r="B75" s="9" t="s">
        <v>92</v>
      </c>
    </row>
    <row r="77" spans="2:52" ht="16.8" customHeight="1" x14ac:dyDescent="0.3">
      <c r="B77" s="131" t="s">
        <v>0</v>
      </c>
      <c r="C77" s="131"/>
      <c r="D77" s="131"/>
      <c r="E77" s="131"/>
      <c r="F77" s="131"/>
      <c r="O77" s="131" t="s">
        <v>13</v>
      </c>
      <c r="P77" s="131"/>
      <c r="Q77" s="131"/>
      <c r="R77" s="131"/>
      <c r="S77" s="131"/>
      <c r="T77" s="131"/>
      <c r="U77" s="131"/>
      <c r="AB77" s="131" t="s">
        <v>15</v>
      </c>
      <c r="AC77" s="131"/>
      <c r="AD77" s="131"/>
      <c r="AE77" s="131"/>
      <c r="AF77" s="131"/>
      <c r="AG77" s="131"/>
      <c r="AH77" s="131"/>
      <c r="AO77" s="131" t="s">
        <v>17</v>
      </c>
      <c r="AP77" s="131"/>
      <c r="AQ77" s="131"/>
      <c r="AR77" s="131"/>
      <c r="AS77" s="131"/>
      <c r="AT77" s="131"/>
      <c r="AU77" s="131"/>
    </row>
    <row r="78" spans="2:52" ht="16.8" customHeight="1" x14ac:dyDescent="0.3">
      <c r="B78" s="1" t="s">
        <v>77</v>
      </c>
      <c r="C78" s="4" t="s">
        <v>83</v>
      </c>
      <c r="D78" s="6" t="s">
        <v>84</v>
      </c>
      <c r="E78" s="5" t="s">
        <v>85</v>
      </c>
      <c r="F78" s="1" t="s">
        <v>87</v>
      </c>
      <c r="O78" s="1" t="s">
        <v>77</v>
      </c>
      <c r="P78" s="4" t="s">
        <v>27</v>
      </c>
      <c r="Q78" s="87" t="s">
        <v>33</v>
      </c>
      <c r="R78" s="87" t="s">
        <v>38</v>
      </c>
      <c r="S78" s="134" t="s">
        <v>35</v>
      </c>
      <c r="T78" s="134"/>
      <c r="U78" s="87" t="s">
        <v>36</v>
      </c>
      <c r="AB78" s="1" t="s">
        <v>77</v>
      </c>
      <c r="AC78" s="6" t="s">
        <v>28</v>
      </c>
      <c r="AD78" s="87" t="s">
        <v>33</v>
      </c>
      <c r="AE78" s="87" t="s">
        <v>38</v>
      </c>
      <c r="AF78" s="134" t="s">
        <v>35</v>
      </c>
      <c r="AG78" s="134"/>
      <c r="AH78" s="87" t="s">
        <v>36</v>
      </c>
      <c r="AO78" s="1" t="s">
        <v>77</v>
      </c>
      <c r="AP78" s="5" t="s">
        <v>29</v>
      </c>
      <c r="AQ78" s="87" t="s">
        <v>33</v>
      </c>
      <c r="AR78" s="87" t="s">
        <v>38</v>
      </c>
      <c r="AS78" s="134" t="s">
        <v>35</v>
      </c>
      <c r="AT78" s="134"/>
      <c r="AU78" s="87" t="s">
        <v>36</v>
      </c>
    </row>
    <row r="79" spans="2:52" ht="16.8" customHeight="1" x14ac:dyDescent="0.3">
      <c r="B79" s="71">
        <v>0.5</v>
      </c>
      <c r="C79" s="12">
        <v>28.000032368040301</v>
      </c>
      <c r="D79" s="14">
        <v>13.5014758922289</v>
      </c>
      <c r="E79" s="13">
        <v>32.800038864047302</v>
      </c>
      <c r="F79" s="72">
        <v>38990.7962536372</v>
      </c>
      <c r="O79" s="128">
        <f>AVERAGE(B79:B80)</f>
        <v>0.5</v>
      </c>
      <c r="P79" s="12">
        <f t="shared" ref="P79:P92" si="9">C79/F79</f>
        <v>7.1811901931672804E-4</v>
      </c>
      <c r="Q79" s="139">
        <f>AVERAGE(P79:P80)</f>
        <v>6.7690689988118076E-4</v>
      </c>
      <c r="R79" s="141">
        <f>Z$81+(Z$82*O79)</f>
        <v>8.2087352541028154E-4</v>
      </c>
      <c r="S79" s="135">
        <f>Z$84*(Q79-R79)*(Q79-R79)</f>
        <v>4.145277853247266E-8</v>
      </c>
      <c r="T79" s="135"/>
      <c r="U79" s="72">
        <f>P79-Q79</f>
        <v>4.1212119435547279E-5</v>
      </c>
      <c r="AB79" s="128">
        <f>AVERAGE(B79:B80)</f>
        <v>0.5</v>
      </c>
      <c r="AC79" s="14">
        <f t="shared" ref="AC79:AC92" si="10">D79/F79</f>
        <v>3.4627340781658017E-4</v>
      </c>
      <c r="AD79" s="139">
        <f>AVERAGE(AC79:AC80)</f>
        <v>2.9479124639490104E-4</v>
      </c>
      <c r="AE79" s="141">
        <f>AM$81+(AM$82*AB79)</f>
        <v>2.062975653314068E-4</v>
      </c>
      <c r="AF79" s="135">
        <f>AM$84*(AD79-AE79)*(AD79-AE79)</f>
        <v>1.5662263176334878E-8</v>
      </c>
      <c r="AG79" s="135"/>
      <c r="AH79" s="72">
        <f>AC79-AD79</f>
        <v>5.148216142167913E-5</v>
      </c>
      <c r="AO79" s="128">
        <f>AVERAGE(B79:B80)</f>
        <v>0.5</v>
      </c>
      <c r="AP79" s="13">
        <f>E79/F79</f>
        <v>8.4122516120679631E-4</v>
      </c>
      <c r="AQ79" s="139">
        <f>AVERAGE(AP79:AP80)</f>
        <v>8.307383751524585E-4</v>
      </c>
      <c r="AR79" s="141">
        <f>AZ$81+(AZ$82*AO79)</f>
        <v>9.9137815821791425E-4</v>
      </c>
      <c r="AS79" s="135">
        <f>AZ$84*(AQ79-AR79)*(AQ79-AR79)</f>
        <v>5.1610279806633376E-8</v>
      </c>
      <c r="AT79" s="135"/>
      <c r="AU79" s="72">
        <f>AP79-AQ79</f>
        <v>1.0486786054337812E-5</v>
      </c>
    </row>
    <row r="80" spans="2:52" ht="16.8" customHeight="1" x14ac:dyDescent="0.3">
      <c r="B80" s="71">
        <v>0.5</v>
      </c>
      <c r="C80" s="12">
        <v>24.8000218400195</v>
      </c>
      <c r="D80" s="14">
        <v>9.4920877232641008</v>
      </c>
      <c r="E80" s="13">
        <v>32.000038304048701</v>
      </c>
      <c r="F80" s="72">
        <v>39012.467308028303</v>
      </c>
      <c r="O80" s="130"/>
      <c r="P80" s="12">
        <f t="shared" si="9"/>
        <v>6.3569478044563337E-4</v>
      </c>
      <c r="Q80" s="140"/>
      <c r="R80" s="142"/>
      <c r="S80" s="135"/>
      <c r="T80" s="135"/>
      <c r="U80" s="72">
        <f>P80-Q79</f>
        <v>-4.1212119435547387E-5</v>
      </c>
      <c r="W80" s="125" t="s">
        <v>14</v>
      </c>
      <c r="X80" s="125"/>
      <c r="Y80" s="125"/>
      <c r="Z80" s="125"/>
      <c r="AB80" s="130"/>
      <c r="AC80" s="14">
        <f t="shared" si="10"/>
        <v>2.4330908497322194E-4</v>
      </c>
      <c r="AD80" s="140"/>
      <c r="AE80" s="142"/>
      <c r="AF80" s="135"/>
      <c r="AG80" s="135"/>
      <c r="AH80" s="72">
        <f>AC80-AD79</f>
        <v>-5.1482161421679103E-5</v>
      </c>
      <c r="AJ80" s="125" t="s">
        <v>16</v>
      </c>
      <c r="AK80" s="125"/>
      <c r="AL80" s="125"/>
      <c r="AM80" s="125"/>
      <c r="AO80" s="130"/>
      <c r="AP80" s="13">
        <f t="shared" ref="AP80:AP92" si="11">E80/F80</f>
        <v>8.2025158909812079E-4</v>
      </c>
      <c r="AQ80" s="140"/>
      <c r="AR80" s="142"/>
      <c r="AS80" s="135"/>
      <c r="AT80" s="135"/>
      <c r="AU80" s="72">
        <f>AP80-AQ79</f>
        <v>-1.0486786054337703E-5</v>
      </c>
      <c r="AW80" s="125" t="s">
        <v>18</v>
      </c>
      <c r="AX80" s="125"/>
      <c r="AY80" s="125"/>
      <c r="AZ80" s="125"/>
    </row>
    <row r="81" spans="2:52" ht="16.8" customHeight="1" thickBot="1" x14ac:dyDescent="0.35">
      <c r="B81" s="71">
        <v>1</v>
      </c>
      <c r="C81" s="12">
        <v>40.800060368092197</v>
      </c>
      <c r="D81" s="14">
        <v>16.757783299527599</v>
      </c>
      <c r="E81" s="13">
        <v>52.800099680191799</v>
      </c>
      <c r="F81" s="72">
        <v>37418.557908348201</v>
      </c>
      <c r="K81" s="125" t="s">
        <v>45</v>
      </c>
      <c r="L81" s="125"/>
      <c r="M81" s="125"/>
      <c r="O81" s="128">
        <f>AVERAGE(B81:B82)</f>
        <v>1</v>
      </c>
      <c r="P81" s="12">
        <f t="shared" si="9"/>
        <v>1.0903696627760627E-3</v>
      </c>
      <c r="Q81" s="139">
        <f>AVERAGE(P81:P82)</f>
        <v>1.1785985512267972E-3</v>
      </c>
      <c r="R81" s="141">
        <f>Z$81+(Z$82*O81)</f>
        <v>1.4854891929927058E-3</v>
      </c>
      <c r="S81" s="135">
        <f>Z$84*(Q81-R81)*(Q81-R81)</f>
        <v>1.8836373200698253E-7</v>
      </c>
      <c r="T81" s="135"/>
      <c r="U81" s="72">
        <f>P81-Q81</f>
        <v>-8.8228888450734514E-5</v>
      </c>
      <c r="W81" s="127" t="s">
        <v>8</v>
      </c>
      <c r="X81" s="127"/>
      <c r="Y81" s="127"/>
      <c r="Z81" s="20">
        <f>INTERCEPT(P79:P92,$B$79:$B$92)</f>
        <v>1.5625785782785728E-4</v>
      </c>
      <c r="AB81" s="128">
        <f>AVERAGE(B81:B82)</f>
        <v>1</v>
      </c>
      <c r="AC81" s="14">
        <f t="shared" si="10"/>
        <v>4.4784685023334061E-4</v>
      </c>
      <c r="AD81" s="139">
        <f>AVERAGE(AC81:AC82)</f>
        <v>5.2432344348019976E-4</v>
      </c>
      <c r="AE81" s="141">
        <f>AM$81+(AM$82*AB81)</f>
        <v>4.3114778251853385E-4</v>
      </c>
      <c r="AF81" s="135">
        <f>AM$84*(AD81-AE81)*(AD81-AE81)</f>
        <v>1.7363407591286624E-8</v>
      </c>
      <c r="AG81" s="135"/>
      <c r="AH81" s="72">
        <f>AC81-AD81</f>
        <v>-7.6476593246859153E-5</v>
      </c>
      <c r="AJ81" s="127" t="s">
        <v>8</v>
      </c>
      <c r="AK81" s="127"/>
      <c r="AL81" s="127"/>
      <c r="AM81" s="21">
        <f>INTERCEPT(AC79:AC92,$B$79:$B$92)</f>
        <v>-1.8552651855720248E-5</v>
      </c>
      <c r="AO81" s="128">
        <f>AVERAGE(B81:B82)</f>
        <v>1</v>
      </c>
      <c r="AP81" s="13">
        <f t="shared" si="11"/>
        <v>1.4110671985146687E-3</v>
      </c>
      <c r="AQ81" s="139">
        <f>AVERAGE(AP81:AP82)</f>
        <v>1.4635535498152229E-3</v>
      </c>
      <c r="AR81" s="141">
        <f>AZ$81+(AZ$82*AO81)</f>
        <v>1.6817643454601118E-3</v>
      </c>
      <c r="AS81" s="135">
        <f>AZ$84*(AQ81-AR81)*(AQ81-AR81)</f>
        <v>9.523190267195091E-8</v>
      </c>
      <c r="AT81" s="135"/>
      <c r="AU81" s="72">
        <f>AP81-AQ81</f>
        <v>-5.2486351300554211E-5</v>
      </c>
      <c r="AW81" s="127" t="s">
        <v>8</v>
      </c>
      <c r="AX81" s="127"/>
      <c r="AY81" s="127"/>
      <c r="AZ81" s="22">
        <f>INTERCEPT(AP79:AP92,$B$79:$B$92)</f>
        <v>3.0099197097571695E-4</v>
      </c>
    </row>
    <row r="82" spans="2:52" ht="16.8" customHeight="1" x14ac:dyDescent="0.3">
      <c r="B82" s="71">
        <v>1</v>
      </c>
      <c r="C82" s="12">
        <v>48.800091056185501</v>
      </c>
      <c r="D82" s="14">
        <v>23.143717589747801</v>
      </c>
      <c r="E82" s="13">
        <v>58.4001284642939</v>
      </c>
      <c r="F82" s="72">
        <v>38521.498293885597</v>
      </c>
      <c r="K82" s="52" t="s">
        <v>50</v>
      </c>
      <c r="L82" s="53">
        <f>(Z86/Z87)*((Z83-Z85)/(Z85-2))</f>
        <v>6.5909151102130636E-2</v>
      </c>
      <c r="M82" s="51" t="s">
        <v>46</v>
      </c>
      <c r="O82" s="130"/>
      <c r="P82" s="12">
        <f t="shared" si="9"/>
        <v>1.2668274396775319E-3</v>
      </c>
      <c r="Q82" s="140"/>
      <c r="R82" s="142"/>
      <c r="S82" s="135"/>
      <c r="T82" s="135"/>
      <c r="U82" s="72">
        <f>P82-Q81</f>
        <v>8.8228888450734731E-5</v>
      </c>
      <c r="W82" s="127" t="s">
        <v>12</v>
      </c>
      <c r="X82" s="127"/>
      <c r="Y82" s="127"/>
      <c r="Z82" s="20">
        <f>SLOPE(P79:P92,$B$79:$B$92)</f>
        <v>1.3292313351648485E-3</v>
      </c>
      <c r="AB82" s="130"/>
      <c r="AC82" s="14">
        <f t="shared" si="10"/>
        <v>6.0080003672705886E-4</v>
      </c>
      <c r="AD82" s="140"/>
      <c r="AE82" s="142"/>
      <c r="AF82" s="135"/>
      <c r="AG82" s="135"/>
      <c r="AH82" s="72">
        <f>AC82-AD81</f>
        <v>7.6476593246859099E-5</v>
      </c>
      <c r="AJ82" s="127" t="s">
        <v>12</v>
      </c>
      <c r="AK82" s="127"/>
      <c r="AL82" s="127"/>
      <c r="AM82" s="21">
        <f>SLOPE(AC79:AC92,$B$79:$B$92)</f>
        <v>4.497004343742541E-4</v>
      </c>
      <c r="AO82" s="130"/>
      <c r="AP82" s="13">
        <f t="shared" si="11"/>
        <v>1.5160399011157771E-3</v>
      </c>
      <c r="AQ82" s="140"/>
      <c r="AR82" s="142"/>
      <c r="AS82" s="135"/>
      <c r="AT82" s="135"/>
      <c r="AU82" s="72">
        <f>AP82-AQ81</f>
        <v>5.2486351300554211E-5</v>
      </c>
      <c r="AW82" s="127" t="s">
        <v>12</v>
      </c>
      <c r="AX82" s="127"/>
      <c r="AY82" s="127"/>
      <c r="AZ82" s="22">
        <f>SLOPE(AP79:AP92,$B$79:$B$92)</f>
        <v>1.3807723744843948E-3</v>
      </c>
    </row>
    <row r="83" spans="2:52" ht="16.8" customHeight="1" thickBot="1" x14ac:dyDescent="0.35">
      <c r="B83" s="71">
        <v>5</v>
      </c>
      <c r="C83" s="12">
        <v>271.20257591248202</v>
      </c>
      <c r="D83" s="14">
        <v>89.5439876240291</v>
      </c>
      <c r="E83" s="13">
        <v>284.00284830084598</v>
      </c>
      <c r="F83" s="72">
        <v>40528.619916094998</v>
      </c>
      <c r="K83" s="54" t="s">
        <v>51</v>
      </c>
      <c r="L83" s="55">
        <f>Z88</f>
        <v>3.971523150611342</v>
      </c>
      <c r="M83" s="59" t="str">
        <f>IF(L82&lt;L83,"yes","no")</f>
        <v>yes</v>
      </c>
      <c r="O83" s="128">
        <f>AVERAGE(B83:B84)</f>
        <v>5</v>
      </c>
      <c r="P83" s="12">
        <f t="shared" si="9"/>
        <v>6.6916311602502956E-3</v>
      </c>
      <c r="Q83" s="139">
        <f>AVERAGE(P83:P84)</f>
        <v>6.1416382038811069E-3</v>
      </c>
      <c r="R83" s="141">
        <f>Z$81+(Z$82*O83)</f>
        <v>6.8024145336520996E-3</v>
      </c>
      <c r="S83" s="135">
        <f>Z$84*(Q83-R83)*(Q83-R83)</f>
        <v>8.7325071597124738E-7</v>
      </c>
      <c r="T83" s="135"/>
      <c r="U83" s="72">
        <f>P83-Q83</f>
        <v>5.4999295636918872E-4</v>
      </c>
      <c r="W83" s="127" t="s">
        <v>9</v>
      </c>
      <c r="X83" s="127"/>
      <c r="Y83" s="127"/>
      <c r="Z83" s="81">
        <f>COUNTA($B$79:$B$92)</f>
        <v>14</v>
      </c>
      <c r="AB83" s="128">
        <f>AVERAGE(B83:B84)</f>
        <v>5</v>
      </c>
      <c r="AC83" s="14">
        <f t="shared" si="10"/>
        <v>2.2094013516721993E-3</v>
      </c>
      <c r="AD83" s="139">
        <f>AVERAGE(AC83:AC84)</f>
        <v>2.0917496715232033E-3</v>
      </c>
      <c r="AE83" s="141">
        <f>AM$81+(AM$82*AB83)</f>
        <v>2.2299495200155503E-3</v>
      </c>
      <c r="AF83" s="135">
        <f>AM$84*(AD83-AE83)*(AD83-AE83)</f>
        <v>3.8198396246615333E-8</v>
      </c>
      <c r="AG83" s="135"/>
      <c r="AH83" s="72">
        <f>AC83-AD83</f>
        <v>1.1765168014899602E-4</v>
      </c>
      <c r="AJ83" s="127" t="s">
        <v>9</v>
      </c>
      <c r="AK83" s="127"/>
      <c r="AL83" s="127"/>
      <c r="AM83" s="88">
        <f>COUNTA($B$79:$B$92)</f>
        <v>14</v>
      </c>
      <c r="AO83" s="128">
        <f>AVERAGE(B83:B84)</f>
        <v>5</v>
      </c>
      <c r="AP83" s="13">
        <f t="shared" si="11"/>
        <v>7.0074640806621902E-3</v>
      </c>
      <c r="AQ83" s="139">
        <f>AVERAGE(AP83:AP84)</f>
        <v>6.7243653715646605E-3</v>
      </c>
      <c r="AR83" s="141">
        <f>AZ$81+(AZ$82*AO83)</f>
        <v>7.2048538433976909E-3</v>
      </c>
      <c r="AS83" s="135">
        <f>AZ$84*(AQ83-AR83)*(AQ83-AR83)</f>
        <v>4.6173834312888165E-7</v>
      </c>
      <c r="AT83" s="135"/>
      <c r="AU83" s="72">
        <f>AP83-AQ83</f>
        <v>2.8309870909752968E-4</v>
      </c>
      <c r="AW83" s="127" t="s">
        <v>9</v>
      </c>
      <c r="AX83" s="127"/>
      <c r="AY83" s="127"/>
      <c r="AZ83" s="83">
        <f>COUNTA($B$79:$B$92)</f>
        <v>14</v>
      </c>
    </row>
    <row r="84" spans="2:52" ht="16.8" customHeight="1" x14ac:dyDescent="0.3">
      <c r="B84" s="71">
        <v>5</v>
      </c>
      <c r="C84" s="12">
        <v>226.40181004659399</v>
      </c>
      <c r="D84" s="14">
        <v>79.929848671164905</v>
      </c>
      <c r="E84" s="13">
        <v>260.80238763792102</v>
      </c>
      <c r="F84" s="72">
        <v>40489.3014533307</v>
      </c>
      <c r="O84" s="130"/>
      <c r="P84" s="12">
        <f t="shared" si="9"/>
        <v>5.5916452475119182E-3</v>
      </c>
      <c r="Q84" s="140"/>
      <c r="R84" s="142"/>
      <c r="S84" s="135"/>
      <c r="T84" s="135"/>
      <c r="U84" s="72">
        <f>P84-Q83</f>
        <v>-5.4999295636918872E-4</v>
      </c>
      <c r="W84" s="127" t="s">
        <v>94</v>
      </c>
      <c r="X84" s="127"/>
      <c r="Y84" s="127"/>
      <c r="Z84" s="81">
        <v>2</v>
      </c>
      <c r="AB84" s="130"/>
      <c r="AC84" s="14">
        <f t="shared" si="10"/>
        <v>1.9740979913742073E-3</v>
      </c>
      <c r="AD84" s="140"/>
      <c r="AE84" s="142"/>
      <c r="AF84" s="135"/>
      <c r="AG84" s="135"/>
      <c r="AH84" s="72">
        <f>AC84-AD83</f>
        <v>-1.1765168014899602E-4</v>
      </c>
      <c r="AJ84" s="127" t="s">
        <v>94</v>
      </c>
      <c r="AK84" s="127"/>
      <c r="AL84" s="127"/>
      <c r="AM84" s="88">
        <v>2</v>
      </c>
      <c r="AO84" s="130"/>
      <c r="AP84" s="13">
        <f t="shared" si="11"/>
        <v>6.4412666624671317E-3</v>
      </c>
      <c r="AQ84" s="140"/>
      <c r="AR84" s="142"/>
      <c r="AS84" s="135"/>
      <c r="AT84" s="135"/>
      <c r="AU84" s="72">
        <f>AP84-AQ83</f>
        <v>-2.8309870909752882E-4</v>
      </c>
      <c r="AW84" s="127" t="s">
        <v>94</v>
      </c>
      <c r="AX84" s="127"/>
      <c r="AY84" s="127"/>
      <c r="AZ84" s="83">
        <v>2</v>
      </c>
    </row>
    <row r="85" spans="2:52" ht="16.8" customHeight="1" thickBot="1" x14ac:dyDescent="0.35">
      <c r="B85" s="71">
        <v>10</v>
      </c>
      <c r="C85" s="12">
        <v>481.60817210757301</v>
      </c>
      <c r="D85" s="14">
        <v>162.33523967110699</v>
      </c>
      <c r="E85" s="13">
        <v>527.20980029548105</v>
      </c>
      <c r="F85" s="72">
        <v>38188.591753178502</v>
      </c>
      <c r="K85" s="125" t="s">
        <v>47</v>
      </c>
      <c r="L85" s="125"/>
      <c r="M85" s="125"/>
      <c r="O85" s="128">
        <f>AVERAGE(B85:B86)</f>
        <v>10</v>
      </c>
      <c r="P85" s="12">
        <f t="shared" si="9"/>
        <v>1.2611310079730499E-2</v>
      </c>
      <c r="Q85" s="139">
        <f>AVERAGE(P85:P86)</f>
        <v>1.31357758098333E-2</v>
      </c>
      <c r="R85" s="141">
        <f>Z$81+(Z$82*O85)</f>
        <v>1.3448571209476342E-2</v>
      </c>
      <c r="S85" s="135">
        <f>Z$84*(Q85-R85)*(Q85-R85)</f>
        <v>1.9568192407570074E-7</v>
      </c>
      <c r="T85" s="135"/>
      <c r="U85" s="72">
        <f>P85-Q85</f>
        <v>-5.2446573010280113E-4</v>
      </c>
      <c r="W85" s="144" t="s">
        <v>93</v>
      </c>
      <c r="X85" s="144"/>
      <c r="Y85" s="144"/>
      <c r="Z85" s="81">
        <f>Z83/Z84</f>
        <v>7</v>
      </c>
      <c r="AB85" s="128">
        <f>AVERAGE(B85:B86)</f>
        <v>10</v>
      </c>
      <c r="AC85" s="14">
        <f t="shared" si="10"/>
        <v>4.2508831098123836E-3</v>
      </c>
      <c r="AD85" s="139">
        <f>AVERAGE(AC85:AC86)</f>
        <v>4.4326196450197135E-3</v>
      </c>
      <c r="AE85" s="141">
        <f>AM$81+(AM$82*AB85)</f>
        <v>4.4784516918868209E-3</v>
      </c>
      <c r="AF85" s="135">
        <f>AM$84*(AD85-AE85)*(AD85-AE85)</f>
        <v>4.2011530400574601E-9</v>
      </c>
      <c r="AG85" s="135"/>
      <c r="AH85" s="72">
        <f>AC85-AD85</f>
        <v>-1.8173653520732989E-4</v>
      </c>
      <c r="AJ85" s="144" t="s">
        <v>93</v>
      </c>
      <c r="AK85" s="144"/>
      <c r="AL85" s="144"/>
      <c r="AM85" s="88">
        <f>AM83/AM84</f>
        <v>7</v>
      </c>
      <c r="AO85" s="128">
        <f>AVERAGE(B85:B86)</f>
        <v>10</v>
      </c>
      <c r="AP85" s="13">
        <f t="shared" si="11"/>
        <v>1.3805426597109344E-2</v>
      </c>
      <c r="AQ85" s="139">
        <f>AVERAGE(AP85:AP86)</f>
        <v>1.4084675048390009E-2</v>
      </c>
      <c r="AR85" s="141">
        <f>AZ$81+(AZ$82*AO85)</f>
        <v>1.4108715715819665E-2</v>
      </c>
      <c r="AS85" s="135">
        <f>AZ$84*(AQ85-AR85)*(AQ85-AR85)</f>
        <v>1.155907380926661E-9</v>
      </c>
      <c r="AT85" s="135"/>
      <c r="AU85" s="72">
        <f>AP85-AQ85</f>
        <v>-2.7924845128066492E-4</v>
      </c>
      <c r="AW85" s="144" t="s">
        <v>93</v>
      </c>
      <c r="AX85" s="144"/>
      <c r="AY85" s="144"/>
      <c r="AZ85" s="83">
        <f>AZ83/AZ84</f>
        <v>7</v>
      </c>
    </row>
    <row r="86" spans="2:52" ht="16.8" customHeight="1" x14ac:dyDescent="0.3">
      <c r="B86" s="90">
        <v>10</v>
      </c>
      <c r="C86" s="12">
        <v>528.00988418755003</v>
      </c>
      <c r="D86" s="14">
        <v>178.35890128288199</v>
      </c>
      <c r="E86" s="13">
        <v>555.20933223377097</v>
      </c>
      <c r="F86" s="72">
        <v>38653.041576453703</v>
      </c>
      <c r="K86" s="52" t="s">
        <v>56</v>
      </c>
      <c r="L86" s="53">
        <f>(AM86/AM87)*((AM83-AM85)/(AM85-2))</f>
        <v>2.2528528032280792E-2</v>
      </c>
      <c r="M86" s="26" t="s">
        <v>46</v>
      </c>
      <c r="O86" s="130"/>
      <c r="P86" s="12">
        <f t="shared" si="9"/>
        <v>1.3660241539936099E-2</v>
      </c>
      <c r="Q86" s="140"/>
      <c r="R86" s="142"/>
      <c r="S86" s="135"/>
      <c r="T86" s="135"/>
      <c r="U86" s="72">
        <f>P86-Q85</f>
        <v>5.244657301027994E-4</v>
      </c>
      <c r="W86" s="143" t="s">
        <v>39</v>
      </c>
      <c r="X86" s="143"/>
      <c r="Y86" s="143"/>
      <c r="Z86" s="20">
        <f>SUM(S79:T92)</f>
        <v>5.840941666825373E-6</v>
      </c>
      <c r="AB86" s="130"/>
      <c r="AC86" s="14">
        <f t="shared" si="10"/>
        <v>4.6143561802270434E-3</v>
      </c>
      <c r="AD86" s="140"/>
      <c r="AE86" s="142"/>
      <c r="AF86" s="135"/>
      <c r="AG86" s="135"/>
      <c r="AH86" s="72">
        <f>AC86-AD85</f>
        <v>1.8173653520732989E-4</v>
      </c>
      <c r="AJ86" s="143" t="s">
        <v>39</v>
      </c>
      <c r="AK86" s="143"/>
      <c r="AL86" s="143"/>
      <c r="AM86" s="21">
        <f>SUM(AF79:AG92)</f>
        <v>3.6708809549704138E-7</v>
      </c>
      <c r="AO86" s="130"/>
      <c r="AP86" s="13">
        <f t="shared" si="11"/>
        <v>1.4363923499670675E-2</v>
      </c>
      <c r="AQ86" s="140"/>
      <c r="AR86" s="142"/>
      <c r="AS86" s="135"/>
      <c r="AT86" s="135"/>
      <c r="AU86" s="72">
        <f>AP86-AQ85</f>
        <v>2.7924845128066665E-4</v>
      </c>
      <c r="AW86" s="143" t="s">
        <v>39</v>
      </c>
      <c r="AX86" s="143"/>
      <c r="AY86" s="143"/>
      <c r="AZ86" s="22">
        <f>SUM(AS79:AT92)</f>
        <v>2.136042987726834E-6</v>
      </c>
    </row>
    <row r="87" spans="2:52" ht="16.8" customHeight="1" thickBot="1" x14ac:dyDescent="0.35">
      <c r="B87" s="90">
        <v>50</v>
      </c>
      <c r="C87" s="12">
        <v>2567.4311069693699</v>
      </c>
      <c r="D87" s="14">
        <v>865.58409615119501</v>
      </c>
      <c r="E87" s="13">
        <v>2695.45464478132</v>
      </c>
      <c r="F87" s="72">
        <v>38475.753769729999</v>
      </c>
      <c r="K87" s="54" t="s">
        <v>57</v>
      </c>
      <c r="L87" s="55">
        <f>AM88</f>
        <v>3.971523150611342</v>
      </c>
      <c r="M87" s="56" t="str">
        <f>IF(L86&lt;L87,"yes","no")</f>
        <v>yes</v>
      </c>
      <c r="O87" s="128">
        <f>AVERAGE(B87:B88)</f>
        <v>50</v>
      </c>
      <c r="P87" s="12">
        <f t="shared" si="9"/>
        <v>6.6728546043177017E-2</v>
      </c>
      <c r="Q87" s="139">
        <f>AVERAGE(P87:P88)</f>
        <v>6.6897085782071347E-2</v>
      </c>
      <c r="R87" s="141">
        <f>Z$81+(Z$82*O87)</f>
        <v>6.6617824616070284E-2</v>
      </c>
      <c r="S87" s="135">
        <f>Z$84*(Q87-R87)*(Q87-R87)</f>
        <v>1.5597359767254653E-7</v>
      </c>
      <c r="T87" s="135"/>
      <c r="U87" s="72">
        <f>P87-Q87</f>
        <v>-1.6853973889432994E-4</v>
      </c>
      <c r="W87" s="143" t="s">
        <v>37</v>
      </c>
      <c r="X87" s="143"/>
      <c r="Y87" s="143"/>
      <c r="Z87" s="20">
        <f>SUMSQ(U79:U92)</f>
        <v>1.2406954416518308E-4</v>
      </c>
      <c r="AB87" s="128">
        <f>AVERAGE(B87:B88)</f>
        <v>50</v>
      </c>
      <c r="AC87" s="14">
        <f t="shared" si="10"/>
        <v>2.249687170085217E-2</v>
      </c>
      <c r="AD87" s="139">
        <f>AVERAGE(AC87:AC88)</f>
        <v>2.2213738900679209E-2</v>
      </c>
      <c r="AE87" s="141">
        <f>AM$81+(AM$82*AB87)</f>
        <v>2.2466469066856985E-2</v>
      </c>
      <c r="AF87" s="135">
        <f>AM$84*(AD87-AE87)*(AD87-AE87)</f>
        <v>1.2774507379249256E-7</v>
      </c>
      <c r="AG87" s="135"/>
      <c r="AH87" s="72">
        <f>AC87-AD87</f>
        <v>2.8313280017296105E-4</v>
      </c>
      <c r="AJ87" s="143" t="s">
        <v>37</v>
      </c>
      <c r="AK87" s="143"/>
      <c r="AL87" s="143"/>
      <c r="AM87" s="21">
        <f>SUMSQ(AH79:AH92)</f>
        <v>2.2812113288514228E-5</v>
      </c>
      <c r="AO87" s="128">
        <f>AVERAGE(B87:B88)</f>
        <v>50</v>
      </c>
      <c r="AP87" s="13">
        <f t="shared" si="11"/>
        <v>7.0055928232442138E-2</v>
      </c>
      <c r="AQ87" s="139">
        <f>AVERAGE(AP87:AP88)</f>
        <v>6.9588019046510921E-2</v>
      </c>
      <c r="AR87" s="141">
        <f>AZ$81+(AZ$82*AO87)</f>
        <v>6.9339610695195453E-2</v>
      </c>
      <c r="AS87" s="135">
        <f>AZ$84*(AQ87-AR87)*(AQ87-AR87)</f>
        <v>1.2341341800653828E-7</v>
      </c>
      <c r="AT87" s="135"/>
      <c r="AU87" s="72">
        <f>AP87-AQ87</f>
        <v>4.6790918593121733E-4</v>
      </c>
      <c r="AW87" s="143" t="s">
        <v>37</v>
      </c>
      <c r="AX87" s="143"/>
      <c r="AY87" s="143"/>
      <c r="AZ87" s="22">
        <f>SUMSQ(AU79:AU92)</f>
        <v>1.2270186987231807E-4</v>
      </c>
    </row>
    <row r="88" spans="2:52" ht="16.8" customHeight="1" x14ac:dyDescent="0.3">
      <c r="B88" s="90">
        <v>50</v>
      </c>
      <c r="C88" s="12">
        <v>2585.83436223234</v>
      </c>
      <c r="D88" s="14">
        <v>845.57348714421801</v>
      </c>
      <c r="E88" s="13">
        <v>2665.04865660109</v>
      </c>
      <c r="F88" s="72">
        <v>38556.776920301301</v>
      </c>
      <c r="O88" s="130"/>
      <c r="P88" s="12">
        <f t="shared" si="9"/>
        <v>6.7065625520965691E-2</v>
      </c>
      <c r="Q88" s="140"/>
      <c r="R88" s="142"/>
      <c r="S88" s="135"/>
      <c r="T88" s="135"/>
      <c r="U88" s="72">
        <f>P88-Q87</f>
        <v>1.6853973889434382E-4</v>
      </c>
      <c r="W88" s="126" t="s">
        <v>40</v>
      </c>
      <c r="X88" s="126"/>
      <c r="Y88" s="126"/>
      <c r="Z88" s="82">
        <f>FINV(0.05,Z85-2,Z83-Z85)</f>
        <v>3.971523150611342</v>
      </c>
      <c r="AB88" s="130"/>
      <c r="AC88" s="14">
        <f t="shared" si="10"/>
        <v>2.1930606100506244E-2</v>
      </c>
      <c r="AD88" s="140"/>
      <c r="AE88" s="142"/>
      <c r="AF88" s="135"/>
      <c r="AG88" s="135"/>
      <c r="AH88" s="72">
        <f>AC88-AD87</f>
        <v>-2.8313280017296452E-4</v>
      </c>
      <c r="AJ88" s="126" t="s">
        <v>40</v>
      </c>
      <c r="AK88" s="126"/>
      <c r="AL88" s="126"/>
      <c r="AM88" s="89">
        <f>FINV(0.05,AM85-2,AM83-AM85)</f>
        <v>3.971523150611342</v>
      </c>
      <c r="AO88" s="130"/>
      <c r="AP88" s="13">
        <f t="shared" si="11"/>
        <v>6.9120109860579704E-2</v>
      </c>
      <c r="AQ88" s="140"/>
      <c r="AR88" s="142"/>
      <c r="AS88" s="135"/>
      <c r="AT88" s="135"/>
      <c r="AU88" s="72">
        <f>AP88-AQ87</f>
        <v>-4.6790918593121733E-4</v>
      </c>
      <c r="AW88" s="126" t="s">
        <v>40</v>
      </c>
      <c r="AX88" s="126"/>
      <c r="AY88" s="126"/>
      <c r="AZ88" s="84">
        <f>FINV(0.05,AZ85-2,AZ83-AZ85)</f>
        <v>3.971523150611342</v>
      </c>
    </row>
    <row r="89" spans="2:52" ht="16.8" customHeight="1" thickBot="1" x14ac:dyDescent="0.35">
      <c r="B89" s="90">
        <v>100</v>
      </c>
      <c r="C89" s="12">
        <v>5068.9005845990596</v>
      </c>
      <c r="D89" s="14">
        <v>1736.06809291676</v>
      </c>
      <c r="E89" s="13">
        <v>5237.7606154894602</v>
      </c>
      <c r="F89" s="72">
        <v>37638.332262992197</v>
      </c>
      <c r="K89" s="125" t="s">
        <v>48</v>
      </c>
      <c r="L89" s="125"/>
      <c r="M89" s="125"/>
      <c r="O89" s="128">
        <f>AVERAGE(B89:B90)</f>
        <v>100</v>
      </c>
      <c r="P89" s="12">
        <f t="shared" si="9"/>
        <v>0.13467388908681918</v>
      </c>
      <c r="Q89" s="139">
        <f>AVERAGE(P89:P90)</f>
        <v>0.13452873203444796</v>
      </c>
      <c r="R89" s="141">
        <f>Z$81+(Z$82*O89)</f>
        <v>0.13307939137431271</v>
      </c>
      <c r="S89" s="135">
        <f>Z$84*(Q89-R89)*(Q89-R89)</f>
        <v>4.2011766982425382E-6</v>
      </c>
      <c r="T89" s="135"/>
      <c r="U89" s="72">
        <f>P89-Q89</f>
        <v>1.4515705237122534E-4</v>
      </c>
      <c r="AB89" s="128">
        <f>AVERAGE(B89:B90)</f>
        <v>100</v>
      </c>
      <c r="AC89" s="14">
        <f t="shared" si="10"/>
        <v>4.6125000459272342E-2</v>
      </c>
      <c r="AD89" s="139">
        <f>AVERAGE(AC89:AC90)</f>
        <v>4.523623567116343E-2</v>
      </c>
      <c r="AE89" s="141">
        <f>AM$81+(AM$82*AB89)</f>
        <v>4.4951490785569689E-2</v>
      </c>
      <c r="AF89" s="135">
        <f>AM$84*(AD89-AE89)*(AD89-AE89)</f>
        <v>1.6215929974358493E-7</v>
      </c>
      <c r="AG89" s="135"/>
      <c r="AH89" s="72">
        <f>AC89-AD89</f>
        <v>8.8876478810891169E-4</v>
      </c>
      <c r="AO89" s="128">
        <f>AVERAGE(B89:B90)</f>
        <v>100</v>
      </c>
      <c r="AP89" s="13">
        <f t="shared" si="11"/>
        <v>0.13916027359797437</v>
      </c>
      <c r="AQ89" s="139">
        <f>AVERAGE(AP89:AP90)</f>
        <v>0.13919564122234984</v>
      </c>
      <c r="AR89" s="141">
        <f>AZ$81+(AZ$82*AO89)</f>
        <v>0.13837822941941519</v>
      </c>
      <c r="AS89" s="135">
        <f>AZ$84*(AQ89-AR89)*(AQ89-AR89)</f>
        <v>1.336324111153761E-6</v>
      </c>
      <c r="AT89" s="135"/>
      <c r="AU89" s="72">
        <f>AP89-AQ89</f>
        <v>-3.5367624375476359E-5</v>
      </c>
    </row>
    <row r="90" spans="2:52" ht="16.8" customHeight="1" x14ac:dyDescent="0.3">
      <c r="B90" s="90">
        <v>100</v>
      </c>
      <c r="C90" s="12">
        <v>5124.9228565864896</v>
      </c>
      <c r="D90" s="14">
        <v>1691.25852761904</v>
      </c>
      <c r="E90" s="13">
        <v>5309.78714980121</v>
      </c>
      <c r="F90" s="72">
        <v>38136.527155718402</v>
      </c>
      <c r="K90" s="52" t="s">
        <v>56</v>
      </c>
      <c r="L90" s="53">
        <f>(AZ86/AZ87)*((AZ83-AZ85)/(AZ85-2))</f>
        <v>2.4371757218772626E-2</v>
      </c>
      <c r="M90" s="25" t="s">
        <v>46</v>
      </c>
      <c r="O90" s="130"/>
      <c r="P90" s="12">
        <f t="shared" si="9"/>
        <v>0.13438357498207673</v>
      </c>
      <c r="Q90" s="140"/>
      <c r="R90" s="142"/>
      <c r="S90" s="135"/>
      <c r="T90" s="135"/>
      <c r="U90" s="72">
        <f>P90-Q89</f>
        <v>-1.4515705237122534E-4</v>
      </c>
      <c r="AB90" s="130"/>
      <c r="AC90" s="14">
        <f t="shared" si="10"/>
        <v>4.4347470883054525E-2</v>
      </c>
      <c r="AD90" s="140"/>
      <c r="AE90" s="142"/>
      <c r="AF90" s="135"/>
      <c r="AG90" s="135"/>
      <c r="AH90" s="72">
        <f>AC90-AD89</f>
        <v>-8.8876478810890475E-4</v>
      </c>
      <c r="AO90" s="130"/>
      <c r="AP90" s="13">
        <f t="shared" si="11"/>
        <v>0.13923100884672535</v>
      </c>
      <c r="AQ90" s="140"/>
      <c r="AR90" s="142"/>
      <c r="AS90" s="135"/>
      <c r="AT90" s="135"/>
      <c r="AU90" s="72">
        <f>AP90-AQ89</f>
        <v>3.5367624375504114E-5</v>
      </c>
    </row>
    <row r="91" spans="2:52" ht="16.8" customHeight="1" thickBot="1" x14ac:dyDescent="0.35">
      <c r="B91" s="90">
        <v>500</v>
      </c>
      <c r="C91" s="12">
        <v>25228.88267999862</v>
      </c>
      <c r="D91" s="14">
        <v>8557.4140455634097</v>
      </c>
      <c r="E91" s="13">
        <v>26204.919655163616</v>
      </c>
      <c r="F91" s="72">
        <v>37526.034461735697</v>
      </c>
      <c r="K91" s="54" t="s">
        <v>58</v>
      </c>
      <c r="L91" s="55">
        <f>AZ88</f>
        <v>3.971523150611342</v>
      </c>
      <c r="M91" s="57" t="str">
        <f>IF(L90&lt;L91,"yes","no")</f>
        <v>yes</v>
      </c>
      <c r="O91" s="128">
        <f>AVERAGE(B91:B92)</f>
        <v>500</v>
      </c>
      <c r="P91" s="12">
        <f t="shared" si="9"/>
        <v>0.67230345657023372</v>
      </c>
      <c r="Q91" s="139">
        <f>AVERAGE(P91:P92)</f>
        <v>0.66446775261082469</v>
      </c>
      <c r="R91" s="141">
        <f>Z$81+(Z$82*O91)</f>
        <v>0.66477192544025221</v>
      </c>
      <c r="S91" s="135">
        <f>Z$84*(Q91-R91)*(Q91-R91)</f>
        <v>1.8504222032388407E-7</v>
      </c>
      <c r="T91" s="135"/>
      <c r="U91" s="72">
        <f>P91-Q91</f>
        <v>7.8357039594090239E-3</v>
      </c>
      <c r="AB91" s="128">
        <f>AVERAGE(B91:B92)</f>
        <v>500</v>
      </c>
      <c r="AC91" s="14">
        <f t="shared" si="10"/>
        <v>0.22803939100704015</v>
      </c>
      <c r="AD91" s="139">
        <f>AVERAGE(AC91:AC92)</f>
        <v>0.22480201236918967</v>
      </c>
      <c r="AE91" s="141">
        <f>AM$81+(AM$82*AB91)</f>
        <v>0.22483166453527134</v>
      </c>
      <c r="AF91" s="135">
        <f>AM$84*(AD91-AE91)*(AD91-AE91)</f>
        <v>1.7585019066695638E-9</v>
      </c>
      <c r="AG91" s="135"/>
      <c r="AH91" s="72">
        <f>AC91-AD91</f>
        <v>3.2373786378504799E-3</v>
      </c>
      <c r="AO91" s="128">
        <f>AVERAGE(B91:B92)</f>
        <v>500</v>
      </c>
      <c r="AP91" s="13">
        <f t="shared" si="11"/>
        <v>0.69831305201950067</v>
      </c>
      <c r="AQ91" s="139">
        <f>AVERAGE(AP91:AP92)</f>
        <v>0.69050473877689589</v>
      </c>
      <c r="AR91" s="141">
        <f>AZ$81+(AZ$82*AO91)</f>
        <v>0.69068717921317324</v>
      </c>
      <c r="AS91" s="135">
        <f>AZ$84*(AQ91-AR91)*(AQ91-AR91)</f>
        <v>6.6569025578142169E-8</v>
      </c>
      <c r="AT91" s="135"/>
      <c r="AU91" s="72">
        <f>AP91-AQ91</f>
        <v>7.8083132426047808E-3</v>
      </c>
    </row>
    <row r="92" spans="2:52" ht="16.8" customHeight="1" x14ac:dyDescent="0.3">
      <c r="B92" s="90">
        <v>500</v>
      </c>
      <c r="C92" s="12">
        <v>24590.7918287149</v>
      </c>
      <c r="D92" s="14">
        <v>8297.5690813185192</v>
      </c>
      <c r="E92" s="13">
        <v>25566.899631232802</v>
      </c>
      <c r="F92" s="72">
        <v>37449.880613075802</v>
      </c>
      <c r="O92" s="130"/>
      <c r="P92" s="12">
        <f t="shared" si="9"/>
        <v>0.65663204865141567</v>
      </c>
      <c r="Q92" s="140"/>
      <c r="R92" s="142"/>
      <c r="S92" s="135"/>
      <c r="T92" s="135"/>
      <c r="U92" s="72">
        <f>P92-Q91</f>
        <v>-7.8357039594090239E-3</v>
      </c>
      <c r="AB92" s="130"/>
      <c r="AC92" s="14">
        <f t="shared" si="10"/>
        <v>0.22156463373133917</v>
      </c>
      <c r="AD92" s="140"/>
      <c r="AE92" s="142"/>
      <c r="AF92" s="135"/>
      <c r="AG92" s="135"/>
      <c r="AH92" s="72">
        <f>AC92-AD91</f>
        <v>-3.2373786378505076E-3</v>
      </c>
      <c r="AO92" s="130"/>
      <c r="AP92" s="13">
        <f t="shared" si="11"/>
        <v>0.68269642553429122</v>
      </c>
      <c r="AQ92" s="140"/>
      <c r="AR92" s="142"/>
      <c r="AS92" s="135"/>
      <c r="AT92" s="135"/>
      <c r="AU92" s="72">
        <f>AP92-AQ91</f>
        <v>-7.8083132426046697E-3</v>
      </c>
    </row>
    <row r="94" spans="2:52" s="7" customFormat="1" ht="16.8" customHeight="1" x14ac:dyDescent="0.3">
      <c r="B94" s="145" t="s">
        <v>34</v>
      </c>
      <c r="C94" s="145"/>
      <c r="D94" s="145"/>
      <c r="E94" s="145"/>
      <c r="F94" s="145"/>
      <c r="G94" s="145"/>
      <c r="H94" s="145"/>
      <c r="I94" s="8"/>
      <c r="J94" s="8"/>
      <c r="K94" s="8"/>
      <c r="L94" s="8"/>
      <c r="M94" s="8"/>
    </row>
    <row r="95" spans="2:52" s="7" customFormat="1" ht="16.8" customHeight="1" x14ac:dyDescent="0.3">
      <c r="B95" s="145"/>
      <c r="C95" s="145"/>
      <c r="D95" s="145"/>
      <c r="E95" s="145"/>
      <c r="F95" s="145"/>
      <c r="G95" s="145"/>
      <c r="H95" s="145"/>
      <c r="I95" s="8"/>
      <c r="J95" s="8"/>
      <c r="K95" s="8"/>
      <c r="L95" s="8"/>
      <c r="M95" s="8"/>
    </row>
    <row r="97" spans="2:28" ht="16.8" customHeight="1" x14ac:dyDescent="0.3">
      <c r="B97" s="94" t="s">
        <v>78</v>
      </c>
    </row>
    <row r="98" spans="2:28" ht="16.8" customHeight="1" x14ac:dyDescent="0.3">
      <c r="B98" s="94" t="s">
        <v>86</v>
      </c>
    </row>
    <row r="100" spans="2:28" ht="16.8" customHeight="1" x14ac:dyDescent="0.3">
      <c r="B100" s="131" t="s">
        <v>0</v>
      </c>
      <c r="C100" s="131"/>
      <c r="D100" s="131"/>
      <c r="E100" s="131"/>
      <c r="O100" s="125" t="s">
        <v>14</v>
      </c>
      <c r="P100" s="125"/>
      <c r="Q100" s="125"/>
      <c r="R100" s="125"/>
      <c r="T100" s="125" t="s">
        <v>16</v>
      </c>
      <c r="U100" s="125"/>
      <c r="V100" s="125"/>
      <c r="W100" s="125"/>
      <c r="Y100" s="125" t="s">
        <v>18</v>
      </c>
      <c r="Z100" s="125"/>
      <c r="AA100" s="125"/>
      <c r="AB100" s="125"/>
    </row>
    <row r="101" spans="2:28" ht="16.8" customHeight="1" x14ac:dyDescent="0.3">
      <c r="B101" s="1" t="s">
        <v>77</v>
      </c>
      <c r="C101" s="122" t="s">
        <v>95</v>
      </c>
      <c r="D101" s="123" t="s">
        <v>96</v>
      </c>
      <c r="E101" s="124" t="s">
        <v>97</v>
      </c>
      <c r="O101" s="126" t="s">
        <v>10</v>
      </c>
      <c r="P101" s="126"/>
      <c r="Q101" s="126"/>
      <c r="R101" s="20">
        <f>AVERAGE(C102:C106)</f>
        <v>253.00838182814999</v>
      </c>
      <c r="T101" s="126" t="s">
        <v>10</v>
      </c>
      <c r="U101" s="126"/>
      <c r="V101" s="126"/>
      <c r="W101" s="21">
        <f>AVERAGE(D102:D106)</f>
        <v>249.38432361134718</v>
      </c>
      <c r="Y101" s="126" t="s">
        <v>10</v>
      </c>
      <c r="Z101" s="126"/>
      <c r="AA101" s="126"/>
      <c r="AB101" s="22">
        <f>AVERAGE(E102:E106)</f>
        <v>256.1715706779114</v>
      </c>
    </row>
    <row r="102" spans="2:28" ht="16.8" customHeight="1" x14ac:dyDescent="0.3">
      <c r="B102" s="128">
        <v>250</v>
      </c>
      <c r="C102" s="67">
        <v>246.65204242360801</v>
      </c>
      <c r="D102" s="68">
        <v>239.52451079595701</v>
      </c>
      <c r="E102" s="69">
        <v>250.84723512923401</v>
      </c>
      <c r="O102" s="127" t="s">
        <v>9</v>
      </c>
      <c r="P102" s="127"/>
      <c r="Q102" s="127"/>
      <c r="R102" s="95">
        <f>COUNTA(C102:C106)</f>
        <v>5</v>
      </c>
      <c r="T102" s="127" t="s">
        <v>9</v>
      </c>
      <c r="U102" s="127"/>
      <c r="V102" s="127"/>
      <c r="W102" s="101">
        <f>COUNTA(D102:D106)</f>
        <v>5</v>
      </c>
      <c r="Y102" s="127" t="s">
        <v>9</v>
      </c>
      <c r="Z102" s="127"/>
      <c r="AA102" s="127"/>
      <c r="AB102" s="98">
        <f>COUNTA(E102:E106)</f>
        <v>5</v>
      </c>
    </row>
    <row r="103" spans="2:28" ht="16.8" customHeight="1" thickBot="1" x14ac:dyDescent="0.35">
      <c r="B103" s="129"/>
      <c r="C103" s="67">
        <v>248.65641122575698</v>
      </c>
      <c r="D103" s="68">
        <v>252.67165126602299</v>
      </c>
      <c r="E103" s="69">
        <v>249.12730828008301</v>
      </c>
      <c r="K103" s="125" t="s">
        <v>62</v>
      </c>
      <c r="L103" s="125"/>
      <c r="M103" s="125"/>
      <c r="O103" s="126" t="s">
        <v>66</v>
      </c>
      <c r="P103" s="126"/>
      <c r="Q103" s="126"/>
      <c r="R103" s="20">
        <f>_xlfn.STDEV.S(C102:C106)</f>
        <v>6.1422820334488799</v>
      </c>
      <c r="T103" s="126" t="s">
        <v>66</v>
      </c>
      <c r="U103" s="126"/>
      <c r="V103" s="126"/>
      <c r="W103" s="21">
        <f>_xlfn.STDEV.S(D102:D106)</f>
        <v>6.3306343160106966</v>
      </c>
      <c r="Y103" s="126" t="s">
        <v>66</v>
      </c>
      <c r="Z103" s="126"/>
      <c r="AA103" s="126"/>
      <c r="AB103" s="22">
        <f>_xlfn.STDEV.S(E102:E106)</f>
        <v>5.751383838121372</v>
      </c>
    </row>
    <row r="104" spans="2:28" ht="16.8" customHeight="1" x14ac:dyDescent="0.3">
      <c r="B104" s="129"/>
      <c r="C104" s="67">
        <v>250.97096014648298</v>
      </c>
      <c r="D104" s="68">
        <v>251.956737599505</v>
      </c>
      <c r="E104" s="69">
        <v>258.96969796047102</v>
      </c>
      <c r="K104" s="52" t="s">
        <v>70</v>
      </c>
      <c r="L104" s="53">
        <f>ABS(1-R104)/R105</f>
        <v>0.37802296427066379</v>
      </c>
      <c r="M104" s="51" t="s">
        <v>63</v>
      </c>
      <c r="O104" s="127" t="s">
        <v>64</v>
      </c>
      <c r="P104" s="127"/>
      <c r="Q104" s="127"/>
      <c r="R104" s="96">
        <f>R101/$B$102</f>
        <v>1.0120335273126</v>
      </c>
      <c r="T104" s="127" t="s">
        <v>64</v>
      </c>
      <c r="U104" s="127"/>
      <c r="V104" s="127"/>
      <c r="W104" s="102">
        <f>W101/$B$102</f>
        <v>0.99753729444538874</v>
      </c>
      <c r="Y104" s="127" t="s">
        <v>64</v>
      </c>
      <c r="Z104" s="127"/>
      <c r="AA104" s="127"/>
      <c r="AB104" s="99">
        <f>AB101/$B$102</f>
        <v>1.0246862827116456</v>
      </c>
    </row>
    <row r="105" spans="2:28" ht="16.8" customHeight="1" thickBot="1" x14ac:dyDescent="0.35">
      <c r="B105" s="129"/>
      <c r="C105" s="67">
        <v>257.62200205059401</v>
      </c>
      <c r="D105" s="68">
        <v>247.04456121331498</v>
      </c>
      <c r="E105" s="69">
        <v>261.555559629963</v>
      </c>
      <c r="K105" s="54" t="s">
        <v>69</v>
      </c>
      <c r="L105" s="55">
        <f>R106</f>
        <v>2.7764451051977934</v>
      </c>
      <c r="M105" s="59" t="str">
        <f>IF(L104&lt;L105,"yes","no")</f>
        <v>yes</v>
      </c>
      <c r="O105" s="127" t="s">
        <v>68</v>
      </c>
      <c r="P105" s="127"/>
      <c r="Q105" s="127"/>
      <c r="R105" s="97">
        <f>R104*SQRT((R103/R101)^2+(0.02)^2)</f>
        <v>3.1832794433049323E-2</v>
      </c>
      <c r="T105" s="127" t="s">
        <v>68</v>
      </c>
      <c r="U105" s="127"/>
      <c r="V105" s="127"/>
      <c r="W105" s="103">
        <f>W104*SQRT((W103/W101)^2+(0.02)^2)</f>
        <v>3.2237604672379211E-2</v>
      </c>
      <c r="Y105" s="127" t="s">
        <v>68</v>
      </c>
      <c r="Z105" s="127"/>
      <c r="AA105" s="127"/>
      <c r="AB105" s="100">
        <f>AB104*SQRT((AB103/AB101)^2+(0.02)^2)</f>
        <v>3.0809859591459092E-2</v>
      </c>
    </row>
    <row r="106" spans="2:28" ht="16.8" customHeight="1" x14ac:dyDescent="0.3">
      <c r="B106" s="130"/>
      <c r="C106" s="67">
        <v>261.14049329430799</v>
      </c>
      <c r="D106" s="68">
        <v>255.72415718193599</v>
      </c>
      <c r="E106" s="69">
        <v>260.35805238980601</v>
      </c>
      <c r="O106" s="126" t="s">
        <v>67</v>
      </c>
      <c r="P106" s="126"/>
      <c r="Q106" s="126"/>
      <c r="R106" s="82">
        <f>TINV(0.05,R102-1)</f>
        <v>2.7764451051977934</v>
      </c>
      <c r="T106" s="126" t="s">
        <v>67</v>
      </c>
      <c r="U106" s="126"/>
      <c r="V106" s="126"/>
      <c r="W106" s="89">
        <f>TINV(0.05,W102-1)</f>
        <v>2.7764451051977934</v>
      </c>
      <c r="Y106" s="126" t="s">
        <v>67</v>
      </c>
      <c r="Z106" s="126"/>
      <c r="AA106" s="126"/>
      <c r="AB106" s="84">
        <f>TINV(0.05,AB102-1)</f>
        <v>2.7764451051977934</v>
      </c>
    </row>
    <row r="107" spans="2:28" ht="16.8" customHeight="1" thickBot="1" x14ac:dyDescent="0.35">
      <c r="K107" s="125" t="s">
        <v>72</v>
      </c>
      <c r="L107" s="125"/>
      <c r="M107" s="125"/>
    </row>
    <row r="108" spans="2:28" ht="16.8" customHeight="1" x14ac:dyDescent="0.3">
      <c r="K108" s="52" t="s">
        <v>70</v>
      </c>
      <c r="L108" s="53">
        <f>ABS(1-W104)/W105</f>
        <v>7.6392324418608923E-2</v>
      </c>
      <c r="M108" s="104" t="s">
        <v>63</v>
      </c>
    </row>
    <row r="109" spans="2:28" ht="16.8" customHeight="1" thickBot="1" x14ac:dyDescent="0.35">
      <c r="K109" s="54" t="s">
        <v>69</v>
      </c>
      <c r="L109" s="55">
        <f>W106</f>
        <v>2.7764451051977934</v>
      </c>
      <c r="M109" s="62" t="str">
        <f>IF(L108&lt;L109,"yes","no")</f>
        <v>yes</v>
      </c>
    </row>
    <row r="111" spans="2:28" ht="16.8" customHeight="1" thickBot="1" x14ac:dyDescent="0.35">
      <c r="K111" s="125" t="s">
        <v>71</v>
      </c>
      <c r="L111" s="125"/>
      <c r="M111" s="125"/>
    </row>
    <row r="112" spans="2:28" ht="16.8" customHeight="1" x14ac:dyDescent="0.3">
      <c r="K112" s="52" t="s">
        <v>70</v>
      </c>
      <c r="L112" s="53">
        <f>ABS(1-AB104)/AB105</f>
        <v>0.80124619323124102</v>
      </c>
      <c r="M112" s="78" t="s">
        <v>63</v>
      </c>
    </row>
    <row r="113" spans="11:13" ht="16.8" customHeight="1" thickBot="1" x14ac:dyDescent="0.35">
      <c r="K113" s="54" t="s">
        <v>69</v>
      </c>
      <c r="L113" s="55">
        <f>AB106</f>
        <v>2.7764451051977934</v>
      </c>
      <c r="M113" s="64" t="str">
        <f>IF(L112&lt;L113,"yes","no")</f>
        <v>yes</v>
      </c>
    </row>
  </sheetData>
  <mergeCells count="219">
    <mergeCell ref="AO91:AO92"/>
    <mergeCell ref="AQ91:AQ92"/>
    <mergeCell ref="AR91:AR92"/>
    <mergeCell ref="AS91:AT92"/>
    <mergeCell ref="AO87:AO88"/>
    <mergeCell ref="AQ87:AQ88"/>
    <mergeCell ref="AR87:AR88"/>
    <mergeCell ref="AS87:AT88"/>
    <mergeCell ref="AW87:AY87"/>
    <mergeCell ref="AW88:AY88"/>
    <mergeCell ref="AO89:AO90"/>
    <mergeCell ref="AQ89:AQ90"/>
    <mergeCell ref="AR89:AR90"/>
    <mergeCell ref="AS89:AT90"/>
    <mergeCell ref="AO83:AO84"/>
    <mergeCell ref="AQ83:AQ84"/>
    <mergeCell ref="AR83:AR84"/>
    <mergeCell ref="AS83:AT84"/>
    <mergeCell ref="AW83:AY83"/>
    <mergeCell ref="AW84:AY84"/>
    <mergeCell ref="AO85:AO86"/>
    <mergeCell ref="AQ85:AQ86"/>
    <mergeCell ref="AR85:AR86"/>
    <mergeCell ref="AS85:AT86"/>
    <mergeCell ref="AW85:AY85"/>
    <mergeCell ref="AW86:AY86"/>
    <mergeCell ref="AO77:AU77"/>
    <mergeCell ref="AS78:AT78"/>
    <mergeCell ref="AO79:AO80"/>
    <mergeCell ref="AQ79:AQ80"/>
    <mergeCell ref="AR79:AR80"/>
    <mergeCell ref="AS79:AT80"/>
    <mergeCell ref="AW80:AZ80"/>
    <mergeCell ref="AO81:AO82"/>
    <mergeCell ref="AQ81:AQ82"/>
    <mergeCell ref="AR81:AR82"/>
    <mergeCell ref="AS81:AT82"/>
    <mergeCell ref="AW81:AY81"/>
    <mergeCell ref="AW82:AY82"/>
    <mergeCell ref="B72:H73"/>
    <mergeCell ref="B77:F77"/>
    <mergeCell ref="AH26:AK26"/>
    <mergeCell ref="O79:O80"/>
    <mergeCell ref="O81:O82"/>
    <mergeCell ref="O83:O84"/>
    <mergeCell ref="R79:R80"/>
    <mergeCell ref="R81:R82"/>
    <mergeCell ref="R83:R84"/>
    <mergeCell ref="O77:U77"/>
    <mergeCell ref="AB77:AH77"/>
    <mergeCell ref="AF78:AG78"/>
    <mergeCell ref="AH27:AJ27"/>
    <mergeCell ref="AH28:AJ28"/>
    <mergeCell ref="AH29:AJ29"/>
    <mergeCell ref="AH30:AJ30"/>
    <mergeCell ref="X66:X70"/>
    <mergeCell ref="U66:U70"/>
    <mergeCell ref="AJ80:AM80"/>
    <mergeCell ref="P61:P65"/>
    <mergeCell ref="T46:T50"/>
    <mergeCell ref="AB79:AB80"/>
    <mergeCell ref="AD79:AD80"/>
    <mergeCell ref="AE79:AE80"/>
    <mergeCell ref="AJ88:AL88"/>
    <mergeCell ref="K25:M25"/>
    <mergeCell ref="K29:M29"/>
    <mergeCell ref="K33:M33"/>
    <mergeCell ref="O44:P44"/>
    <mergeCell ref="S44:T44"/>
    <mergeCell ref="W44:X44"/>
    <mergeCell ref="B16:H17"/>
    <mergeCell ref="C1:D3"/>
    <mergeCell ref="AE21:AF21"/>
    <mergeCell ref="B44:F44"/>
    <mergeCell ref="B39:H40"/>
    <mergeCell ref="O21:P21"/>
    <mergeCell ref="R26:U26"/>
    <mergeCell ref="Z27:AB27"/>
    <mergeCell ref="Z28:AB28"/>
    <mergeCell ref="Z29:AB29"/>
    <mergeCell ref="Z30:AB30"/>
    <mergeCell ref="Z31:AB31"/>
    <mergeCell ref="Z32:AB32"/>
    <mergeCell ref="R31:T31"/>
    <mergeCell ref="R32:T32"/>
    <mergeCell ref="R33:T33"/>
    <mergeCell ref="Z33:AB33"/>
    <mergeCell ref="W21:X21"/>
    <mergeCell ref="B21:F21"/>
    <mergeCell ref="AH31:AJ31"/>
    <mergeCell ref="AH32:AJ32"/>
    <mergeCell ref="AH33:AJ33"/>
    <mergeCell ref="K63:M63"/>
    <mergeCell ref="K55:M55"/>
    <mergeCell ref="R27:T27"/>
    <mergeCell ref="R28:T28"/>
    <mergeCell ref="R29:T29"/>
    <mergeCell ref="R30:T30"/>
    <mergeCell ref="U46:U50"/>
    <mergeCell ref="U51:U55"/>
    <mergeCell ref="U56:U60"/>
    <mergeCell ref="U61:U65"/>
    <mergeCell ref="Y46:Y50"/>
    <mergeCell ref="Y51:Y55"/>
    <mergeCell ref="Y56:Y60"/>
    <mergeCell ref="Y61:Y65"/>
    <mergeCell ref="P46:P50"/>
    <mergeCell ref="X46:X50"/>
    <mergeCell ref="K47:M47"/>
    <mergeCell ref="P51:P55"/>
    <mergeCell ref="P56:P60"/>
    <mergeCell ref="S91:T92"/>
    <mergeCell ref="W80:Z80"/>
    <mergeCell ref="W81:Y81"/>
    <mergeCell ref="W82:Y82"/>
    <mergeCell ref="W83:Y83"/>
    <mergeCell ref="W85:Y85"/>
    <mergeCell ref="W86:Y86"/>
    <mergeCell ref="W87:Y87"/>
    <mergeCell ref="W84:Y84"/>
    <mergeCell ref="W88:Y88"/>
    <mergeCell ref="AF79:AG80"/>
    <mergeCell ref="AB81:AB82"/>
    <mergeCell ref="AD81:AD82"/>
    <mergeCell ref="AE81:AE82"/>
    <mergeCell ref="AF81:AG82"/>
    <mergeCell ref="B94:H95"/>
    <mergeCell ref="R85:R86"/>
    <mergeCell ref="R87:R88"/>
    <mergeCell ref="R89:R90"/>
    <mergeCell ref="R91:R92"/>
    <mergeCell ref="O85:O86"/>
    <mergeCell ref="O87:O88"/>
    <mergeCell ref="O89:O90"/>
    <mergeCell ref="O91:O92"/>
    <mergeCell ref="Q79:Q80"/>
    <mergeCell ref="Q81:Q82"/>
    <mergeCell ref="Q83:Q84"/>
    <mergeCell ref="Q85:Q86"/>
    <mergeCell ref="Q87:Q88"/>
    <mergeCell ref="Q89:Q90"/>
    <mergeCell ref="Q91:Q92"/>
    <mergeCell ref="AB89:AB90"/>
    <mergeCell ref="AD89:AD90"/>
    <mergeCell ref="AE89:AE90"/>
    <mergeCell ref="AJ86:AL86"/>
    <mergeCell ref="AJ87:AL87"/>
    <mergeCell ref="AB85:AB86"/>
    <mergeCell ref="AD85:AD86"/>
    <mergeCell ref="AE85:AE86"/>
    <mergeCell ref="AF85:AG86"/>
    <mergeCell ref="AJ84:AL84"/>
    <mergeCell ref="AJ85:AL85"/>
    <mergeCell ref="AJ81:AL81"/>
    <mergeCell ref="AB83:AB84"/>
    <mergeCell ref="AD83:AD84"/>
    <mergeCell ref="AE83:AE84"/>
    <mergeCell ref="AF83:AG84"/>
    <mergeCell ref="AJ82:AL82"/>
    <mergeCell ref="AJ83:AL83"/>
    <mergeCell ref="AF89:AG90"/>
    <mergeCell ref="AB91:AB92"/>
    <mergeCell ref="AD91:AD92"/>
    <mergeCell ref="AE91:AE92"/>
    <mergeCell ref="AF91:AG92"/>
    <mergeCell ref="AB87:AB88"/>
    <mergeCell ref="AD87:AD88"/>
    <mergeCell ref="AE87:AE88"/>
    <mergeCell ref="AF87:AG88"/>
    <mergeCell ref="Y66:Y70"/>
    <mergeCell ref="K81:M81"/>
    <mergeCell ref="K85:M85"/>
    <mergeCell ref="K89:M89"/>
    <mergeCell ref="Q46:Q50"/>
    <mergeCell ref="Q51:Q55"/>
    <mergeCell ref="Q56:Q60"/>
    <mergeCell ref="Q61:Q65"/>
    <mergeCell ref="Q66:Q70"/>
    <mergeCell ref="S78:T78"/>
    <mergeCell ref="S79:T80"/>
    <mergeCell ref="S81:T82"/>
    <mergeCell ref="S83:T84"/>
    <mergeCell ref="S85:T86"/>
    <mergeCell ref="S87:T88"/>
    <mergeCell ref="S89:T90"/>
    <mergeCell ref="P66:P70"/>
    <mergeCell ref="T51:T55"/>
    <mergeCell ref="T56:T60"/>
    <mergeCell ref="T61:T65"/>
    <mergeCell ref="T66:T70"/>
    <mergeCell ref="X51:X55"/>
    <mergeCell ref="X56:X60"/>
    <mergeCell ref="X61:X65"/>
    <mergeCell ref="B102:B106"/>
    <mergeCell ref="K107:M107"/>
    <mergeCell ref="K111:M111"/>
    <mergeCell ref="T100:W100"/>
    <mergeCell ref="T101:V101"/>
    <mergeCell ref="T102:V102"/>
    <mergeCell ref="T103:V103"/>
    <mergeCell ref="T104:V104"/>
    <mergeCell ref="T105:V105"/>
    <mergeCell ref="T106:V106"/>
    <mergeCell ref="B100:E100"/>
    <mergeCell ref="O100:R100"/>
    <mergeCell ref="O101:Q101"/>
    <mergeCell ref="O102:Q102"/>
    <mergeCell ref="O105:Q105"/>
    <mergeCell ref="O104:Q104"/>
    <mergeCell ref="O106:Q106"/>
    <mergeCell ref="Y100:AB100"/>
    <mergeCell ref="Y101:AA101"/>
    <mergeCell ref="Y102:AA102"/>
    <mergeCell ref="Y103:AA103"/>
    <mergeCell ref="Y104:AA104"/>
    <mergeCell ref="Y105:AA105"/>
    <mergeCell ref="Y106:AA106"/>
    <mergeCell ref="K103:M103"/>
    <mergeCell ref="O103:Q103"/>
  </mergeCells>
  <pageMargins left="0.7" right="0.7" top="0.75" bottom="0.75" header="0.3" footer="0.3"/>
  <pageSetup paperSize="9" orientation="portrait" r:id="rId1"/>
  <ignoredErrors>
    <ignoredError sqref="M87 M91" evalError="1"/>
    <ignoredError sqref="O79 O81 O83 O85 O87 O89 O91 P46 P51 P56 P61 P66 T46 T51 T56 T61 T66 X46 X51 X56 X61 X6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5033-3E14-4423-AEA2-CCCE84550D71}">
  <dimension ref="B1:AL85"/>
  <sheetViews>
    <sheetView tabSelected="1" zoomScaleNormal="100" workbookViewId="0">
      <selection activeCell="G4" sqref="G4"/>
    </sheetView>
  </sheetViews>
  <sheetFormatPr defaultRowHeight="16.8" customHeight="1" x14ac:dyDescent="0.3"/>
  <cols>
    <col min="1" max="1" width="3.77734375" style="9" customWidth="1"/>
    <col min="2" max="2" width="7.21875" style="9" customWidth="1"/>
    <col min="3" max="5" width="16.109375" style="9" customWidth="1"/>
    <col min="6" max="6" width="13.33203125" style="9" customWidth="1"/>
    <col min="7" max="7" width="7.77734375" style="9" customWidth="1"/>
    <col min="8" max="8" width="9.5546875" style="9" customWidth="1"/>
    <col min="9" max="9" width="7.77734375" style="9" customWidth="1"/>
    <col min="10" max="10" width="9.5546875" style="9" customWidth="1"/>
    <col min="11" max="11" width="12.77734375" style="9" customWidth="1"/>
    <col min="12" max="12" width="12" style="9" customWidth="1"/>
    <col min="13" max="13" width="13.33203125" style="9" customWidth="1"/>
    <col min="14" max="26" width="12" style="9" customWidth="1"/>
    <col min="27" max="38" width="11.88671875" style="9" customWidth="1"/>
    <col min="39" max="16384" width="8.88671875" style="9"/>
  </cols>
  <sheetData>
    <row r="1" spans="2:14" ht="16.8" customHeight="1" x14ac:dyDescent="0.3">
      <c r="C1" s="147" t="s">
        <v>23</v>
      </c>
      <c r="D1" s="147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2:14" ht="16.8" customHeight="1" x14ac:dyDescent="0.3">
      <c r="B2" s="31"/>
      <c r="C2" s="147"/>
      <c r="D2" s="147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4" ht="16.8" customHeight="1" x14ac:dyDescent="0.3">
      <c r="B3" s="31"/>
      <c r="C3" s="147"/>
      <c r="D3" s="147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s="17" customFormat="1" ht="16.8" customHeight="1" x14ac:dyDescent="0.3">
      <c r="B4" s="17" t="s">
        <v>1</v>
      </c>
    </row>
    <row r="5" spans="2:14" s="17" customFormat="1" ht="16.8" customHeight="1" x14ac:dyDescent="0.3">
      <c r="B5" s="17" t="s">
        <v>3</v>
      </c>
    </row>
    <row r="10" spans="2:14" ht="16.8" customHeight="1" x14ac:dyDescent="0.3">
      <c r="G10" s="10"/>
      <c r="H10" s="11"/>
    </row>
    <row r="13" spans="2:14" ht="16.8" customHeight="1" x14ac:dyDescent="0.3">
      <c r="B13" s="9" t="s">
        <v>101</v>
      </c>
    </row>
    <row r="14" spans="2:14" ht="16.8" customHeight="1" x14ac:dyDescent="0.3">
      <c r="B14" s="9" t="s">
        <v>100</v>
      </c>
    </row>
    <row r="16" spans="2:14" s="7" customFormat="1" ht="16.8" customHeight="1" x14ac:dyDescent="0.3">
      <c r="B16" s="145" t="s">
        <v>7</v>
      </c>
      <c r="C16" s="145"/>
      <c r="D16" s="145"/>
      <c r="E16" s="145"/>
      <c r="F16" s="145"/>
      <c r="G16" s="145"/>
      <c r="H16" s="145"/>
      <c r="I16" s="145"/>
      <c r="J16" s="145"/>
      <c r="K16" s="145"/>
      <c r="L16" s="8"/>
    </row>
    <row r="17" spans="2:28" s="7" customFormat="1" ht="16.8" customHeight="1" x14ac:dyDescent="0.3"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8"/>
    </row>
    <row r="19" spans="2:28" ht="16.8" customHeight="1" x14ac:dyDescent="0.3">
      <c r="B19" s="9" t="s">
        <v>82</v>
      </c>
    </row>
    <row r="21" spans="2:28" ht="16.8" customHeight="1" x14ac:dyDescent="0.3">
      <c r="B21" s="131" t="s">
        <v>74</v>
      </c>
      <c r="C21" s="131"/>
      <c r="D21" s="131"/>
      <c r="E21" s="131"/>
      <c r="N21" s="131" t="s">
        <v>13</v>
      </c>
      <c r="O21" s="131"/>
      <c r="V21" s="131" t="s">
        <v>17</v>
      </c>
      <c r="W21" s="131"/>
    </row>
    <row r="22" spans="2:28" ht="16.8" customHeight="1" x14ac:dyDescent="0.3">
      <c r="B22" s="1" t="s">
        <v>26</v>
      </c>
      <c r="C22" s="4" t="s">
        <v>73</v>
      </c>
      <c r="D22" s="5" t="s">
        <v>76</v>
      </c>
      <c r="E22" s="28" t="s">
        <v>75</v>
      </c>
      <c r="N22" s="4" t="s">
        <v>27</v>
      </c>
      <c r="O22" s="80" t="s">
        <v>5</v>
      </c>
      <c r="V22" s="5" t="s">
        <v>29</v>
      </c>
      <c r="W22" s="80" t="s">
        <v>5</v>
      </c>
    </row>
    <row r="23" spans="2:28" ht="16.8" customHeight="1" x14ac:dyDescent="0.3">
      <c r="B23" s="79">
        <v>1</v>
      </c>
      <c r="C23" s="30">
        <v>3100</v>
      </c>
      <c r="D23" s="13">
        <v>21400</v>
      </c>
      <c r="E23" s="29">
        <v>2180000</v>
      </c>
      <c r="N23" s="12">
        <f t="shared" ref="N23:N31" si="0">C23/E23</f>
        <v>1.4220183486238532E-3</v>
      </c>
      <c r="O23" s="72">
        <f>(B23-AVERAGE($B$23:$B$31))^2</f>
        <v>2.7777777777777772</v>
      </c>
      <c r="Q23" s="131" t="s">
        <v>14</v>
      </c>
      <c r="R23" s="131"/>
      <c r="S23" s="131"/>
      <c r="T23" s="131"/>
      <c r="V23" s="13">
        <f>D23/E23</f>
        <v>9.8165137614678894E-3</v>
      </c>
      <c r="W23" s="105">
        <f>(B23-AVERAGE($B$23:$B$31))^2</f>
        <v>2.7777777777777772</v>
      </c>
      <c r="Y23" s="131" t="s">
        <v>18</v>
      </c>
      <c r="Z23" s="131"/>
      <c r="AA23" s="131"/>
      <c r="AB23" s="131"/>
    </row>
    <row r="24" spans="2:28" ht="16.8" customHeight="1" x14ac:dyDescent="0.3">
      <c r="B24" s="79">
        <v>1</v>
      </c>
      <c r="C24" s="30">
        <v>4130</v>
      </c>
      <c r="D24" s="13">
        <v>20200</v>
      </c>
      <c r="E24" s="29">
        <v>2230000</v>
      </c>
      <c r="N24" s="12">
        <f t="shared" si="0"/>
        <v>1.8520179372197309E-3</v>
      </c>
      <c r="O24" s="105">
        <f t="shared" ref="O24:O31" si="1">(B24-AVERAGE($B$23:$B$31))^2</f>
        <v>2.7777777777777772</v>
      </c>
      <c r="Q24" s="126" t="s">
        <v>8</v>
      </c>
      <c r="R24" s="126"/>
      <c r="S24" s="126"/>
      <c r="T24" s="20">
        <f>INTERCEPT(N23:N31,$B$23:$B$31)</f>
        <v>-2.7510077271196767E-4</v>
      </c>
      <c r="V24" s="13">
        <f t="shared" ref="V24:V31" si="2">D24/E24</f>
        <v>9.0582959641255598E-3</v>
      </c>
      <c r="W24" s="105">
        <f t="shared" ref="W24:W31" si="3">(B24-AVERAGE($B$23:$B$31))^2</f>
        <v>2.7777777777777772</v>
      </c>
      <c r="Y24" s="127" t="s">
        <v>8</v>
      </c>
      <c r="Z24" s="127"/>
      <c r="AA24" s="127"/>
      <c r="AB24" s="22">
        <f>INTERCEPT(V23:V31,$B$23:$B$31)</f>
        <v>-1.878269137198102E-4</v>
      </c>
    </row>
    <row r="25" spans="2:28" ht="16.8" customHeight="1" thickBot="1" x14ac:dyDescent="0.35">
      <c r="B25" s="79">
        <v>1</v>
      </c>
      <c r="C25" s="30">
        <v>3170</v>
      </c>
      <c r="D25" s="13">
        <v>17400</v>
      </c>
      <c r="E25" s="29">
        <v>2200000</v>
      </c>
      <c r="J25" s="146" t="s">
        <v>42</v>
      </c>
      <c r="K25" s="146"/>
      <c r="L25" s="146"/>
      <c r="N25" s="12">
        <f t="shared" si="0"/>
        <v>1.440909090909091E-3</v>
      </c>
      <c r="O25" s="105">
        <f t="shared" si="1"/>
        <v>2.7777777777777772</v>
      </c>
      <c r="Q25" s="126" t="s">
        <v>12</v>
      </c>
      <c r="R25" s="126"/>
      <c r="S25" s="126"/>
      <c r="T25" s="20">
        <f>SLOPE(N23:N31,$B$23:$B$31)</f>
        <v>1.7058707697343194E-3</v>
      </c>
      <c r="V25" s="13">
        <f t="shared" si="2"/>
        <v>7.909090909090909E-3</v>
      </c>
      <c r="W25" s="105">
        <f t="shared" si="3"/>
        <v>2.7777777777777772</v>
      </c>
      <c r="Y25" s="127" t="s">
        <v>12</v>
      </c>
      <c r="Z25" s="127"/>
      <c r="AA25" s="127"/>
      <c r="AB25" s="22">
        <f>SLOPE(V23:V31,$B$23:$B$31)</f>
        <v>9.1257213619692478E-3</v>
      </c>
    </row>
    <row r="26" spans="2:28" ht="16.8" customHeight="1" x14ac:dyDescent="0.3">
      <c r="B26" s="79">
        <v>2</v>
      </c>
      <c r="C26" s="30">
        <v>6840</v>
      </c>
      <c r="D26" s="13">
        <v>39000</v>
      </c>
      <c r="E26" s="29">
        <v>2090000</v>
      </c>
      <c r="J26" s="40" t="s">
        <v>4</v>
      </c>
      <c r="K26" s="41">
        <f>((T26/T25)*T29)*SQRT((1+(1/T27)+((T28*T28)/T30)))</f>
        <v>0.56610082980551357</v>
      </c>
      <c r="L26" s="42" t="s">
        <v>24</v>
      </c>
      <c r="N26" s="12">
        <f t="shared" si="0"/>
        <v>3.2727272727272726E-3</v>
      </c>
      <c r="O26" s="105">
        <f t="shared" si="1"/>
        <v>0.44444444444444425</v>
      </c>
      <c r="Q26" s="126" t="s">
        <v>65</v>
      </c>
      <c r="R26" s="126"/>
      <c r="S26" s="126"/>
      <c r="T26" s="20">
        <f>STEYX(N23:N31,$B$23:$B$31)</f>
        <v>4.3317433169178692E-4</v>
      </c>
      <c r="V26" s="13">
        <f t="shared" si="2"/>
        <v>1.8660287081339714E-2</v>
      </c>
      <c r="W26" s="105">
        <f t="shared" si="3"/>
        <v>0.44444444444444425</v>
      </c>
      <c r="Y26" s="126" t="s">
        <v>65</v>
      </c>
      <c r="Z26" s="126"/>
      <c r="AA26" s="126"/>
      <c r="AB26" s="22">
        <f>STEYX(V23:V31,$B$23:$B$31)</f>
        <v>1.0585746875712253E-3</v>
      </c>
    </row>
    <row r="27" spans="2:28" ht="16.8" customHeight="1" thickBot="1" x14ac:dyDescent="0.35">
      <c r="B27" s="79">
        <v>2</v>
      </c>
      <c r="C27" s="30">
        <v>4960</v>
      </c>
      <c r="D27" s="13">
        <v>39000</v>
      </c>
      <c r="E27" s="29">
        <v>2140000</v>
      </c>
      <c r="I27" s="18"/>
      <c r="J27" s="37" t="s">
        <v>6</v>
      </c>
      <c r="K27" s="38">
        <f>K26*3</f>
        <v>1.6983024894165406</v>
      </c>
      <c r="L27" s="39" t="s">
        <v>24</v>
      </c>
      <c r="N27" s="12">
        <f t="shared" si="0"/>
        <v>2.3177570093457943E-3</v>
      </c>
      <c r="O27" s="105">
        <f t="shared" si="1"/>
        <v>0.44444444444444425</v>
      </c>
      <c r="Q27" s="126" t="s">
        <v>9</v>
      </c>
      <c r="R27" s="126"/>
      <c r="S27" s="126"/>
      <c r="T27" s="81">
        <f>COUNTA(N23:N31)</f>
        <v>9</v>
      </c>
      <c r="V27" s="13">
        <f t="shared" si="2"/>
        <v>1.8224299065420561E-2</v>
      </c>
      <c r="W27" s="105">
        <f t="shared" si="3"/>
        <v>0.44444444444444425</v>
      </c>
      <c r="Y27" s="127" t="s">
        <v>9</v>
      </c>
      <c r="Z27" s="127"/>
      <c r="AA27" s="127"/>
      <c r="AB27" s="83">
        <f>COUNTA(V23:V31)</f>
        <v>9</v>
      </c>
    </row>
    <row r="28" spans="2:28" ht="16.8" customHeight="1" x14ac:dyDescent="0.3">
      <c r="B28" s="79">
        <v>2</v>
      </c>
      <c r="C28" s="30">
        <v>6870</v>
      </c>
      <c r="D28" s="13">
        <v>36600</v>
      </c>
      <c r="E28" s="29">
        <v>2110000</v>
      </c>
      <c r="N28" s="12">
        <f t="shared" si="0"/>
        <v>3.2559241706161136E-3</v>
      </c>
      <c r="O28" s="105">
        <f t="shared" si="1"/>
        <v>0.44444444444444425</v>
      </c>
      <c r="Q28" s="126" t="s">
        <v>10</v>
      </c>
      <c r="R28" s="126"/>
      <c r="S28" s="126"/>
      <c r="T28" s="20">
        <f>AVERAGE($B$23:$B$31)</f>
        <v>2.6666666666666665</v>
      </c>
      <c r="V28" s="13">
        <f t="shared" si="2"/>
        <v>1.7345971563981044E-2</v>
      </c>
      <c r="W28" s="105">
        <f t="shared" si="3"/>
        <v>0.44444444444444425</v>
      </c>
      <c r="Y28" s="126" t="s">
        <v>10</v>
      </c>
      <c r="Z28" s="126"/>
      <c r="AA28" s="126"/>
      <c r="AB28" s="22">
        <f>AVERAGE($B$23:$B$31)</f>
        <v>2.6666666666666665</v>
      </c>
    </row>
    <row r="29" spans="2:28" ht="16.8" customHeight="1" thickBot="1" x14ac:dyDescent="0.35">
      <c r="B29" s="79">
        <v>5</v>
      </c>
      <c r="C29" s="30">
        <v>16800</v>
      </c>
      <c r="D29" s="13">
        <v>92200</v>
      </c>
      <c r="E29" s="29">
        <v>2070000</v>
      </c>
      <c r="J29" s="146" t="s">
        <v>44</v>
      </c>
      <c r="K29" s="146"/>
      <c r="L29" s="146"/>
      <c r="N29" s="12">
        <f t="shared" si="0"/>
        <v>8.1159420289855077E-3</v>
      </c>
      <c r="O29" s="105">
        <f t="shared" si="1"/>
        <v>5.4444444444444455</v>
      </c>
      <c r="P29" s="50"/>
      <c r="Q29" s="126" t="s">
        <v>11</v>
      </c>
      <c r="R29" s="126"/>
      <c r="S29" s="126"/>
      <c r="T29" s="82">
        <f>TINV(0.1,T27-2)</f>
        <v>1.8945786050900073</v>
      </c>
      <c r="V29" s="13">
        <f t="shared" si="2"/>
        <v>4.4541062801932367E-2</v>
      </c>
      <c r="W29" s="105">
        <f t="shared" si="3"/>
        <v>5.4444444444444455</v>
      </c>
      <c r="Y29" s="126" t="s">
        <v>11</v>
      </c>
      <c r="Z29" s="126"/>
      <c r="AA29" s="126"/>
      <c r="AB29" s="84">
        <f>TINV(0.1,AB27-2)</f>
        <v>1.8945786050900073</v>
      </c>
    </row>
    <row r="30" spans="2:28" ht="16.8" customHeight="1" x14ac:dyDescent="0.3">
      <c r="B30" s="79">
        <v>5</v>
      </c>
      <c r="C30" s="30">
        <v>17300</v>
      </c>
      <c r="D30" s="13">
        <v>87200</v>
      </c>
      <c r="E30" s="29">
        <v>1960000</v>
      </c>
      <c r="G30" s="19"/>
      <c r="H30" s="16"/>
      <c r="J30" s="45" t="s">
        <v>4</v>
      </c>
      <c r="K30" s="46">
        <f>((AB26/AB25)*AB29)*SQRT((1+(1/AB27)+((AB28*AB28)/AB30)))</f>
        <v>0.25860177759621544</v>
      </c>
      <c r="L30" s="47" t="s">
        <v>24</v>
      </c>
      <c r="N30" s="12">
        <f t="shared" si="0"/>
        <v>8.826530612244898E-3</v>
      </c>
      <c r="O30" s="105">
        <f t="shared" si="1"/>
        <v>5.4444444444444455</v>
      </c>
      <c r="Q30" s="152" t="s">
        <v>25</v>
      </c>
      <c r="R30" s="152"/>
      <c r="S30" s="152"/>
      <c r="T30" s="20">
        <f>SUM(O23:O31)</f>
        <v>26.000000000000004</v>
      </c>
      <c r="V30" s="13">
        <f t="shared" si="2"/>
        <v>4.4489795918367346E-2</v>
      </c>
      <c r="W30" s="105">
        <f t="shared" si="3"/>
        <v>5.4444444444444455</v>
      </c>
      <c r="Y30" s="143" t="s">
        <v>25</v>
      </c>
      <c r="Z30" s="143"/>
      <c r="AA30" s="143"/>
      <c r="AB30" s="22">
        <f>SUM(W23:W31)</f>
        <v>26.000000000000004</v>
      </c>
    </row>
    <row r="31" spans="2:28" ht="16.8" customHeight="1" thickBot="1" x14ac:dyDescent="0.35">
      <c r="B31" s="79">
        <v>5</v>
      </c>
      <c r="C31" s="30">
        <v>16400</v>
      </c>
      <c r="D31" s="13">
        <v>97400</v>
      </c>
      <c r="E31" s="29">
        <v>2060000</v>
      </c>
      <c r="H31" s="16"/>
      <c r="J31" s="32" t="s">
        <v>6</v>
      </c>
      <c r="K31" s="33">
        <f>K30*3</f>
        <v>0.77580533278864627</v>
      </c>
      <c r="L31" s="34" t="s">
        <v>24</v>
      </c>
      <c r="N31" s="12">
        <f t="shared" si="0"/>
        <v>7.9611650485436891E-3</v>
      </c>
      <c r="O31" s="105">
        <f t="shared" si="1"/>
        <v>5.4444444444444455</v>
      </c>
      <c r="V31" s="13">
        <f t="shared" si="2"/>
        <v>4.728155339805825E-2</v>
      </c>
      <c r="W31" s="105">
        <f t="shared" si="3"/>
        <v>5.4444444444444455</v>
      </c>
    </row>
    <row r="32" spans="2:28" ht="16.8" customHeight="1" x14ac:dyDescent="0.3">
      <c r="O32" s="85"/>
    </row>
    <row r="33" spans="2:17" s="7" customFormat="1" ht="16.8" customHeight="1" x14ac:dyDescent="0.3">
      <c r="B33" s="145" t="s">
        <v>32</v>
      </c>
      <c r="C33" s="145"/>
      <c r="D33" s="145"/>
      <c r="E33" s="145"/>
      <c r="F33" s="145"/>
      <c r="G33" s="145"/>
      <c r="H33" s="8"/>
      <c r="I33" s="8"/>
      <c r="J33" s="8"/>
      <c r="K33" s="8"/>
      <c r="L33" s="8"/>
    </row>
    <row r="34" spans="2:17" s="7" customFormat="1" ht="16.8" customHeight="1" x14ac:dyDescent="0.3">
      <c r="B34" s="145"/>
      <c r="C34" s="145"/>
      <c r="D34" s="145"/>
      <c r="E34" s="145"/>
      <c r="F34" s="145"/>
      <c r="G34" s="145"/>
      <c r="H34" s="8"/>
      <c r="I34" s="8"/>
      <c r="J34" s="8"/>
      <c r="K34" s="8"/>
      <c r="L34" s="8"/>
    </row>
    <row r="35" spans="2:17" ht="16.8" customHeight="1" x14ac:dyDescent="0.3">
      <c r="H35" s="16"/>
    </row>
    <row r="36" spans="2:17" ht="16.8" customHeight="1" x14ac:dyDescent="0.3">
      <c r="B36" s="9" t="s">
        <v>102</v>
      </c>
      <c r="H36" s="16"/>
    </row>
    <row r="37" spans="2:17" ht="16.8" customHeight="1" x14ac:dyDescent="0.3">
      <c r="B37" s="9" t="s">
        <v>81</v>
      </c>
      <c r="H37" s="16"/>
      <c r="K37" s="93"/>
    </row>
    <row r="38" spans="2:17" ht="16.8" customHeight="1" x14ac:dyDescent="0.3">
      <c r="H38" s="16"/>
    </row>
    <row r="39" spans="2:17" ht="16.8" customHeight="1" x14ac:dyDescent="0.3">
      <c r="B39" s="131" t="s">
        <v>0</v>
      </c>
      <c r="C39" s="131"/>
      <c r="D39" s="131"/>
      <c r="F39" s="49"/>
      <c r="M39" s="86"/>
      <c r="N39" s="131" t="s">
        <v>59</v>
      </c>
      <c r="O39" s="131"/>
    </row>
    <row r="40" spans="2:17" ht="16.8" customHeight="1" thickBot="1" x14ac:dyDescent="0.35">
      <c r="B40" s="1" t="s">
        <v>26</v>
      </c>
      <c r="C40" s="4" t="s">
        <v>30</v>
      </c>
      <c r="D40" s="5" t="s">
        <v>31</v>
      </c>
      <c r="F40" s="49"/>
      <c r="N40" s="1" t="s">
        <v>26</v>
      </c>
      <c r="O40" s="58" t="s">
        <v>22</v>
      </c>
    </row>
    <row r="41" spans="2:17" ht="16.8" customHeight="1" x14ac:dyDescent="0.3">
      <c r="B41" s="23">
        <v>50</v>
      </c>
      <c r="C41" s="12">
        <v>53.4</v>
      </c>
      <c r="D41" s="13">
        <v>52.9</v>
      </c>
      <c r="F41" s="49"/>
      <c r="J41" s="74" t="s">
        <v>26</v>
      </c>
      <c r="K41" s="66" t="s">
        <v>21</v>
      </c>
      <c r="L41" s="27" t="s">
        <v>49</v>
      </c>
      <c r="N41" s="23">
        <v>50</v>
      </c>
      <c r="O41" s="77">
        <f>_xlfn.STDEV.S(C41:C45)</f>
        <v>1.7064583206161223</v>
      </c>
    </row>
    <row r="42" spans="2:17" ht="16.8" customHeight="1" thickBot="1" x14ac:dyDescent="0.35">
      <c r="B42" s="23">
        <v>50</v>
      </c>
      <c r="C42" s="12">
        <v>49.7</v>
      </c>
      <c r="D42" s="13">
        <v>47.4</v>
      </c>
      <c r="J42" s="75">
        <v>50</v>
      </c>
      <c r="K42" s="76">
        <f>O41/AVERAGE(C41:C45)</f>
        <v>3.3277268342748099E-2</v>
      </c>
      <c r="L42" s="59" t="str">
        <f>IF(K42&lt;0.15,"yes","no")</f>
        <v>yes</v>
      </c>
    </row>
    <row r="43" spans="2:17" ht="16.8" customHeight="1" thickBot="1" x14ac:dyDescent="0.35">
      <c r="B43" s="23">
        <v>50</v>
      </c>
      <c r="C43" s="12">
        <v>52.7</v>
      </c>
      <c r="D43" s="13">
        <v>47.1</v>
      </c>
      <c r="N43" s="131" t="s">
        <v>60</v>
      </c>
      <c r="O43" s="131"/>
    </row>
    <row r="44" spans="2:17" ht="16.8" customHeight="1" x14ac:dyDescent="0.3">
      <c r="B44" s="23">
        <v>50</v>
      </c>
      <c r="C44" s="12">
        <v>49.7</v>
      </c>
      <c r="D44" s="13">
        <v>48</v>
      </c>
      <c r="J44" s="74" t="s">
        <v>26</v>
      </c>
      <c r="K44" s="66" t="s">
        <v>21</v>
      </c>
      <c r="L44" s="25" t="s">
        <v>49</v>
      </c>
      <c r="N44" s="1" t="s">
        <v>26</v>
      </c>
      <c r="O44" s="58" t="s">
        <v>22</v>
      </c>
    </row>
    <row r="45" spans="2:17" ht="16.8" customHeight="1" thickBot="1" x14ac:dyDescent="0.35">
      <c r="B45" s="23">
        <v>50</v>
      </c>
      <c r="C45" s="12">
        <v>50.9</v>
      </c>
      <c r="D45" s="13">
        <v>53</v>
      </c>
      <c r="E45" s="19"/>
      <c r="J45" s="75">
        <v>50</v>
      </c>
      <c r="K45" s="76">
        <f>O45/AVERAGE(D41:D45)</f>
        <v>6.0443478193085987E-2</v>
      </c>
      <c r="L45" s="64" t="str">
        <f>IF(K45&lt;0.15,"yes","no")</f>
        <v>yes</v>
      </c>
      <c r="N45" s="23">
        <v>50</v>
      </c>
      <c r="O45" s="77">
        <f>_xlfn.STDEV.S(D41:D45)</f>
        <v>3.0028319966325117</v>
      </c>
    </row>
    <row r="46" spans="2:17" ht="16.8" customHeight="1" x14ac:dyDescent="0.3">
      <c r="E46" s="19"/>
    </row>
    <row r="47" spans="2:17" s="7" customFormat="1" ht="16.8" customHeight="1" x14ac:dyDescent="0.3">
      <c r="B47" s="145" t="s">
        <v>88</v>
      </c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</row>
    <row r="48" spans="2:17" s="7" customFormat="1" ht="16.8" customHeight="1" x14ac:dyDescent="0.3"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</row>
    <row r="50" spans="2:38" ht="16.8" customHeight="1" x14ac:dyDescent="0.3">
      <c r="B50" s="9" t="s">
        <v>103</v>
      </c>
    </row>
    <row r="51" spans="2:38" ht="16.8" customHeight="1" x14ac:dyDescent="0.3">
      <c r="B51" s="65"/>
    </row>
    <row r="52" spans="2:38" ht="16.8" customHeight="1" x14ac:dyDescent="0.3">
      <c r="B52" s="131" t="s">
        <v>74</v>
      </c>
      <c r="C52" s="131"/>
      <c r="D52" s="131"/>
      <c r="E52" s="131"/>
      <c r="AA52" s="131" t="s">
        <v>17</v>
      </c>
      <c r="AB52" s="131"/>
      <c r="AC52" s="131"/>
      <c r="AD52" s="131"/>
      <c r="AE52" s="131"/>
      <c r="AF52" s="131"/>
      <c r="AG52" s="131"/>
    </row>
    <row r="53" spans="2:38" ht="16.8" customHeight="1" x14ac:dyDescent="0.3">
      <c r="B53" s="1" t="s">
        <v>26</v>
      </c>
      <c r="C53" s="4" t="s">
        <v>73</v>
      </c>
      <c r="D53" s="5" t="s">
        <v>76</v>
      </c>
      <c r="E53" s="28" t="s">
        <v>75</v>
      </c>
      <c r="AA53" s="1" t="s">
        <v>26</v>
      </c>
      <c r="AB53" s="5" t="s">
        <v>27</v>
      </c>
      <c r="AC53" s="87" t="s">
        <v>33</v>
      </c>
      <c r="AD53" s="87" t="s">
        <v>38</v>
      </c>
      <c r="AE53" s="134" t="s">
        <v>35</v>
      </c>
      <c r="AF53" s="134"/>
      <c r="AG53" s="87" t="s">
        <v>36</v>
      </c>
    </row>
    <row r="54" spans="2:38" ht="16.8" customHeight="1" x14ac:dyDescent="0.3">
      <c r="B54" s="79">
        <v>1</v>
      </c>
      <c r="C54" s="116" t="s">
        <v>80</v>
      </c>
      <c r="D54" s="121">
        <v>27900</v>
      </c>
      <c r="E54" s="120">
        <v>3360000</v>
      </c>
      <c r="N54" s="131" t="s">
        <v>13</v>
      </c>
      <c r="O54" s="131"/>
      <c r="P54" s="131"/>
      <c r="Q54" s="131"/>
      <c r="R54" s="131"/>
      <c r="S54" s="131"/>
      <c r="T54" s="131"/>
      <c r="AA54" s="148">
        <f>AVERAGE($B54:$B55)</f>
        <v>1</v>
      </c>
      <c r="AB54" s="73">
        <f t="shared" ref="AB54:AB56" si="4">D54/E54</f>
        <v>8.3035714285714293E-3</v>
      </c>
      <c r="AC54" s="139">
        <f>AVERAGE(AB54:AB55)</f>
        <v>8.8684523809523814E-3</v>
      </c>
      <c r="AD54" s="139">
        <f>AL$59+(AL$60*AA54)</f>
        <v>1.7102278986881894E-2</v>
      </c>
      <c r="AE54" s="141">
        <f>AL$62*(AC54-AD54)*(AC54-AD54)</f>
        <v>1.3559180115302544E-4</v>
      </c>
      <c r="AF54" s="150"/>
      <c r="AG54" s="107">
        <f>AB54-AC54</f>
        <v>-5.6488095238095212E-4</v>
      </c>
    </row>
    <row r="55" spans="2:38" ht="16.8" customHeight="1" x14ac:dyDescent="0.3">
      <c r="B55" s="79">
        <v>1</v>
      </c>
      <c r="C55" s="115" t="s">
        <v>80</v>
      </c>
      <c r="D55" s="119">
        <v>28300</v>
      </c>
      <c r="E55" s="120">
        <v>3000000</v>
      </c>
      <c r="N55" s="1" t="s">
        <v>26</v>
      </c>
      <c r="O55" s="4" t="s">
        <v>27</v>
      </c>
      <c r="P55" s="106" t="s">
        <v>33</v>
      </c>
      <c r="Q55" s="106" t="s">
        <v>38</v>
      </c>
      <c r="R55" s="134" t="s">
        <v>35</v>
      </c>
      <c r="S55" s="134"/>
      <c r="T55" s="106" t="s">
        <v>36</v>
      </c>
      <c r="AA55" s="149"/>
      <c r="AB55" s="73">
        <f t="shared" si="4"/>
        <v>9.4333333333333335E-3</v>
      </c>
      <c r="AC55" s="140"/>
      <c r="AD55" s="140"/>
      <c r="AE55" s="142"/>
      <c r="AF55" s="151"/>
      <c r="AG55" s="107">
        <f>AB55-AC54</f>
        <v>5.6488095238095212E-4</v>
      </c>
    </row>
    <row r="56" spans="2:38" ht="16.8" customHeight="1" x14ac:dyDescent="0.3">
      <c r="B56" s="79">
        <v>2</v>
      </c>
      <c r="C56" s="118">
        <v>7010</v>
      </c>
      <c r="D56" s="119">
        <v>49600</v>
      </c>
      <c r="E56" s="120">
        <v>2870000</v>
      </c>
      <c r="N56" s="148">
        <f>AVERAGE($B56:$B57)</f>
        <v>2</v>
      </c>
      <c r="O56" s="30">
        <f t="shared" ref="O56:O69" si="5">C56/E56</f>
        <v>2.4425087108013938E-3</v>
      </c>
      <c r="P56" s="139">
        <f>AVERAGE(O56:O57)</f>
        <v>2.5848907190370606E-3</v>
      </c>
      <c r="Q56" s="139">
        <f>Y$59+(Y$60*N56)</f>
        <v>4.6238657607014441E-3</v>
      </c>
      <c r="R56" s="141">
        <f>Y$62*(P56-Q56)*(P56-Q56)</f>
        <v>8.314838441060548E-6</v>
      </c>
      <c r="S56" s="150"/>
      <c r="T56" s="107">
        <f>O56-P56</f>
        <v>-1.4238200823566685E-4</v>
      </c>
      <c r="AA56" s="148">
        <f>AVERAGE($B56:$B57)</f>
        <v>2</v>
      </c>
      <c r="AB56" s="73">
        <f t="shared" si="4"/>
        <v>1.7282229965156794E-2</v>
      </c>
      <c r="AC56" s="139">
        <f>AVERAGE(AB56:AB57)</f>
        <v>1.675300309446651E-2</v>
      </c>
      <c r="AD56" s="139">
        <f>AL$59+(AL$60*AA56)</f>
        <v>2.4965685364937405E-2</v>
      </c>
      <c r="AE56" s="141">
        <f>AL$62*(AC56-AD56)*(AC56-AD56)</f>
        <v>1.3489630015141394E-4</v>
      </c>
      <c r="AF56" s="150"/>
      <c r="AG56" s="107">
        <f>AB56-AC56</f>
        <v>5.2922687069028446E-4</v>
      </c>
    </row>
    <row r="57" spans="2:38" ht="16.8" customHeight="1" thickBot="1" x14ac:dyDescent="0.35">
      <c r="B57" s="79">
        <v>2</v>
      </c>
      <c r="C57" s="118">
        <v>7800</v>
      </c>
      <c r="D57" s="119">
        <v>46400</v>
      </c>
      <c r="E57" s="120">
        <v>2860000</v>
      </c>
      <c r="J57" s="125" t="s">
        <v>45</v>
      </c>
      <c r="K57" s="125"/>
      <c r="L57" s="125"/>
      <c r="N57" s="149"/>
      <c r="O57" s="30">
        <f t="shared" si="5"/>
        <v>2.7272727272727275E-3</v>
      </c>
      <c r="P57" s="140"/>
      <c r="Q57" s="140"/>
      <c r="R57" s="142"/>
      <c r="S57" s="151"/>
      <c r="T57" s="70">
        <f>O57-P56</f>
        <v>1.4238200823566685E-4</v>
      </c>
      <c r="AA57" s="149"/>
      <c r="AB57" s="73">
        <f>D57/E57</f>
        <v>1.6223776223776225E-2</v>
      </c>
      <c r="AC57" s="140"/>
      <c r="AD57" s="140"/>
      <c r="AE57" s="142"/>
      <c r="AF57" s="151"/>
      <c r="AG57" s="70">
        <f>AB57-AC56</f>
        <v>-5.2922687069028446E-4</v>
      </c>
    </row>
    <row r="58" spans="2:38" ht="16.8" customHeight="1" x14ac:dyDescent="0.3">
      <c r="B58" s="79">
        <v>5</v>
      </c>
      <c r="C58" s="118">
        <v>17200</v>
      </c>
      <c r="D58" s="119">
        <v>112000</v>
      </c>
      <c r="E58" s="120">
        <v>2850000</v>
      </c>
      <c r="J58" s="52" t="s">
        <v>50</v>
      </c>
      <c r="K58" s="53">
        <f>(Y64/Y65)*((Y61-Y63)/(Y63-2))</f>
        <v>7.0921657506654967E-2</v>
      </c>
      <c r="L58" s="51" t="s">
        <v>46</v>
      </c>
      <c r="N58" s="148">
        <f>AVERAGE($B58:$B59)</f>
        <v>5</v>
      </c>
      <c r="O58" s="30">
        <f t="shared" si="5"/>
        <v>6.0350877192982457E-3</v>
      </c>
      <c r="P58" s="139">
        <f>AVERAGE(O58:O59)</f>
        <v>5.9576847047195453E-3</v>
      </c>
      <c r="Q58" s="139">
        <f>Y$59+(Y$60*N58)</f>
        <v>8.3900627635788531E-3</v>
      </c>
      <c r="R58" s="141">
        <f>Y$62*(P58-Q58)*(P58-Q58)</f>
        <v>1.183292604244035E-5</v>
      </c>
      <c r="S58" s="150"/>
      <c r="T58" s="107">
        <f>O58-P58</f>
        <v>7.740301457870042E-5</v>
      </c>
      <c r="V58" s="125" t="s">
        <v>14</v>
      </c>
      <c r="W58" s="125"/>
      <c r="X58" s="125"/>
      <c r="Y58" s="125"/>
      <c r="AA58" s="148">
        <f>AVERAGE($B58:$B59)</f>
        <v>5</v>
      </c>
      <c r="AB58" s="73">
        <f t="shared" ref="AB58:AB69" si="6">D58/E58</f>
        <v>3.9298245614035089E-2</v>
      </c>
      <c r="AC58" s="139">
        <f>AVERAGE(AB58:AB59)</f>
        <v>3.9895601680256979E-2</v>
      </c>
      <c r="AD58" s="139">
        <f>AL$59+(AL$60*AA58)</f>
        <v>4.8555904499103929E-2</v>
      </c>
      <c r="AE58" s="141">
        <f>AL$62*(AC58-AD58)*(AC58-AD58)</f>
        <v>1.5000168982825686E-4</v>
      </c>
      <c r="AF58" s="150"/>
      <c r="AG58" s="107">
        <f>AB58-AC58</f>
        <v>-5.9735606622188936E-4</v>
      </c>
      <c r="AI58" s="125" t="s">
        <v>18</v>
      </c>
      <c r="AJ58" s="125"/>
      <c r="AK58" s="125"/>
      <c r="AL58" s="125"/>
    </row>
    <row r="59" spans="2:38" ht="16.8" customHeight="1" thickBot="1" x14ac:dyDescent="0.35">
      <c r="B59" s="79">
        <v>5</v>
      </c>
      <c r="C59" s="118">
        <v>16700</v>
      </c>
      <c r="D59" s="119">
        <v>115000</v>
      </c>
      <c r="E59" s="120">
        <v>2840000</v>
      </c>
      <c r="J59" s="54" t="s">
        <v>51</v>
      </c>
      <c r="K59" s="55">
        <f>Y66</f>
        <v>3.971523150611342</v>
      </c>
      <c r="L59" s="59" t="str">
        <f>IF(K58&lt;K59,"yes","no")</f>
        <v>yes</v>
      </c>
      <c r="N59" s="149"/>
      <c r="O59" s="30">
        <f t="shared" si="5"/>
        <v>5.8802816901408449E-3</v>
      </c>
      <c r="P59" s="140"/>
      <c r="Q59" s="140"/>
      <c r="R59" s="142"/>
      <c r="S59" s="151"/>
      <c r="T59" s="107">
        <f>O59-P58</f>
        <v>-7.740301457870042E-5</v>
      </c>
      <c r="V59" s="127" t="s">
        <v>8</v>
      </c>
      <c r="W59" s="127"/>
      <c r="X59" s="127"/>
      <c r="Y59" s="20">
        <f>INTERCEPT(O57:O69,$B$57:$B$69)</f>
        <v>2.1130677587831714E-3</v>
      </c>
      <c r="AA59" s="149"/>
      <c r="AB59" s="73">
        <f t="shared" si="6"/>
        <v>4.0492957746478875E-2</v>
      </c>
      <c r="AC59" s="140"/>
      <c r="AD59" s="140"/>
      <c r="AE59" s="142"/>
      <c r="AF59" s="151"/>
      <c r="AG59" s="107">
        <f>AB59-AC58</f>
        <v>5.973560662218963E-4</v>
      </c>
      <c r="AI59" s="127" t="s">
        <v>8</v>
      </c>
      <c r="AJ59" s="127"/>
      <c r="AK59" s="127"/>
      <c r="AL59" s="22">
        <f>INTERCEPT(AB57:AB69,$B$57:$B$69)</f>
        <v>9.2388726088263873E-3</v>
      </c>
    </row>
    <row r="60" spans="2:38" ht="16.8" customHeight="1" x14ac:dyDescent="0.3">
      <c r="B60" s="79">
        <v>10</v>
      </c>
      <c r="C60" s="118">
        <v>37700</v>
      </c>
      <c r="D60" s="119">
        <v>230000</v>
      </c>
      <c r="E60" s="120">
        <v>2910000</v>
      </c>
      <c r="N60" s="148">
        <f>AVERAGE($B60:$B61)</f>
        <v>10</v>
      </c>
      <c r="O60" s="30">
        <f t="shared" si="5"/>
        <v>1.2955326460481099E-2</v>
      </c>
      <c r="P60" s="139">
        <f>AVERAGE(O60:O61)</f>
        <v>1.3582926388135286E-2</v>
      </c>
      <c r="Q60" s="139">
        <f>Y$59+(Y$60*N60)</f>
        <v>1.4667057768374535E-2</v>
      </c>
      <c r="R60" s="141">
        <f>Y$62*(P60-Q60)*(P60-Q60)</f>
        <v>2.3506816992389158E-6</v>
      </c>
      <c r="S60" s="150"/>
      <c r="T60" s="107">
        <f>O60-P60</f>
        <v>-6.2759992765418736E-4</v>
      </c>
      <c r="V60" s="127" t="s">
        <v>12</v>
      </c>
      <c r="W60" s="127"/>
      <c r="X60" s="127"/>
      <c r="Y60" s="20">
        <f>SLOPE(O57:O69,$B$57:$B$69)</f>
        <v>1.2553990009591363E-3</v>
      </c>
      <c r="AA60" s="148">
        <f>AVERAGE($B60:$B61)</f>
        <v>10</v>
      </c>
      <c r="AB60" s="73">
        <f t="shared" si="6"/>
        <v>7.903780068728522E-2</v>
      </c>
      <c r="AC60" s="139">
        <f>AVERAGE(AB60:AB61)</f>
        <v>8.1097847712063659E-2</v>
      </c>
      <c r="AD60" s="139">
        <f>AL$59+(AL$60*AA60)</f>
        <v>8.787293638938147E-2</v>
      </c>
      <c r="AE60" s="141">
        <f>AL$62*(AC60-AD60)*(AC60-AD60)</f>
        <v>9.180365317104003E-5</v>
      </c>
      <c r="AF60" s="150"/>
      <c r="AG60" s="107">
        <f>AB60-AC60</f>
        <v>-2.0600470247784386E-3</v>
      </c>
      <c r="AI60" s="127" t="s">
        <v>12</v>
      </c>
      <c r="AJ60" s="127"/>
      <c r="AK60" s="127"/>
      <c r="AL60" s="22">
        <f>SLOPE(AB57:AB69,$B$57:$B$69)</f>
        <v>7.8634063780555086E-3</v>
      </c>
    </row>
    <row r="61" spans="2:38" ht="16.8" customHeight="1" x14ac:dyDescent="0.3">
      <c r="B61" s="79">
        <v>10</v>
      </c>
      <c r="C61" s="118">
        <v>40500</v>
      </c>
      <c r="D61" s="119">
        <v>237000</v>
      </c>
      <c r="E61" s="120">
        <v>2850000</v>
      </c>
      <c r="N61" s="149"/>
      <c r="O61" s="30">
        <f t="shared" si="5"/>
        <v>1.4210526315789474E-2</v>
      </c>
      <c r="P61" s="140"/>
      <c r="Q61" s="140"/>
      <c r="R61" s="142"/>
      <c r="S61" s="151"/>
      <c r="T61" s="107">
        <f>O61-P60</f>
        <v>6.2759992765418736E-4</v>
      </c>
      <c r="V61" s="127" t="s">
        <v>9</v>
      </c>
      <c r="W61" s="127"/>
      <c r="X61" s="127"/>
      <c r="Y61" s="81">
        <f>COUNTA($B$56:$B$69)</f>
        <v>14</v>
      </c>
      <c r="AA61" s="149"/>
      <c r="AB61" s="73">
        <f t="shared" si="6"/>
        <v>8.3157894736842111E-2</v>
      </c>
      <c r="AC61" s="140"/>
      <c r="AD61" s="140"/>
      <c r="AE61" s="142"/>
      <c r="AF61" s="151"/>
      <c r="AG61" s="107">
        <f>AB61-AC60</f>
        <v>2.0600470247784525E-3</v>
      </c>
      <c r="AI61" s="127" t="s">
        <v>9</v>
      </c>
      <c r="AJ61" s="127"/>
      <c r="AK61" s="127"/>
      <c r="AL61" s="83">
        <f>COUNTA($B$54:$B$69)</f>
        <v>16</v>
      </c>
    </row>
    <row r="62" spans="2:38" ht="16.8" customHeight="1" thickBot="1" x14ac:dyDescent="0.35">
      <c r="B62" s="79">
        <v>50</v>
      </c>
      <c r="C62" s="118">
        <v>189000</v>
      </c>
      <c r="D62" s="119">
        <v>1140000</v>
      </c>
      <c r="E62" s="120">
        <v>2800000</v>
      </c>
      <c r="J62" s="125" t="s">
        <v>48</v>
      </c>
      <c r="K62" s="125"/>
      <c r="L62" s="125"/>
      <c r="N62" s="148">
        <f>AVERAGE($B62:$B63)</f>
        <v>50</v>
      </c>
      <c r="O62" s="30">
        <f t="shared" si="5"/>
        <v>6.7500000000000004E-2</v>
      </c>
      <c r="P62" s="139">
        <f>AVERAGE(O62:O63)</f>
        <v>6.855E-2</v>
      </c>
      <c r="Q62" s="139">
        <f>Y$59+(Y$60*N62)</f>
        <v>6.4883017806739995E-2</v>
      </c>
      <c r="R62" s="141">
        <f>Y$62*(P62-Q62)*(P62-Q62)</f>
        <v>2.6893516811371904E-5</v>
      </c>
      <c r="S62" s="150"/>
      <c r="T62" s="107">
        <f>O62-P62</f>
        <v>-1.0499999999999954E-3</v>
      </c>
      <c r="V62" s="127" t="s">
        <v>94</v>
      </c>
      <c r="W62" s="127"/>
      <c r="X62" s="127"/>
      <c r="Y62" s="81">
        <v>2</v>
      </c>
      <c r="AA62" s="148">
        <f>AVERAGE($B62:$B63)</f>
        <v>50</v>
      </c>
      <c r="AB62" s="73">
        <f t="shared" si="6"/>
        <v>0.40714285714285714</v>
      </c>
      <c r="AC62" s="139">
        <f>AVERAGE(AB62:AB63)</f>
        <v>0.4195714285714286</v>
      </c>
      <c r="AD62" s="139">
        <f>AL$59+(AL$60*AA62)</f>
        <v>0.40240919151160182</v>
      </c>
      <c r="AE62" s="141">
        <f>AL$62*(AC62-AD62)*(AC62-AD62)</f>
        <v>5.8908476179538342E-4</v>
      </c>
      <c r="AF62" s="150"/>
      <c r="AG62" s="107">
        <f>AB62-AC62</f>
        <v>-1.2428571428571455E-2</v>
      </c>
      <c r="AI62" s="127" t="s">
        <v>94</v>
      </c>
      <c r="AJ62" s="127"/>
      <c r="AK62" s="127"/>
      <c r="AL62" s="83">
        <v>2</v>
      </c>
    </row>
    <row r="63" spans="2:38" ht="16.8" customHeight="1" x14ac:dyDescent="0.3">
      <c r="B63" s="79">
        <v>50</v>
      </c>
      <c r="C63" s="118">
        <v>174000</v>
      </c>
      <c r="D63" s="119">
        <v>1080000</v>
      </c>
      <c r="E63" s="120">
        <v>2500000</v>
      </c>
      <c r="J63" s="52" t="s">
        <v>50</v>
      </c>
      <c r="K63" s="53">
        <f>(AL64/AL65)*((AL61-AL63)/(AL63-2))</f>
        <v>4.0797143829412408E-2</v>
      </c>
      <c r="L63" s="78" t="s">
        <v>46</v>
      </c>
      <c r="N63" s="149"/>
      <c r="O63" s="30">
        <f t="shared" si="5"/>
        <v>6.9599999999999995E-2</v>
      </c>
      <c r="P63" s="140"/>
      <c r="Q63" s="140"/>
      <c r="R63" s="142"/>
      <c r="S63" s="151"/>
      <c r="T63" s="107">
        <f>O63-P62</f>
        <v>1.0499999999999954E-3</v>
      </c>
      <c r="V63" s="144" t="s">
        <v>93</v>
      </c>
      <c r="W63" s="144"/>
      <c r="X63" s="144"/>
      <c r="Y63" s="81">
        <f>Y61/Y62</f>
        <v>7</v>
      </c>
      <c r="AA63" s="149"/>
      <c r="AB63" s="73">
        <f t="shared" si="6"/>
        <v>0.432</v>
      </c>
      <c r="AC63" s="140"/>
      <c r="AD63" s="140"/>
      <c r="AE63" s="142"/>
      <c r="AF63" s="151"/>
      <c r="AG63" s="107">
        <f>AB63-AC62</f>
        <v>1.24285714285714E-2</v>
      </c>
      <c r="AI63" s="144" t="s">
        <v>93</v>
      </c>
      <c r="AJ63" s="144"/>
      <c r="AK63" s="144"/>
      <c r="AL63" s="83">
        <f>AL61/AL62</f>
        <v>8</v>
      </c>
    </row>
    <row r="64" spans="2:38" ht="16.8" customHeight="1" thickBot="1" x14ac:dyDescent="0.35">
      <c r="B64" s="79">
        <v>100</v>
      </c>
      <c r="C64" s="118">
        <v>394000</v>
      </c>
      <c r="D64" s="119">
        <v>2430000</v>
      </c>
      <c r="E64" s="120">
        <v>2910000</v>
      </c>
      <c r="J64" s="54" t="s">
        <v>51</v>
      </c>
      <c r="K64" s="55">
        <f>AL66</f>
        <v>3.5805803197614603</v>
      </c>
      <c r="L64" s="64" t="str">
        <f>IF(K63&lt;K64,"yes","no")</f>
        <v>yes</v>
      </c>
      <c r="N64" s="148">
        <f>AVERAGE($B64:$B65)</f>
        <v>100</v>
      </c>
      <c r="O64" s="30">
        <f t="shared" si="5"/>
        <v>0.13539518900343642</v>
      </c>
      <c r="P64" s="139">
        <f>AVERAGE(O64:O65)</f>
        <v>0.13376257645117667</v>
      </c>
      <c r="Q64" s="139">
        <f>Y$59+(Y$60*N64)</f>
        <v>0.12765296785469682</v>
      </c>
      <c r="R64" s="141">
        <f>Y$62*(P64-Q64)*(P64-Q64)</f>
        <v>7.4654634404361069E-5</v>
      </c>
      <c r="S64" s="150"/>
      <c r="T64" s="107">
        <f>O64-P64</f>
        <v>1.6326125522597434E-3</v>
      </c>
      <c r="V64" s="143" t="s">
        <v>39</v>
      </c>
      <c r="W64" s="143"/>
      <c r="X64" s="143"/>
      <c r="Y64" s="20">
        <f>SUM(R56:S69)</f>
        <v>3.1758246001888611E-4</v>
      </c>
      <c r="AA64" s="148">
        <f>AVERAGE($B64:$B65)</f>
        <v>100</v>
      </c>
      <c r="AB64" s="73">
        <f t="shared" si="6"/>
        <v>0.83505154639175261</v>
      </c>
      <c r="AC64" s="139">
        <f>AVERAGE(AB64:AB65)</f>
        <v>0.8308831739178979</v>
      </c>
      <c r="AD64" s="139">
        <f>AL$59+(AL$60*AA64)</f>
        <v>0.79557951041437724</v>
      </c>
      <c r="AE64" s="141">
        <f>AL$62*(AC64-AD64)*(AC64-AD64)</f>
        <v>2.4926973135396325E-3</v>
      </c>
      <c r="AF64" s="150"/>
      <c r="AG64" s="107">
        <f>AB64-AC64</f>
        <v>4.168372473854709E-3</v>
      </c>
      <c r="AI64" s="143" t="s">
        <v>39</v>
      </c>
      <c r="AJ64" s="143"/>
      <c r="AK64" s="143"/>
      <c r="AL64" s="22">
        <f>SUM(AE54:AF69)</f>
        <v>1.1206167571866908E-2</v>
      </c>
    </row>
    <row r="65" spans="2:38" ht="16.8" customHeight="1" x14ac:dyDescent="0.3">
      <c r="B65" s="79">
        <v>100</v>
      </c>
      <c r="C65" s="118">
        <v>366000</v>
      </c>
      <c r="D65" s="119">
        <v>2290000</v>
      </c>
      <c r="E65" s="120">
        <v>2770000</v>
      </c>
      <c r="N65" s="149"/>
      <c r="O65" s="30">
        <f t="shared" si="5"/>
        <v>0.13212996389891696</v>
      </c>
      <c r="P65" s="140"/>
      <c r="Q65" s="140"/>
      <c r="R65" s="142"/>
      <c r="S65" s="151"/>
      <c r="T65" s="107">
        <f>O65-P64</f>
        <v>-1.6326125522597157E-3</v>
      </c>
      <c r="V65" s="143" t="s">
        <v>37</v>
      </c>
      <c r="W65" s="143"/>
      <c r="X65" s="143"/>
      <c r="Y65" s="20">
        <f>SUMSQ(T56:T69)</f>
        <v>6.2691067814471179E-3</v>
      </c>
      <c r="AA65" s="149"/>
      <c r="AB65" s="73">
        <f t="shared" si="6"/>
        <v>0.8267148014440433</v>
      </c>
      <c r="AC65" s="140"/>
      <c r="AD65" s="140"/>
      <c r="AE65" s="142"/>
      <c r="AF65" s="151"/>
      <c r="AG65" s="107">
        <f>AB65-AC64</f>
        <v>-4.168372473854598E-3</v>
      </c>
      <c r="AI65" s="143" t="s">
        <v>37</v>
      </c>
      <c r="AJ65" s="143"/>
      <c r="AK65" s="143"/>
      <c r="AL65" s="22">
        <f>SUMSQ(AG54:AG69)</f>
        <v>0.36624026488141559</v>
      </c>
    </row>
    <row r="66" spans="2:38" ht="16.8" customHeight="1" x14ac:dyDescent="0.3">
      <c r="B66" s="79">
        <v>500</v>
      </c>
      <c r="C66" s="118">
        <v>1700000</v>
      </c>
      <c r="D66" s="119">
        <v>10600000</v>
      </c>
      <c r="E66" s="120">
        <v>2770000</v>
      </c>
      <c r="N66" s="148">
        <f>AVERAGE($B66:$B67)</f>
        <v>500</v>
      </c>
      <c r="O66" s="30">
        <f t="shared" si="5"/>
        <v>0.61371841155234652</v>
      </c>
      <c r="P66" s="139">
        <f>AVERAGE(O66:O67)</f>
        <v>0.6207278189148594</v>
      </c>
      <c r="Q66" s="139">
        <f>Y$59+(Y$60*N66)</f>
        <v>0.6298125682383513</v>
      </c>
      <c r="R66" s="141">
        <f>Y$62*(P66-Q66)*(P66-Q66)</f>
        <v>1.6506534054137317E-4</v>
      </c>
      <c r="S66" s="150"/>
      <c r="T66" s="107">
        <f>O66-P66</f>
        <v>-7.0094073625128761E-3</v>
      </c>
      <c r="V66" s="126" t="s">
        <v>40</v>
      </c>
      <c r="W66" s="126"/>
      <c r="X66" s="126"/>
      <c r="Y66" s="82">
        <f>FINV(0.05,Y63-2,Y61-Y63)</f>
        <v>3.971523150611342</v>
      </c>
      <c r="AA66" s="148">
        <f>AVERAGE($B66:$B67)</f>
        <v>500</v>
      </c>
      <c r="AB66" s="73">
        <f t="shared" si="6"/>
        <v>3.8267148014440435</v>
      </c>
      <c r="AC66" s="139">
        <f>AVERAGE(AB66:AB67)</f>
        <v>3.884160320430051</v>
      </c>
      <c r="AD66" s="139">
        <f>AL$59+(AL$60*AA66)</f>
        <v>3.9409420616365809</v>
      </c>
      <c r="AE66" s="141">
        <f>AL$62*(AC66-AD66)*(AC66-AD66)</f>
        <v>6.4483322688906712E-3</v>
      </c>
      <c r="AF66" s="150"/>
      <c r="AG66" s="107">
        <f>AB66-AC66</f>
        <v>-5.7445518986007471E-2</v>
      </c>
      <c r="AI66" s="126" t="s">
        <v>40</v>
      </c>
      <c r="AJ66" s="126"/>
      <c r="AK66" s="126"/>
      <c r="AL66" s="84">
        <f>FINV(0.05,AL63-2,AL61-AL63)</f>
        <v>3.5805803197614603</v>
      </c>
    </row>
    <row r="67" spans="2:38" ht="16.8" customHeight="1" x14ac:dyDescent="0.3">
      <c r="B67" s="79">
        <v>500</v>
      </c>
      <c r="C67" s="118">
        <v>1720000</v>
      </c>
      <c r="D67" s="119">
        <v>10800000</v>
      </c>
      <c r="E67" s="120">
        <v>2740000</v>
      </c>
      <c r="N67" s="149"/>
      <c r="O67" s="30">
        <f t="shared" si="5"/>
        <v>0.62773722627737227</v>
      </c>
      <c r="P67" s="140"/>
      <c r="Q67" s="140"/>
      <c r="R67" s="142"/>
      <c r="S67" s="151"/>
      <c r="T67" s="107">
        <f>O67-P66</f>
        <v>7.0094073625128761E-3</v>
      </c>
      <c r="AA67" s="149"/>
      <c r="AB67" s="73">
        <f t="shared" si="6"/>
        <v>3.9416058394160585</v>
      </c>
      <c r="AC67" s="140"/>
      <c r="AD67" s="140"/>
      <c r="AE67" s="142"/>
      <c r="AF67" s="151"/>
      <c r="AG67" s="107">
        <f>AB67-AC66</f>
        <v>5.7445518986007471E-2</v>
      </c>
    </row>
    <row r="68" spans="2:38" ht="16.8" customHeight="1" x14ac:dyDescent="0.3">
      <c r="B68" s="79">
        <v>1000</v>
      </c>
      <c r="C68" s="118">
        <v>3340000</v>
      </c>
      <c r="D68" s="119">
        <v>20700000</v>
      </c>
      <c r="E68" s="120">
        <v>2770000</v>
      </c>
      <c r="N68" s="148">
        <f>AVERAGE($B68:$B69)</f>
        <v>1000</v>
      </c>
      <c r="O68" s="30">
        <f t="shared" si="5"/>
        <v>1.2057761732851986</v>
      </c>
      <c r="P68" s="139">
        <f>AVERAGE(O68:O69)</f>
        <v>1.2612850332074848</v>
      </c>
      <c r="Q68" s="139">
        <f>Y$59+(Y$60*N68)</f>
        <v>1.2575120687179195</v>
      </c>
      <c r="R68" s="141">
        <f>Y$62*(P68-Q68)*(P68-Q68)</f>
        <v>2.8470522079040152E-5</v>
      </c>
      <c r="S68" s="150"/>
      <c r="T68" s="107">
        <f>O68-P68</f>
        <v>-5.5508859922286158E-2</v>
      </c>
      <c r="V68" s="114"/>
      <c r="W68" s="114"/>
      <c r="X68" s="114"/>
      <c r="AA68" s="148">
        <f>AVERAGE($B68:$B69)</f>
        <v>1000</v>
      </c>
      <c r="AB68" s="73">
        <f t="shared" si="6"/>
        <v>7.4729241877256314</v>
      </c>
      <c r="AC68" s="139">
        <f>AVERAGE(AB68:AB69)</f>
        <v>7.8967674373742662</v>
      </c>
      <c r="AD68" s="139">
        <f>AL$59+(AL$60*AA68)</f>
        <v>7.8726452506643358</v>
      </c>
      <c r="AE68" s="141">
        <f>AL$62*(AC68-AD68)*(AC68-AD68)</f>
        <v>1.163759783337484E-3</v>
      </c>
      <c r="AF68" s="150"/>
      <c r="AG68" s="107">
        <f>AB68-AC68</f>
        <v>-0.42384324964863485</v>
      </c>
    </row>
    <row r="69" spans="2:38" ht="16.8" customHeight="1" x14ac:dyDescent="0.3">
      <c r="B69" s="79">
        <v>1000</v>
      </c>
      <c r="C69" s="118">
        <v>3450000</v>
      </c>
      <c r="D69" s="119">
        <v>21800000</v>
      </c>
      <c r="E69" s="120">
        <v>2620000</v>
      </c>
      <c r="N69" s="149"/>
      <c r="O69" s="30">
        <f t="shared" si="5"/>
        <v>1.3167938931297709</v>
      </c>
      <c r="P69" s="140"/>
      <c r="Q69" s="140"/>
      <c r="R69" s="142"/>
      <c r="S69" s="151"/>
      <c r="T69" s="107">
        <f>O69-P68</f>
        <v>5.5508859922286158E-2</v>
      </c>
      <c r="AA69" s="149"/>
      <c r="AB69" s="73">
        <f t="shared" si="6"/>
        <v>8.3206106870229011</v>
      </c>
      <c r="AC69" s="140"/>
      <c r="AD69" s="140"/>
      <c r="AE69" s="142"/>
      <c r="AF69" s="151"/>
      <c r="AG69" s="107">
        <f>AB69-AC68</f>
        <v>0.42384324964863485</v>
      </c>
    </row>
    <row r="71" spans="2:38" s="7" customFormat="1" ht="16.8" customHeight="1" x14ac:dyDescent="0.3">
      <c r="B71" s="153" t="s">
        <v>61</v>
      </c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</row>
    <row r="72" spans="2:38" s="7" customFormat="1" ht="16.8" customHeight="1" x14ac:dyDescent="0.3"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</row>
    <row r="74" spans="2:38" ht="16.8" customHeight="1" x14ac:dyDescent="0.3">
      <c r="B74" s="9" t="s">
        <v>104</v>
      </c>
    </row>
    <row r="76" spans="2:38" ht="16.8" customHeight="1" x14ac:dyDescent="0.3">
      <c r="B76" s="131" t="s">
        <v>0</v>
      </c>
      <c r="C76" s="131"/>
      <c r="D76" s="131"/>
      <c r="N76" s="125" t="s">
        <v>14</v>
      </c>
      <c r="O76" s="125"/>
      <c r="P76" s="125"/>
      <c r="Q76" s="125"/>
      <c r="S76" s="125" t="s">
        <v>18</v>
      </c>
      <c r="T76" s="125"/>
      <c r="U76" s="125"/>
      <c r="V76" s="125"/>
    </row>
    <row r="77" spans="2:38" ht="16.8" customHeight="1" x14ac:dyDescent="0.3">
      <c r="B77" s="1" t="s">
        <v>26</v>
      </c>
      <c r="C77" s="4" t="s">
        <v>30</v>
      </c>
      <c r="D77" s="5" t="s">
        <v>31</v>
      </c>
      <c r="N77" s="126" t="s">
        <v>10</v>
      </c>
      <c r="O77" s="126"/>
      <c r="P77" s="126"/>
      <c r="Q77" s="20">
        <f>AVERAGE(C78:C82)</f>
        <v>10.156000000000001</v>
      </c>
      <c r="S77" s="126" t="s">
        <v>10</v>
      </c>
      <c r="T77" s="126"/>
      <c r="U77" s="126"/>
      <c r="V77" s="22">
        <f>AVERAGE(D78:D82)</f>
        <v>10.18</v>
      </c>
    </row>
    <row r="78" spans="2:38" ht="16.8" customHeight="1" x14ac:dyDescent="0.3">
      <c r="B78" s="128">
        <v>10</v>
      </c>
      <c r="C78" s="67">
        <v>9.08</v>
      </c>
      <c r="D78" s="69">
        <v>10.1</v>
      </c>
      <c r="N78" s="127" t="s">
        <v>9</v>
      </c>
      <c r="O78" s="127"/>
      <c r="P78" s="127"/>
      <c r="Q78" s="95">
        <f>COUNTA(C78:C82)</f>
        <v>5</v>
      </c>
      <c r="S78" s="127" t="s">
        <v>9</v>
      </c>
      <c r="T78" s="127"/>
      <c r="U78" s="127"/>
      <c r="V78" s="98">
        <f>COUNTA(D78:D82)</f>
        <v>5</v>
      </c>
    </row>
    <row r="79" spans="2:38" ht="16.8" customHeight="1" thickBot="1" x14ac:dyDescent="0.35">
      <c r="B79" s="129"/>
      <c r="C79" s="67">
        <v>10.8</v>
      </c>
      <c r="D79" s="69">
        <v>10.6</v>
      </c>
      <c r="J79" s="125" t="s">
        <v>62</v>
      </c>
      <c r="K79" s="125"/>
      <c r="L79" s="125"/>
      <c r="N79" s="126" t="s">
        <v>66</v>
      </c>
      <c r="O79" s="126"/>
      <c r="P79" s="126"/>
      <c r="Q79" s="20">
        <f>_xlfn.STDEV.S(C78:C82)</f>
        <v>0.7167147270706804</v>
      </c>
      <c r="S79" s="126" t="s">
        <v>66</v>
      </c>
      <c r="T79" s="126"/>
      <c r="U79" s="126"/>
      <c r="V79" s="22">
        <f>_xlfn.STDEV.S(D78:D82)</f>
        <v>0.27559027559041333</v>
      </c>
    </row>
    <row r="80" spans="2:38" ht="16.8" customHeight="1" x14ac:dyDescent="0.3">
      <c r="B80" s="129"/>
      <c r="C80" s="67">
        <v>10.4</v>
      </c>
      <c r="D80" s="69">
        <v>10.3</v>
      </c>
      <c r="J80" s="52" t="s">
        <v>70</v>
      </c>
      <c r="K80" s="53">
        <f>ABS(1-Q80)/Q81</f>
        <v>0.20941243657519881</v>
      </c>
      <c r="L80" s="51" t="s">
        <v>63</v>
      </c>
      <c r="N80" s="127" t="s">
        <v>64</v>
      </c>
      <c r="O80" s="127"/>
      <c r="P80" s="127"/>
      <c r="Q80" s="96">
        <f>Q77/$B$78</f>
        <v>1.0156000000000001</v>
      </c>
      <c r="S80" s="127" t="s">
        <v>64</v>
      </c>
      <c r="T80" s="127"/>
      <c r="U80" s="127"/>
      <c r="V80" s="99">
        <f>V77/$B$78</f>
        <v>1.018</v>
      </c>
    </row>
    <row r="81" spans="2:22" ht="16.8" customHeight="1" thickBot="1" x14ac:dyDescent="0.35">
      <c r="B81" s="129"/>
      <c r="C81" s="67">
        <v>10.7</v>
      </c>
      <c r="D81" s="69">
        <v>9.93</v>
      </c>
      <c r="J81" s="54" t="s">
        <v>69</v>
      </c>
      <c r="K81" s="55">
        <f>Q82</f>
        <v>2.7764451051977934</v>
      </c>
      <c r="L81" s="59" t="str">
        <f>IF(K80&lt;K81,"yes","no")</f>
        <v>yes</v>
      </c>
      <c r="N81" s="127" t="s">
        <v>68</v>
      </c>
      <c r="O81" s="127"/>
      <c r="P81" s="127"/>
      <c r="Q81" s="97">
        <f>Q80*SQRT((Q79/Q77)^2+(0.02)^2)</f>
        <v>7.4494143018092374E-2</v>
      </c>
      <c r="S81" s="127" t="s">
        <v>68</v>
      </c>
      <c r="T81" s="127"/>
      <c r="U81" s="127"/>
      <c r="V81" s="100">
        <f>V80*SQRT((V79/V77)^2+(0.02)^2)</f>
        <v>3.426411533952102E-2</v>
      </c>
    </row>
    <row r="82" spans="2:22" ht="16.8" customHeight="1" x14ac:dyDescent="0.3">
      <c r="B82" s="130"/>
      <c r="C82" s="67">
        <v>9.8000000000000007</v>
      </c>
      <c r="D82" s="69">
        <v>9.9700000000000006</v>
      </c>
      <c r="N82" s="126" t="s">
        <v>67</v>
      </c>
      <c r="O82" s="126"/>
      <c r="P82" s="126"/>
      <c r="Q82" s="82">
        <f>TINV(0.05,Q78-1)</f>
        <v>2.7764451051977934</v>
      </c>
      <c r="S82" s="126" t="s">
        <v>67</v>
      </c>
      <c r="T82" s="126"/>
      <c r="U82" s="126"/>
      <c r="V82" s="84">
        <f>TINV(0.05,V78-1)</f>
        <v>2.7764451051977934</v>
      </c>
    </row>
    <row r="83" spans="2:22" ht="16.8" customHeight="1" thickBot="1" x14ac:dyDescent="0.35">
      <c r="J83" s="125" t="s">
        <v>71</v>
      </c>
      <c r="K83" s="125"/>
      <c r="L83" s="125"/>
    </row>
    <row r="84" spans="2:22" ht="16.8" customHeight="1" x14ac:dyDescent="0.3">
      <c r="B84" s="94"/>
      <c r="J84" s="52" t="s">
        <v>70</v>
      </c>
      <c r="K84" s="53">
        <f>ABS(1-V80)/V81</f>
        <v>0.52533094234709166</v>
      </c>
      <c r="L84" s="78" t="s">
        <v>63</v>
      </c>
    </row>
    <row r="85" spans="2:22" ht="16.8" customHeight="1" thickBot="1" x14ac:dyDescent="0.35">
      <c r="J85" s="54" t="s">
        <v>69</v>
      </c>
      <c r="K85" s="55">
        <f>V82</f>
        <v>2.7764451051977934</v>
      </c>
      <c r="L85" s="64" t="str">
        <f>IF(K84&lt;K85,"yes","no")</f>
        <v>yes</v>
      </c>
    </row>
  </sheetData>
  <mergeCells count="132">
    <mergeCell ref="R55:S55"/>
    <mergeCell ref="AE68:AF69"/>
    <mergeCell ref="AE54:AF55"/>
    <mergeCell ref="B16:K17"/>
    <mergeCell ref="AD54:AD55"/>
    <mergeCell ref="AD60:AD61"/>
    <mergeCell ref="AD62:AD63"/>
    <mergeCell ref="AD64:AD65"/>
    <mergeCell ref="AD66:AD67"/>
    <mergeCell ref="AC62:AC63"/>
    <mergeCell ref="AC64:AC65"/>
    <mergeCell ref="AC66:AC67"/>
    <mergeCell ref="AC68:AC69"/>
    <mergeCell ref="AD56:AD57"/>
    <mergeCell ref="AD58:AD59"/>
    <mergeCell ref="AD68:AD69"/>
    <mergeCell ref="AA54:AA55"/>
    <mergeCell ref="AC56:AC57"/>
    <mergeCell ref="AC58:AC59"/>
    <mergeCell ref="AC54:AC55"/>
    <mergeCell ref="AC60:AC61"/>
    <mergeCell ref="Q66:Q67"/>
    <mergeCell ref="Q68:Q69"/>
    <mergeCell ref="R58:S59"/>
    <mergeCell ref="P66:P67"/>
    <mergeCell ref="P68:P69"/>
    <mergeCell ref="Q56:Q57"/>
    <mergeCell ref="R56:S57"/>
    <mergeCell ref="Q58:Q59"/>
    <mergeCell ref="N62:N63"/>
    <mergeCell ref="N64:N65"/>
    <mergeCell ref="N66:N67"/>
    <mergeCell ref="N56:N57"/>
    <mergeCell ref="N58:N59"/>
    <mergeCell ref="N60:N61"/>
    <mergeCell ref="R62:S63"/>
    <mergeCell ref="R64:S65"/>
    <mergeCell ref="R66:S67"/>
    <mergeCell ref="R68:S69"/>
    <mergeCell ref="Q60:Q61"/>
    <mergeCell ref="Q62:Q63"/>
    <mergeCell ref="Q64:Q65"/>
    <mergeCell ref="N68:N69"/>
    <mergeCell ref="R60:S61"/>
    <mergeCell ref="S81:U81"/>
    <mergeCell ref="S82:U82"/>
    <mergeCell ref="S76:V76"/>
    <mergeCell ref="S77:U77"/>
    <mergeCell ref="S78:U78"/>
    <mergeCell ref="S79:U79"/>
    <mergeCell ref="S80:U80"/>
    <mergeCell ref="J79:L79"/>
    <mergeCell ref="J83:L83"/>
    <mergeCell ref="B78:B82"/>
    <mergeCell ref="B76:D76"/>
    <mergeCell ref="J57:L57"/>
    <mergeCell ref="N79:P79"/>
    <mergeCell ref="N80:P80"/>
    <mergeCell ref="N81:P81"/>
    <mergeCell ref="N82:P82"/>
    <mergeCell ref="C1:D3"/>
    <mergeCell ref="B39:D39"/>
    <mergeCell ref="B21:E21"/>
    <mergeCell ref="N21:O21"/>
    <mergeCell ref="B71:M72"/>
    <mergeCell ref="J62:L62"/>
    <mergeCell ref="J25:L25"/>
    <mergeCell ref="J29:L29"/>
    <mergeCell ref="N76:Q76"/>
    <mergeCell ref="N77:P77"/>
    <mergeCell ref="N78:P78"/>
    <mergeCell ref="N54:T54"/>
    <mergeCell ref="P56:P57"/>
    <mergeCell ref="P58:P59"/>
    <mergeCell ref="P60:P61"/>
    <mergeCell ref="P62:P63"/>
    <mergeCell ref="P64:P65"/>
    <mergeCell ref="V21:W21"/>
    <mergeCell ref="B52:E52"/>
    <mergeCell ref="B33:G34"/>
    <mergeCell ref="N43:O43"/>
    <mergeCell ref="Q24:S24"/>
    <mergeCell ref="Q25:S25"/>
    <mergeCell ref="Q26:S26"/>
    <mergeCell ref="Q27:S27"/>
    <mergeCell ref="Q28:S28"/>
    <mergeCell ref="Q29:S29"/>
    <mergeCell ref="Q30:S30"/>
    <mergeCell ref="Y29:AA29"/>
    <mergeCell ref="Y30:AA30"/>
    <mergeCell ref="Q23:T23"/>
    <mergeCell ref="Y23:AB23"/>
    <mergeCell ref="N39:O39"/>
    <mergeCell ref="Y24:AA24"/>
    <mergeCell ref="Y25:AA25"/>
    <mergeCell ref="Y26:AA26"/>
    <mergeCell ref="Y27:AA27"/>
    <mergeCell ref="Y28:AA28"/>
    <mergeCell ref="V62:X62"/>
    <mergeCell ref="V63:X63"/>
    <mergeCell ref="V64:X64"/>
    <mergeCell ref="V65:X65"/>
    <mergeCell ref="V66:X66"/>
    <mergeCell ref="AA58:AA59"/>
    <mergeCell ref="AA60:AA61"/>
    <mergeCell ref="AA62:AA63"/>
    <mergeCell ref="AA64:AA65"/>
    <mergeCell ref="AA66:AA67"/>
    <mergeCell ref="AA68:AA69"/>
    <mergeCell ref="AI59:AK59"/>
    <mergeCell ref="V60:X60"/>
    <mergeCell ref="V61:X61"/>
    <mergeCell ref="AA56:AA57"/>
    <mergeCell ref="AE56:AF57"/>
    <mergeCell ref="AE58:AF59"/>
    <mergeCell ref="AE60:AF61"/>
    <mergeCell ref="B47:Q48"/>
    <mergeCell ref="AI65:AK65"/>
    <mergeCell ref="V58:Y58"/>
    <mergeCell ref="V59:X59"/>
    <mergeCell ref="AI60:AK60"/>
    <mergeCell ref="AI61:AK61"/>
    <mergeCell ref="AI62:AK62"/>
    <mergeCell ref="AA52:AG52"/>
    <mergeCell ref="AE53:AF53"/>
    <mergeCell ref="AI58:AL58"/>
    <mergeCell ref="AI66:AK66"/>
    <mergeCell ref="AI64:AK64"/>
    <mergeCell ref="AI63:AK63"/>
    <mergeCell ref="AE62:AF63"/>
    <mergeCell ref="AE64:AF65"/>
    <mergeCell ref="AE66:AF67"/>
  </mergeCells>
  <pageMargins left="0.7" right="0.7" top="0.75" bottom="0.75" header="0.3" footer="0.3"/>
  <pageSetup paperSize="9" orientation="portrait" r:id="rId1"/>
  <ignoredErrors>
    <ignoredError sqref="N56 N58 N60 N62 N64 N66 N68 AA54 AA56 AA58 AA60 AA62 AA64 AA66 AA68" formulaRange="1"/>
    <ignoredError sqref="T57:T68 AG55:AG6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Validation_ICP-MS</vt:lpstr>
      <vt:lpstr>Validation_LC-MS-MS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 Antonin</dc:creator>
  <cp:lastModifiedBy>DavidT</cp:lastModifiedBy>
  <dcterms:created xsi:type="dcterms:W3CDTF">2023-06-12T07:02:35Z</dcterms:created>
  <dcterms:modified xsi:type="dcterms:W3CDTF">2024-02-23T21:17:51Z</dcterms:modified>
</cp:coreProperties>
</file>