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yakofukunaka/Desktop/New submit/"/>
    </mc:Choice>
  </mc:AlternateContent>
  <xr:revisionPtr revIDLastSave="0" documentId="13_ncr:1_{B38F3333-493E-F34A-800C-C6BC4A3D14AF}" xr6:coauthVersionLast="47" xr6:coauthVersionMax="47" xr10:uidLastSave="{00000000-0000-0000-0000-000000000000}"/>
  <bookViews>
    <workbookView xWindow="4720" yWindow="620" windowWidth="32860" windowHeight="23340" firstSheet="7" activeTab="23" xr2:uid="{00000000-000D-0000-FFFF-FFFF00000000}"/>
  </bookViews>
  <sheets>
    <sheet name="Fig.1A" sheetId="25" r:id="rId1"/>
    <sheet name="Fig.1B,C" sheetId="21" r:id="rId2"/>
    <sheet name="Fig.1D" sheetId="3" r:id="rId3"/>
    <sheet name="Fig.1E" sheetId="40" r:id="rId4"/>
    <sheet name="Fig.1F" sheetId="27" r:id="rId5"/>
    <sheet name="Fig.2A    " sheetId="37" r:id="rId6"/>
    <sheet name="Fig.2B   " sheetId="1" r:id="rId7"/>
    <sheet name="Fig.2C,D    " sheetId="2" r:id="rId8"/>
    <sheet name="Fig. 2E" sheetId="39" r:id="rId9"/>
    <sheet name="Fig.3A   " sheetId="38" r:id="rId10"/>
    <sheet name="Fig.3C   " sheetId="4" r:id="rId11"/>
    <sheet name="Fig.3F" sheetId="18" r:id="rId12"/>
    <sheet name="Fig.4A   " sheetId="9" r:id="rId13"/>
    <sheet name="Fig.4B  " sheetId="10" r:id="rId14"/>
    <sheet name="Fig.4C   " sheetId="11" r:id="rId15"/>
    <sheet name="Fig. 4D  " sheetId="17" r:id="rId16"/>
    <sheet name="Fig.4E  " sheetId="12" r:id="rId17"/>
    <sheet name="Fig.4F" sheetId="31" r:id="rId18"/>
    <sheet name="Fig.5D   " sheetId="33" r:id="rId19"/>
    <sheet name="Fig.5E  " sheetId="34" r:id="rId20"/>
    <sheet name="Fig.5F   " sheetId="35" r:id="rId21"/>
    <sheet name="Fig.7B" sheetId="28" r:id="rId22"/>
    <sheet name="Fig.7C" sheetId="29" r:id="rId23"/>
    <sheet name="Fig.7D, E" sheetId="36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" l="1"/>
  <c r="X4" i="1"/>
  <c r="V32" i="1"/>
  <c r="Z14" i="1"/>
  <c r="Y14" i="1"/>
  <c r="X14" i="1"/>
  <c r="W14" i="1"/>
  <c r="V14" i="1"/>
  <c r="Z15" i="1"/>
  <c r="Y15" i="1"/>
  <c r="X15" i="1"/>
  <c r="W15" i="1"/>
  <c r="V15" i="1"/>
  <c r="V16" i="1"/>
  <c r="V17" i="1"/>
  <c r="W23" i="1"/>
  <c r="X23" i="1"/>
  <c r="Y23" i="1"/>
  <c r="Z23" i="1"/>
  <c r="AA23" i="1"/>
  <c r="AB23" i="1"/>
  <c r="AC23" i="1"/>
  <c r="AD23" i="1"/>
  <c r="AE23" i="1"/>
  <c r="AF23" i="1"/>
  <c r="AG23" i="1"/>
  <c r="AH23" i="1"/>
  <c r="V23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W25" i="1"/>
  <c r="X25" i="1"/>
  <c r="Y25" i="1"/>
  <c r="Z25" i="1"/>
  <c r="AA25" i="1"/>
  <c r="AB25" i="1"/>
  <c r="AC25" i="1"/>
  <c r="AD25" i="1"/>
  <c r="AE25" i="1"/>
  <c r="AF25" i="1"/>
  <c r="AG25" i="1"/>
  <c r="AH25" i="1"/>
  <c r="V25" i="1"/>
  <c r="W26" i="1"/>
  <c r="X26" i="1"/>
  <c r="Y26" i="1"/>
  <c r="Z26" i="1"/>
  <c r="AA26" i="1"/>
  <c r="AB26" i="1"/>
  <c r="AC26" i="1"/>
  <c r="AD26" i="1"/>
  <c r="AE26" i="1"/>
  <c r="AF26" i="1"/>
  <c r="AG26" i="1"/>
  <c r="AH26" i="1"/>
  <c r="V26" i="1"/>
  <c r="W22" i="1"/>
  <c r="X22" i="1"/>
  <c r="Y22" i="1"/>
  <c r="Z22" i="1"/>
  <c r="AA22" i="1"/>
  <c r="AB22" i="1"/>
  <c r="AC22" i="1"/>
  <c r="AD22" i="1"/>
  <c r="AE22" i="1"/>
  <c r="AF22" i="1"/>
  <c r="AG22" i="1"/>
  <c r="AH22" i="1"/>
  <c r="V22" i="1"/>
  <c r="W21" i="1"/>
  <c r="X21" i="1"/>
  <c r="Y21" i="1"/>
  <c r="Z21" i="1"/>
  <c r="AA21" i="1"/>
  <c r="AB21" i="1"/>
  <c r="AC21" i="1"/>
  <c r="AD21" i="1"/>
  <c r="AE21" i="1"/>
  <c r="AF21" i="1"/>
  <c r="AG21" i="1"/>
  <c r="AH21" i="1"/>
  <c r="V21" i="1"/>
  <c r="W20" i="1"/>
  <c r="X20" i="1"/>
  <c r="Y20" i="1"/>
  <c r="Z20" i="1"/>
  <c r="AA20" i="1"/>
  <c r="AB20" i="1"/>
  <c r="AC20" i="1"/>
  <c r="AD20" i="1"/>
  <c r="AE20" i="1"/>
  <c r="AF20" i="1"/>
  <c r="AG20" i="1"/>
  <c r="AH20" i="1"/>
  <c r="V20" i="1"/>
  <c r="W19" i="1"/>
  <c r="X19" i="1"/>
  <c r="Y19" i="1"/>
  <c r="Z19" i="1"/>
  <c r="AA19" i="1"/>
  <c r="AB19" i="1"/>
  <c r="AC19" i="1"/>
  <c r="AD19" i="1"/>
  <c r="AE19" i="1"/>
  <c r="AF19" i="1"/>
  <c r="AG19" i="1"/>
  <c r="AH19" i="1"/>
  <c r="V19" i="1"/>
  <c r="W18" i="1"/>
  <c r="X18" i="1"/>
  <c r="Y18" i="1"/>
  <c r="Z18" i="1"/>
  <c r="AA18" i="1"/>
  <c r="AB18" i="1"/>
  <c r="AC18" i="1"/>
  <c r="AD18" i="1"/>
  <c r="AE18" i="1"/>
  <c r="AF18" i="1"/>
  <c r="AG18" i="1"/>
  <c r="V18" i="1"/>
  <c r="W17" i="1"/>
  <c r="X17" i="1"/>
  <c r="Y17" i="1"/>
  <c r="Z17" i="1"/>
  <c r="W16" i="1"/>
  <c r="X16" i="1"/>
  <c r="Y16" i="1"/>
  <c r="Z16" i="1"/>
  <c r="W13" i="1"/>
  <c r="X13" i="1"/>
  <c r="Y13" i="1"/>
  <c r="Z13" i="1"/>
  <c r="V13" i="1"/>
  <c r="Z12" i="1"/>
  <c r="Y12" i="1"/>
  <c r="X12" i="1"/>
  <c r="W12" i="1"/>
  <c r="V12" i="1"/>
  <c r="W11" i="1"/>
  <c r="X11" i="1"/>
  <c r="Y11" i="1"/>
  <c r="V11" i="1"/>
  <c r="W10" i="1"/>
  <c r="X10" i="1"/>
  <c r="Y10" i="1"/>
  <c r="V10" i="1"/>
  <c r="W9" i="1"/>
  <c r="X9" i="1"/>
  <c r="Y9" i="1"/>
  <c r="Z9" i="1"/>
  <c r="V9" i="1"/>
  <c r="W8" i="1"/>
  <c r="X8" i="1"/>
  <c r="Y8" i="1"/>
  <c r="Z8" i="1"/>
  <c r="V8" i="1"/>
  <c r="W7" i="1"/>
  <c r="X7" i="1"/>
  <c r="Y7" i="1"/>
  <c r="Z7" i="1"/>
  <c r="V7" i="1"/>
  <c r="W6" i="1"/>
  <c r="X6" i="1"/>
  <c r="Y6" i="1"/>
  <c r="Z6" i="1"/>
  <c r="V6" i="1"/>
  <c r="W5" i="1"/>
  <c r="X5" i="1"/>
  <c r="Y5" i="1"/>
  <c r="Z5" i="1"/>
  <c r="V5" i="1"/>
  <c r="W4" i="1"/>
  <c r="Y4" i="1"/>
  <c r="Z4" i="1"/>
  <c r="W50" i="1"/>
  <c r="X50" i="1"/>
  <c r="Y50" i="1"/>
  <c r="Z50" i="1"/>
  <c r="AA50" i="1"/>
  <c r="AB50" i="1"/>
  <c r="AC50" i="1"/>
  <c r="AD50" i="1"/>
  <c r="AD52" i="1" s="1"/>
  <c r="AE50" i="1"/>
  <c r="AF50" i="1"/>
  <c r="AG50" i="1"/>
  <c r="AH50" i="1"/>
  <c r="V50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W48" i="1"/>
  <c r="X48" i="1"/>
  <c r="Y48" i="1"/>
  <c r="Z48" i="1"/>
  <c r="AA48" i="1"/>
  <c r="AB48" i="1"/>
  <c r="AC48" i="1"/>
  <c r="AD48" i="1"/>
  <c r="AE48" i="1"/>
  <c r="AF48" i="1"/>
  <c r="AG48" i="1"/>
  <c r="AH48" i="1"/>
  <c r="V48" i="1"/>
  <c r="AH47" i="1"/>
  <c r="AG47" i="1"/>
  <c r="AF47" i="1"/>
  <c r="AE47" i="1"/>
  <c r="AD47" i="1"/>
  <c r="AC47" i="1"/>
  <c r="AB47" i="1"/>
  <c r="AA47" i="1"/>
  <c r="AA51" i="1" s="1"/>
  <c r="Z47" i="1"/>
  <c r="Y47" i="1"/>
  <c r="X47" i="1"/>
  <c r="W47" i="1"/>
  <c r="V47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W45" i="1"/>
  <c r="X45" i="1"/>
  <c r="Y45" i="1"/>
  <c r="Z45" i="1"/>
  <c r="AA45" i="1"/>
  <c r="AB45" i="1"/>
  <c r="AC45" i="1"/>
  <c r="AD45" i="1"/>
  <c r="AE45" i="1"/>
  <c r="AF45" i="1"/>
  <c r="AG45" i="1"/>
  <c r="AH45" i="1"/>
  <c r="V45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Z43" i="1"/>
  <c r="Y43" i="1"/>
  <c r="X43" i="1"/>
  <c r="W43" i="1"/>
  <c r="V43" i="1"/>
  <c r="Z42" i="1"/>
  <c r="Y42" i="1"/>
  <c r="X42" i="1"/>
  <c r="W42" i="1"/>
  <c r="V42" i="1"/>
  <c r="Z41" i="1"/>
  <c r="Y41" i="1"/>
  <c r="X41" i="1"/>
  <c r="W41" i="1"/>
  <c r="V41" i="1"/>
  <c r="Y40" i="1"/>
  <c r="X40" i="1"/>
  <c r="W40" i="1"/>
  <c r="V40" i="1"/>
  <c r="W39" i="1"/>
  <c r="X39" i="1"/>
  <c r="Y39" i="1"/>
  <c r="V39" i="1"/>
  <c r="W38" i="1"/>
  <c r="X38" i="1"/>
  <c r="Y38" i="1"/>
  <c r="Z38" i="1"/>
  <c r="V38" i="1"/>
  <c r="W37" i="1"/>
  <c r="X37" i="1"/>
  <c r="Y37" i="1"/>
  <c r="Z37" i="1"/>
  <c r="V37" i="1"/>
  <c r="W36" i="1"/>
  <c r="X36" i="1"/>
  <c r="Y36" i="1"/>
  <c r="Z36" i="1"/>
  <c r="V36" i="1"/>
  <c r="Z35" i="1"/>
  <c r="Y35" i="1"/>
  <c r="X35" i="1"/>
  <c r="W35" i="1"/>
  <c r="V35" i="1"/>
  <c r="W34" i="1"/>
  <c r="W33" i="1"/>
  <c r="W32" i="1"/>
  <c r="Z34" i="1"/>
  <c r="Y34" i="1"/>
  <c r="X34" i="1"/>
  <c r="V34" i="1"/>
  <c r="X33" i="1"/>
  <c r="Y33" i="1"/>
  <c r="Z33" i="1"/>
  <c r="V33" i="1"/>
  <c r="X32" i="1"/>
  <c r="Y32" i="1"/>
  <c r="Z3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V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V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V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AH60" i="1"/>
  <c r="AG60" i="1"/>
  <c r="AF60" i="1"/>
  <c r="AE60" i="1"/>
  <c r="AD60" i="1"/>
  <c r="AC60" i="1"/>
  <c r="AB60" i="1"/>
  <c r="AA60" i="1"/>
  <c r="Z60" i="1"/>
  <c r="Y60" i="1"/>
  <c r="X60" i="1"/>
  <c r="W60" i="1"/>
  <c r="Y59" i="1"/>
  <c r="AH59" i="1"/>
  <c r="AG59" i="1"/>
  <c r="AF59" i="1"/>
  <c r="AE59" i="1"/>
  <c r="AD59" i="1"/>
  <c r="AC59" i="1"/>
  <c r="AB59" i="1"/>
  <c r="AA59" i="1"/>
  <c r="Z59" i="1"/>
  <c r="X59" i="1"/>
  <c r="W59" i="1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  <c r="C3" i="29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7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D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V27" i="1" l="1"/>
  <c r="AD28" i="1"/>
  <c r="AH28" i="1"/>
  <c r="Y103" i="1"/>
  <c r="AE104" i="1"/>
  <c r="AH51" i="1"/>
  <c r="AG103" i="1"/>
  <c r="W51" i="1"/>
  <c r="AB28" i="1"/>
  <c r="AB104" i="1"/>
  <c r="AE51" i="1"/>
  <c r="W104" i="1"/>
  <c r="Z104" i="1"/>
  <c r="AH104" i="1"/>
  <c r="AA52" i="1"/>
  <c r="W77" i="1"/>
  <c r="AF76" i="1"/>
  <c r="V77" i="1"/>
  <c r="AA104" i="1"/>
  <c r="V104" i="1"/>
  <c r="AD104" i="1"/>
  <c r="AC103" i="1"/>
  <c r="X104" i="1"/>
  <c r="AF104" i="1"/>
  <c r="AB52" i="1"/>
  <c r="Z51" i="1"/>
  <c r="AC52" i="1"/>
  <c r="AC28" i="1"/>
  <c r="AC104" i="1"/>
  <c r="Y51" i="1"/>
  <c r="V28" i="1"/>
  <c r="V103" i="1"/>
  <c r="AD103" i="1"/>
  <c r="X51" i="1"/>
  <c r="W103" i="1"/>
  <c r="AE103" i="1"/>
  <c r="V52" i="1"/>
  <c r="W52" i="1"/>
  <c r="V51" i="1"/>
  <c r="X52" i="1"/>
  <c r="AF51" i="1"/>
  <c r="AD51" i="1"/>
  <c r="AE52" i="1"/>
  <c r="Y28" i="1"/>
  <c r="AA28" i="1"/>
  <c r="AF28" i="1"/>
  <c r="AC27" i="1"/>
  <c r="AH27" i="1"/>
  <c r="X103" i="1"/>
  <c r="AF103" i="1"/>
  <c r="Z52" i="1"/>
  <c r="AG51" i="1"/>
  <c r="AC51" i="1"/>
  <c r="X27" i="1"/>
  <c r="Z27" i="1"/>
  <c r="AB27" i="1"/>
  <c r="AC76" i="1"/>
  <c r="Z103" i="1"/>
  <c r="AH103" i="1"/>
  <c r="AB51" i="1"/>
  <c r="AG52" i="1"/>
  <c r="Y52" i="1"/>
  <c r="AA27" i="1"/>
  <c r="W28" i="1"/>
  <c r="AE28" i="1"/>
  <c r="AD77" i="1"/>
  <c r="Y77" i="1"/>
  <c r="AG77" i="1"/>
  <c r="AB76" i="1"/>
  <c r="W76" i="1"/>
  <c r="AA76" i="1"/>
  <c r="AA103" i="1"/>
  <c r="AF52" i="1"/>
  <c r="X28" i="1"/>
  <c r="AE77" i="1"/>
  <c r="AB103" i="1"/>
  <c r="AG28" i="1"/>
  <c r="AH52" i="1"/>
  <c r="AD27" i="1"/>
  <c r="Z28" i="1"/>
  <c r="X76" i="1"/>
  <c r="AG76" i="1"/>
  <c r="Y104" i="1"/>
  <c r="AG104" i="1"/>
  <c r="W27" i="1"/>
  <c r="AE27" i="1"/>
  <c r="AC77" i="1"/>
  <c r="AF27" i="1"/>
  <c r="Y76" i="1"/>
  <c r="Y27" i="1"/>
  <c r="AG27" i="1"/>
  <c r="AB77" i="1"/>
  <c r="Z76" i="1"/>
  <c r="AH76" i="1"/>
  <c r="X77" i="1"/>
  <c r="AF77" i="1"/>
  <c r="Z77" i="1"/>
  <c r="AH77" i="1"/>
  <c r="AA77" i="1"/>
  <c r="V76" i="1"/>
  <c r="AD76" i="1"/>
  <c r="AE76" i="1"/>
</calcChain>
</file>

<file path=xl/sharedStrings.xml><?xml version="1.0" encoding="utf-8"?>
<sst xmlns="http://schemas.openxmlformats.org/spreadsheetml/2006/main" count="946" uniqueCount="265">
  <si>
    <t>NE</t>
    <phoneticPr fontId="1"/>
  </si>
  <si>
    <t>STD</t>
    <phoneticPr fontId="1"/>
  </si>
  <si>
    <t>average</t>
    <phoneticPr fontId="1"/>
  </si>
  <si>
    <t>Ctrl</t>
    <phoneticPr fontId="1"/>
  </si>
  <si>
    <t>Adipo-Zip13KO</t>
    <phoneticPr fontId="1"/>
  </si>
  <si>
    <t>SE</t>
    <phoneticPr fontId="1"/>
  </si>
  <si>
    <t>HFD</t>
    <phoneticPr fontId="1"/>
  </si>
  <si>
    <t>Body weight (g)</t>
    <phoneticPr fontId="1"/>
  </si>
  <si>
    <t>Basal
lipolysis</t>
    <phoneticPr fontId="1"/>
  </si>
  <si>
    <t>Stimulated
lipolysis</t>
    <phoneticPr fontId="1"/>
  </si>
  <si>
    <t>Adipo-Zip13KO</t>
    <phoneticPr fontId="6"/>
  </si>
  <si>
    <t>Basal
lipolysis</t>
    <phoneticPr fontId="6"/>
  </si>
  <si>
    <t>NEFA (mEq/mg/h)</t>
  </si>
  <si>
    <t>Ctrl</t>
    <phoneticPr fontId="6"/>
  </si>
  <si>
    <t xml:space="preserve">Basal
</t>
    <phoneticPr fontId="6"/>
  </si>
  <si>
    <t>Iso</t>
    <phoneticPr fontId="6"/>
  </si>
  <si>
    <t>Iso +NAC</t>
    <phoneticPr fontId="6"/>
  </si>
  <si>
    <t>Basal</t>
    <phoneticPr fontId="6"/>
  </si>
  <si>
    <t>Basal
lipolysis</t>
    <phoneticPr fontId="14"/>
  </si>
  <si>
    <t>Stimulated
lipolysis</t>
    <phoneticPr fontId="14"/>
  </si>
  <si>
    <t>cAMP(pmoL/mg)</t>
  </si>
  <si>
    <t>Ctrl</t>
    <phoneticPr fontId="13"/>
  </si>
  <si>
    <t>Adipo-Zip13KO</t>
    <phoneticPr fontId="14"/>
  </si>
  <si>
    <t>PDE activity/protein concenrtation</t>
  </si>
  <si>
    <t>Forskolin</t>
    <phoneticPr fontId="6"/>
  </si>
  <si>
    <t>Ctrl130</t>
    <phoneticPr fontId="1"/>
  </si>
  <si>
    <t>Ctrl131</t>
    <phoneticPr fontId="1"/>
  </si>
  <si>
    <t>Ctrl123</t>
    <phoneticPr fontId="1"/>
  </si>
  <si>
    <t>KO380</t>
    <phoneticPr fontId="1"/>
  </si>
  <si>
    <t>KO382</t>
    <phoneticPr fontId="1"/>
  </si>
  <si>
    <t>KO383</t>
    <phoneticPr fontId="1"/>
  </si>
  <si>
    <t>KO406</t>
    <phoneticPr fontId="1"/>
  </si>
  <si>
    <t>KO413</t>
    <phoneticPr fontId="1"/>
  </si>
  <si>
    <t>light</t>
    <phoneticPr fontId="1"/>
  </si>
  <si>
    <t>24h</t>
    <phoneticPr fontId="1"/>
  </si>
  <si>
    <t>Ctrl384</t>
    <phoneticPr fontId="1"/>
  </si>
  <si>
    <t>Ctrl404</t>
    <phoneticPr fontId="1"/>
  </si>
  <si>
    <t>Ctrl415</t>
    <phoneticPr fontId="1"/>
  </si>
  <si>
    <t>Ctrl98</t>
    <phoneticPr fontId="1"/>
  </si>
  <si>
    <t>KO88</t>
  </si>
  <si>
    <t>KO137</t>
  </si>
  <si>
    <t>KO138</t>
  </si>
  <si>
    <t>KO169</t>
    <phoneticPr fontId="1"/>
  </si>
  <si>
    <t>subcutaneouse fat</t>
    <phoneticPr fontId="1"/>
  </si>
  <si>
    <t>Visceral fat</t>
    <phoneticPr fontId="1"/>
  </si>
  <si>
    <t>Brown fat</t>
    <phoneticPr fontId="1"/>
  </si>
  <si>
    <t>KO169</t>
  </si>
  <si>
    <t>KO380</t>
  </si>
  <si>
    <t>KO382</t>
  </si>
  <si>
    <t>KO383</t>
  </si>
  <si>
    <t>KO406</t>
  </si>
  <si>
    <t>KO413</t>
  </si>
  <si>
    <t>Ctrl165</t>
    <phoneticPr fontId="1"/>
  </si>
  <si>
    <t>dark</t>
    <phoneticPr fontId="1"/>
  </si>
  <si>
    <t>RER</t>
    <phoneticPr fontId="1"/>
  </si>
  <si>
    <t>KO138</t>
    <phoneticPr fontId="1"/>
  </si>
  <si>
    <t>KO137</t>
    <phoneticPr fontId="1"/>
  </si>
  <si>
    <t>KO88</t>
    <phoneticPr fontId="16"/>
  </si>
  <si>
    <t>Ctrl
H2O2</t>
    <phoneticPr fontId="14"/>
  </si>
  <si>
    <t>PDE activity</t>
    <phoneticPr fontId="6"/>
  </si>
  <si>
    <t>Zn</t>
    <phoneticPr fontId="1"/>
  </si>
  <si>
    <t>Fe</t>
    <phoneticPr fontId="1"/>
  </si>
  <si>
    <t>mZIP13</t>
    <phoneticPr fontId="1"/>
  </si>
  <si>
    <t>mZIP13 H254A</t>
    <phoneticPr fontId="1"/>
  </si>
  <si>
    <t>MT1/GAPDH</t>
  </si>
  <si>
    <t>-</t>
    <phoneticPr fontId="1"/>
  </si>
  <si>
    <t>4F2hc</t>
    <phoneticPr fontId="15"/>
  </si>
  <si>
    <t>4F2hc-mZIP13-HA</t>
    <phoneticPr fontId="15"/>
  </si>
  <si>
    <t>4F2hc-mZIP14-HA</t>
    <phoneticPr fontId="15"/>
  </si>
  <si>
    <t xml:space="preserve">      +Zn</t>
    <phoneticPr fontId="1"/>
  </si>
  <si>
    <t>Fe level</t>
    <phoneticPr fontId="1"/>
  </si>
  <si>
    <t>Zn level</t>
    <phoneticPr fontId="1"/>
  </si>
  <si>
    <t>preadipocyte</t>
    <phoneticPr fontId="1"/>
  </si>
  <si>
    <t>mature adipocyte</t>
    <phoneticPr fontId="1"/>
  </si>
  <si>
    <t>4F2hc5xFXmZIP13</t>
  </si>
  <si>
    <t>100uM</t>
  </si>
  <si>
    <t>4F2hc</t>
  </si>
  <si>
    <t>4F2hc-m13</t>
  </si>
  <si>
    <t>4F2hc-m14</t>
  </si>
  <si>
    <t>100 uM</t>
  </si>
  <si>
    <t>4F2hc5xFxmZIP14</t>
  </si>
  <si>
    <t>Zip13/18S</t>
  </si>
  <si>
    <t>time-start time</t>
    <phoneticPr fontId="17"/>
  </si>
  <si>
    <t>Visceral fat (g)/ body weight(g)</t>
    <phoneticPr fontId="1"/>
  </si>
  <si>
    <t>subcutaneous fat (g)/ body weight(g)</t>
    <phoneticPr fontId="1"/>
  </si>
  <si>
    <t>Brown fat (g)/ body weight(g)</t>
    <phoneticPr fontId="1"/>
  </si>
  <si>
    <t>IRP2</t>
  </si>
  <si>
    <t>TfR</t>
  </si>
  <si>
    <t>Fth1</t>
  </si>
  <si>
    <t>FTL</t>
  </si>
  <si>
    <t>aP2</t>
  </si>
  <si>
    <t>basal</t>
    <phoneticPr fontId="1"/>
  </si>
  <si>
    <t>Iso</t>
    <phoneticPr fontId="1"/>
  </si>
  <si>
    <t>pPKA/PKA</t>
  </si>
  <si>
    <t>pHSL/HSL</t>
  </si>
  <si>
    <t>pCREB/CREB</t>
  </si>
  <si>
    <t>Ctrl basal</t>
  </si>
  <si>
    <t>Adipo-Zip13KO basal</t>
  </si>
  <si>
    <t>pHSL/HSL</t>
    <phoneticPr fontId="1"/>
  </si>
  <si>
    <t>pCREB/CREB</t>
    <phoneticPr fontId="1"/>
  </si>
  <si>
    <t>Ctrl Iso</t>
    <phoneticPr fontId="1"/>
  </si>
  <si>
    <t>Adipo-Zip13KO Iso</t>
    <phoneticPr fontId="1"/>
  </si>
  <si>
    <t>CL316,243</t>
    <phoneticPr fontId="1"/>
  </si>
  <si>
    <t>Ctrl99</t>
    <phoneticPr fontId="1"/>
  </si>
  <si>
    <t>Ctrl113</t>
    <phoneticPr fontId="1"/>
  </si>
  <si>
    <t>Ctrl118</t>
    <phoneticPr fontId="1"/>
  </si>
  <si>
    <t>KO83</t>
    <phoneticPr fontId="1"/>
  </si>
  <si>
    <t>KO100</t>
    <phoneticPr fontId="1"/>
  </si>
  <si>
    <t>KO102</t>
    <phoneticPr fontId="1"/>
  </si>
  <si>
    <t>KO104</t>
    <phoneticPr fontId="1"/>
  </si>
  <si>
    <t>KO115</t>
    <phoneticPr fontId="1"/>
  </si>
  <si>
    <t>Normal</t>
    <phoneticPr fontId="1"/>
  </si>
  <si>
    <t>654KO</t>
    <phoneticPr fontId="1"/>
  </si>
  <si>
    <t>764KO</t>
    <phoneticPr fontId="1"/>
  </si>
  <si>
    <t>656Ctrl</t>
    <phoneticPr fontId="1"/>
  </si>
  <si>
    <t>664Ctrl</t>
    <phoneticPr fontId="1"/>
  </si>
  <si>
    <t>661Ctrl</t>
    <phoneticPr fontId="1"/>
  </si>
  <si>
    <t>671Ctrl</t>
    <phoneticPr fontId="1"/>
  </si>
  <si>
    <t>683Ctrl</t>
    <phoneticPr fontId="1"/>
  </si>
  <si>
    <t>685Ctrl</t>
    <phoneticPr fontId="1"/>
  </si>
  <si>
    <t>Ctrl sub</t>
  </si>
  <si>
    <t>KO sub</t>
  </si>
  <si>
    <t>Ctrl vis</t>
  </si>
  <si>
    <t>KO vis</t>
  </si>
  <si>
    <t>Basal</t>
    <phoneticPr fontId="1"/>
  </si>
  <si>
    <t>KO</t>
    <phoneticPr fontId="1"/>
  </si>
  <si>
    <t>Ctrl 
HFD</t>
    <phoneticPr fontId="1"/>
  </si>
  <si>
    <t>KO 
HFD</t>
    <phoneticPr fontId="1"/>
  </si>
  <si>
    <t>ttest</t>
    <phoneticPr fontId="1"/>
  </si>
  <si>
    <t>ttest (4F2hc-m13, Ctrl vs Zn)</t>
    <phoneticPr fontId="1"/>
  </si>
  <si>
    <t>ttest (4F2hc, Ctrl vs Zn )</t>
    <phoneticPr fontId="1"/>
  </si>
  <si>
    <t>ttest (4F2hc vs 4F2hc-m13)</t>
    <phoneticPr fontId="1"/>
  </si>
  <si>
    <t>ttest(4F2hc Zn vs 4F2hc-m14 Zn)</t>
    <phoneticPr fontId="1"/>
  </si>
  <si>
    <t>ttest(4F2h vs 4F2hc-m14)</t>
    <phoneticPr fontId="1"/>
  </si>
  <si>
    <t>two-way ANOVA followed by the Turkey's multiple comparison test</t>
    <phoneticPr fontId="1"/>
  </si>
  <si>
    <t>two-way ANOVA followed by the Turkey's multiple comparison test</t>
    <phoneticPr fontId="1"/>
  </si>
  <si>
    <t>Ctrl basal vs Ctrl Iso</t>
  </si>
  <si>
    <t>Ctrl basal vs Ctrl for</t>
  </si>
  <si>
    <t>Ctrl basal vs Adipo-Zip13KO basal</t>
  </si>
  <si>
    <t>Ctrl Iso vs Adipo-Zip13KO Iso</t>
  </si>
  <si>
    <t>Ctrl for vs Adipo-Zip13KO for</t>
  </si>
  <si>
    <t>Adipo-Zip13KO basal vs Adipo-Zip13KO Iso</t>
  </si>
  <si>
    <t>Adipo-Zip13KO basal vs Adipo-Zip13KO for</t>
  </si>
  <si>
    <t>two-way ANOVA followed by the Turkey's multiple comparison test</t>
    <phoneticPr fontId="1"/>
  </si>
  <si>
    <t>one-way ANOVA followed by the Turkey's multiple comparison test</t>
    <phoneticPr fontId="1"/>
  </si>
  <si>
    <t>4F2hc vs 4F2hc-m13</t>
  </si>
  <si>
    <t>4F2hc vs 4F2hc-m14</t>
  </si>
  <si>
    <t>4F2hc-m13 vs 4F2hc-m14</t>
  </si>
  <si>
    <t>two-way ANOVA followed by the Turkey's multiple comparison test</t>
    <phoneticPr fontId="1"/>
  </si>
  <si>
    <t>AdipoZip13KO Normal vs AdipoZip13KO CL316,243</t>
  </si>
  <si>
    <t>Ctrl basal vs Ctr CL316,243</t>
  </si>
  <si>
    <t>Ctr CL316,243 vs Adipo-Zip13KO CL316,243</t>
  </si>
  <si>
    <t>Adipo-Zip13KO basal vs Adipo-Zip13KO CL316,243</t>
  </si>
  <si>
    <t>Ctrl sub basal vs KO sub basal</t>
  </si>
  <si>
    <t>Ctrl sub basal vs Ctrl sub Iso</t>
  </si>
  <si>
    <t>KO sub basal vs KO sub Iso</t>
  </si>
  <si>
    <t>Ctrl sub Iso vs KO sub Iso</t>
  </si>
  <si>
    <t>Ctrl vis basal vs KO vis basal</t>
  </si>
  <si>
    <t>Ctrl vis basal vs Ctrl vis Iso</t>
  </si>
  <si>
    <t>KO vis basal vs KO vis Iso</t>
  </si>
  <si>
    <t>Ctrl vis Iso vs KO vis Iso</t>
  </si>
  <si>
    <t>ttest (Ctrl vs Adipo-Zip13KO)</t>
    <phoneticPr fontId="1"/>
  </si>
  <si>
    <t>p = &lt;0.0001</t>
    <phoneticPr fontId="1"/>
  </si>
  <si>
    <t>p = 0.046</t>
    <phoneticPr fontId="1"/>
  </si>
  <si>
    <t>p = 0.8796</t>
    <phoneticPr fontId="1"/>
  </si>
  <si>
    <t>p = 0.983</t>
    <phoneticPr fontId="1"/>
  </si>
  <si>
    <t>p = 0.9579</t>
    <phoneticPr fontId="1"/>
  </si>
  <si>
    <t>p = 0.0369</t>
    <phoneticPr fontId="1"/>
  </si>
  <si>
    <t>p = 0.0468</t>
    <phoneticPr fontId="1"/>
  </si>
  <si>
    <t>p = 0.9998</t>
    <phoneticPr fontId="1"/>
  </si>
  <si>
    <t>p = 0.4223</t>
    <phoneticPr fontId="1"/>
  </si>
  <si>
    <t>p = 0.3722</t>
    <phoneticPr fontId="1"/>
  </si>
  <si>
    <t>p = &gt;0.9999</t>
    <phoneticPr fontId="1"/>
  </si>
  <si>
    <t>p = 0.0015</t>
    <phoneticPr fontId="1"/>
  </si>
  <si>
    <t>p = 0.9995</t>
    <phoneticPr fontId="1"/>
  </si>
  <si>
    <t>p = 0.0171</t>
    <phoneticPr fontId="1"/>
  </si>
  <si>
    <t>ttest (STD vs HFD)</t>
    <phoneticPr fontId="1"/>
  </si>
  <si>
    <t>p = 0.970493151418022</t>
    <phoneticPr fontId="1"/>
  </si>
  <si>
    <t>p = 0.175613464029567</t>
    <phoneticPr fontId="1"/>
  </si>
  <si>
    <t xml:space="preserve"> p = 0.838623125644147</t>
    <phoneticPr fontId="1"/>
  </si>
  <si>
    <t>p = 0.98303658205787</t>
    <phoneticPr fontId="1"/>
  </si>
  <si>
    <t>p = 0.8967</t>
    <phoneticPr fontId="1"/>
  </si>
  <si>
    <t>Ctrl Normal vs Ctrl CL316,243</t>
  </si>
  <si>
    <t>Ctrl Normal vs AdipoZip13KO Normal</t>
  </si>
  <si>
    <t>Ctrl CL316,243 vs AdipoZip13KO CL316,243</t>
  </si>
  <si>
    <t>p = 0.003</t>
    <phoneticPr fontId="1"/>
  </si>
  <si>
    <t>p = 0.8079</t>
    <phoneticPr fontId="1"/>
  </si>
  <si>
    <t>p = 0.0042</t>
    <phoneticPr fontId="1"/>
  </si>
  <si>
    <t>ttest (Ctrl vs Adipo-Zip13KO</t>
    <phoneticPr fontId="1"/>
  </si>
  <si>
    <t>p = 0.3532</t>
    <phoneticPr fontId="1"/>
  </si>
  <si>
    <t>p = 0.0003</t>
    <phoneticPr fontId="1"/>
  </si>
  <si>
    <t>p = 0.0386</t>
    <phoneticPr fontId="1"/>
  </si>
  <si>
    <t>p = 0.0026</t>
    <phoneticPr fontId="1"/>
  </si>
  <si>
    <t>p = 0.0006</t>
    <phoneticPr fontId="1"/>
  </si>
  <si>
    <t>p = 0.0032</t>
    <phoneticPr fontId="1"/>
  </si>
  <si>
    <t>p = 0.0350</t>
    <phoneticPr fontId="1"/>
  </si>
  <si>
    <t>p = 0.0080</t>
    <phoneticPr fontId="1"/>
  </si>
  <si>
    <t>p = 0.2701</t>
    <phoneticPr fontId="1"/>
  </si>
  <si>
    <t>p = 0.202295050616689</t>
    <phoneticPr fontId="1"/>
  </si>
  <si>
    <t>p = 0.2022</t>
    <phoneticPr fontId="1"/>
  </si>
  <si>
    <t>ttest (Ctrl basal vs Adipo-Zip13KO basal)</t>
    <phoneticPr fontId="1"/>
  </si>
  <si>
    <t>ttest (Ctlr Iso vs Adipo-Zip13KO Iso)</t>
    <phoneticPr fontId="1"/>
  </si>
  <si>
    <t>p = 0.0949</t>
    <phoneticPr fontId="1"/>
  </si>
  <si>
    <t>p = 0.2851</t>
    <phoneticPr fontId="1"/>
  </si>
  <si>
    <t>p = 0.0281</t>
    <phoneticPr fontId="1"/>
  </si>
  <si>
    <t>p = 0.1247</t>
    <phoneticPr fontId="1"/>
  </si>
  <si>
    <t>p = 0.2955</t>
    <phoneticPr fontId="1"/>
  </si>
  <si>
    <t>p = 0.0143</t>
    <phoneticPr fontId="1"/>
  </si>
  <si>
    <t>p = 0.0240</t>
    <phoneticPr fontId="1"/>
  </si>
  <si>
    <t>p = 0.0066</t>
    <phoneticPr fontId="1"/>
  </si>
  <si>
    <t>p = 0.0137</t>
    <phoneticPr fontId="1"/>
  </si>
  <si>
    <t>p = 0.7729</t>
    <phoneticPr fontId="1"/>
  </si>
  <si>
    <t>ttest(Ctrl Iso vs Adipo-Zip13KO Iso)</t>
    <phoneticPr fontId="1"/>
  </si>
  <si>
    <t>ttest(Ctrl basal vs Adipo-Zip13KO basal)</t>
    <phoneticPr fontId="1"/>
  </si>
  <si>
    <t>ttest(Ctrl Iso+NAC vs Adipo-Zip13KO Iso+NAC)</t>
    <phoneticPr fontId="1"/>
  </si>
  <si>
    <t>p = 0.3986</t>
    <phoneticPr fontId="1"/>
  </si>
  <si>
    <t>p = 0.0048</t>
    <phoneticPr fontId="1"/>
  </si>
  <si>
    <t>p = 0.4331</t>
    <phoneticPr fontId="1"/>
  </si>
  <si>
    <t>ttest (Ctrl Iso vs Adipo-Zip13KO Iso)</t>
    <phoneticPr fontId="1"/>
  </si>
  <si>
    <t>p = 0.2239</t>
    <phoneticPr fontId="1"/>
  </si>
  <si>
    <t>p = 0.0983</t>
    <phoneticPr fontId="1"/>
  </si>
  <si>
    <t>p = 0.0364</t>
    <phoneticPr fontId="1"/>
  </si>
  <si>
    <t>p = 0.0081</t>
    <phoneticPr fontId="1"/>
  </si>
  <si>
    <t>p = 0.0031</t>
    <phoneticPr fontId="1"/>
  </si>
  <si>
    <t>p = 0.0007</t>
    <phoneticPr fontId="1"/>
  </si>
  <si>
    <t>p = 0.8068</t>
    <phoneticPr fontId="1"/>
  </si>
  <si>
    <t>p = 0.0292</t>
    <phoneticPr fontId="1"/>
  </si>
  <si>
    <t>p = 0.4945</t>
    <phoneticPr fontId="1"/>
  </si>
  <si>
    <t>p = 0.0005</t>
    <phoneticPr fontId="1"/>
  </si>
  <si>
    <t>ttest (Ctrl vs Ctrl H2O2)</t>
    <phoneticPr fontId="1"/>
  </si>
  <si>
    <t>p = 0.0464</t>
    <phoneticPr fontId="1"/>
  </si>
  <si>
    <t>p = 0.0014</t>
    <phoneticPr fontId="1"/>
  </si>
  <si>
    <t>p = 0.0056</t>
    <phoneticPr fontId="1"/>
  </si>
  <si>
    <t>p = 0.0029</t>
    <phoneticPr fontId="1"/>
  </si>
  <si>
    <t>p = 0.0002</t>
    <phoneticPr fontId="1"/>
  </si>
  <si>
    <t>p = 0.0095</t>
    <phoneticPr fontId="1"/>
  </si>
  <si>
    <t>p = 0.0199</t>
    <phoneticPr fontId="1"/>
  </si>
  <si>
    <t>p = 0.0344</t>
    <phoneticPr fontId="1"/>
  </si>
  <si>
    <t>p = 0.1462</t>
    <phoneticPr fontId="1"/>
  </si>
  <si>
    <t>p = 0.509</t>
    <phoneticPr fontId="1"/>
  </si>
  <si>
    <t>p = 0.6539</t>
    <phoneticPr fontId="1"/>
  </si>
  <si>
    <t>Ctrl vs WT (Zn)</t>
    <phoneticPr fontId="1"/>
  </si>
  <si>
    <t>Ctrl vs H254A (Zn)</t>
    <phoneticPr fontId="1"/>
  </si>
  <si>
    <t>WT vs H254A (Zn)</t>
    <phoneticPr fontId="1"/>
  </si>
  <si>
    <t>Ctrl vs WT (Fe)</t>
    <phoneticPr fontId="1"/>
  </si>
  <si>
    <t>Ctrl vs H254A (Fe)</t>
    <phoneticPr fontId="1"/>
  </si>
  <si>
    <t>WT vs H254A (Fe)</t>
    <phoneticPr fontId="1"/>
  </si>
  <si>
    <t>p = 0.0389</t>
    <phoneticPr fontId="1"/>
  </si>
  <si>
    <t>p = 0.2584</t>
    <phoneticPr fontId="1"/>
  </si>
  <si>
    <t>p = 0.5264</t>
    <phoneticPr fontId="1"/>
  </si>
  <si>
    <t>p = 0.0157</t>
    <phoneticPr fontId="1"/>
  </si>
  <si>
    <t>p = 0.8672</t>
    <phoneticPr fontId="1"/>
  </si>
  <si>
    <t>p = 0.0358</t>
    <phoneticPr fontId="1"/>
  </si>
  <si>
    <t>p = 0.9729</t>
    <phoneticPr fontId="1"/>
  </si>
  <si>
    <t>p = 0.9601</t>
    <phoneticPr fontId="1"/>
  </si>
  <si>
    <t>p = 0.6439</t>
    <phoneticPr fontId="1"/>
  </si>
  <si>
    <t>p = 0.0083</t>
    <phoneticPr fontId="1"/>
  </si>
  <si>
    <t>p = 0.0947</t>
    <phoneticPr fontId="1"/>
  </si>
  <si>
    <t>p = 0.9683</t>
    <phoneticPr fontId="1"/>
  </si>
  <si>
    <t>Pre Ctrl vs Pre Adipo-Zip13KO (Zn)</t>
    <phoneticPr fontId="1"/>
  </si>
  <si>
    <t>Mat Ctrl vs Mat Adipo-Zip13KO (Zn)</t>
    <phoneticPr fontId="1"/>
  </si>
  <si>
    <t>Pre Ctrl vs Pre Adipo-Zip13KO (Fe)</t>
    <phoneticPr fontId="1"/>
  </si>
  <si>
    <t>Pre Ctrl vs Mat Ctrl (Fe)</t>
    <phoneticPr fontId="1"/>
  </si>
  <si>
    <t>Pre Adipo-Zip13KO vs Mat Adipo-Zip13KO (Fe)</t>
    <phoneticPr fontId="1"/>
  </si>
  <si>
    <t>Mat Ctrl vs Mat Adipo-Zip13KO (Fe)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</si>
</sst>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0.0_ "/>
    <numFmt numFmtId="178" formatCode="0.000_);[Red]\(0.000\)"/>
    <numFmt numFmtId="179" formatCode="[h]:mm;"/>
    <numFmt numFmtId="180" formatCode="0.0000"/>
    <numFmt numFmtId="181" formatCode="0.0000_ "/>
    <numFmt numFmtId="182" formatCode="0.00000_ "/>
  </numFmts>
  <fonts count="2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Helvetica"/>
      <family val="2"/>
    </font>
    <font>
      <sz val="14"/>
      <color theme="1"/>
      <name val="Helvetica"/>
      <family val="2"/>
    </font>
    <font>
      <sz val="6"/>
      <name val="游ゴシック"/>
      <family val="3"/>
      <charset val="128"/>
    </font>
    <font>
      <b/>
      <sz val="12"/>
      <color theme="1"/>
      <name val="Helvetica"/>
      <family val="2"/>
    </font>
    <font>
      <sz val="11"/>
      <color theme="1"/>
      <name val="Helvetica"/>
      <family val="2"/>
    </font>
    <font>
      <b/>
      <sz val="12"/>
      <color theme="0"/>
      <name val="Helvetica"/>
      <family val="2"/>
    </font>
    <font>
      <b/>
      <sz val="12"/>
      <color rgb="FFFF0000"/>
      <name val="Helvetica"/>
      <family val="2"/>
    </font>
    <font>
      <sz val="20"/>
      <color theme="1"/>
      <name val="Helvetica"/>
      <family val="2"/>
    </font>
    <font>
      <sz val="16"/>
      <color theme="1"/>
      <name val="Helvetica"/>
      <family val="2"/>
    </font>
    <font>
      <sz val="6"/>
      <name val="Tsukushi B Round Gothic Bold"/>
      <family val="2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2"/>
      <color theme="1"/>
      <name val="游ゴシック"/>
      <family val="3"/>
      <charset val="128"/>
      <scheme val="minor"/>
    </font>
    <font>
      <sz val="11"/>
      <name val="Helvetica"/>
      <family val="2"/>
    </font>
    <font>
      <sz val="10"/>
      <name val="MS UI Gothic"/>
      <family val="3"/>
      <charset val="128"/>
    </font>
    <font>
      <sz val="12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7" fillId="0" borderId="0"/>
  </cellStyleXfs>
  <cellXfs count="91">
    <xf numFmtId="0" fontId="0" fillId="0" borderId="0" xfId="0">
      <alignment vertical="center"/>
    </xf>
    <xf numFmtId="0" fontId="4" fillId="0" borderId="0" xfId="2" applyFont="1">
      <alignment vertical="center"/>
    </xf>
    <xf numFmtId="0" fontId="4" fillId="0" borderId="3" xfId="2" applyFont="1" applyBorder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 applyAlignment="1"/>
    <xf numFmtId="0" fontId="4" fillId="0" borderId="4" xfId="0" applyFont="1" applyBorder="1" applyAlignment="1"/>
    <xf numFmtId="0" fontId="4" fillId="0" borderId="1" xfId="0" applyFont="1" applyBorder="1" applyAlignment="1"/>
    <xf numFmtId="0" fontId="8" fillId="0" borderId="1" xfId="1" applyFont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7" fillId="0" borderId="5" xfId="1" applyFont="1" applyBorder="1" applyAlignment="1">
      <alignment horizontal="center"/>
    </xf>
    <xf numFmtId="176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/>
    </xf>
    <xf numFmtId="0" fontId="10" fillId="0" borderId="0" xfId="0" applyFont="1">
      <alignment vertical="center"/>
    </xf>
    <xf numFmtId="0" fontId="8" fillId="0" borderId="0" xfId="1" applyFont="1" applyAlignment="1">
      <alignment horizontal="center"/>
    </xf>
    <xf numFmtId="0" fontId="11" fillId="0" borderId="3" xfId="0" applyFont="1" applyBorder="1">
      <alignment vertical="center"/>
    </xf>
    <xf numFmtId="0" fontId="12" fillId="0" borderId="3" xfId="0" applyFont="1" applyBorder="1">
      <alignment vertical="center"/>
    </xf>
    <xf numFmtId="177" fontId="11" fillId="0" borderId="3" xfId="0" applyNumberFormat="1" applyFont="1" applyBorder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>
      <alignment vertical="center"/>
    </xf>
    <xf numFmtId="0" fontId="11" fillId="0" borderId="3" xfId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79" fontId="4" fillId="0" borderId="3" xfId="0" applyNumberFormat="1" applyFont="1" applyBorder="1" applyAlignment="1"/>
    <xf numFmtId="0" fontId="4" fillId="0" borderId="3" xfId="0" applyFont="1" applyBorder="1" applyAlignment="1"/>
    <xf numFmtId="178" fontId="4" fillId="0" borderId="0" xfId="2" applyNumberFormat="1" applyFont="1" applyAlignment="1"/>
    <xf numFmtId="0" fontId="0" fillId="0" borderId="0" xfId="0" applyAlignment="1"/>
    <xf numFmtId="180" fontId="0" fillId="0" borderId="0" xfId="0" applyNumberFormat="1" applyAlignment="1"/>
    <xf numFmtId="0" fontId="5" fillId="0" borderId="0" xfId="0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4" fillId="0" borderId="6" xfId="2" applyFont="1" applyBorder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78" fontId="4" fillId="0" borderId="0" xfId="0" applyNumberFormat="1" applyFont="1">
      <alignment vertical="center"/>
    </xf>
    <xf numFmtId="179" fontId="0" fillId="0" borderId="0" xfId="0" applyNumberFormat="1" applyAlignment="1"/>
    <xf numFmtId="181" fontId="11" fillId="0" borderId="3" xfId="0" applyNumberFormat="1" applyFont="1" applyBorder="1">
      <alignment vertical="center"/>
    </xf>
    <xf numFmtId="182" fontId="11" fillId="0" borderId="3" xfId="0" applyNumberFormat="1" applyFont="1" applyBorder="1">
      <alignment vertical="center"/>
    </xf>
    <xf numFmtId="181" fontId="11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7" fillId="0" borderId="3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22" fillId="0" borderId="0" xfId="0" applyFont="1" applyAlignment="1">
      <alignment horizontal="left"/>
    </xf>
    <xf numFmtId="0" fontId="22" fillId="0" borderId="0" xfId="0" applyFont="1" applyAlignme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23" fillId="0" borderId="0" xfId="0" applyFont="1" applyAlignment="1"/>
    <xf numFmtId="0" fontId="23" fillId="0" borderId="0" xfId="0" applyFont="1" applyAlignment="1">
      <alignment horizontal="left"/>
    </xf>
    <xf numFmtId="0" fontId="0" fillId="0" borderId="0" xfId="0" applyFont="1">
      <alignment vertical="center"/>
    </xf>
  </cellXfs>
  <cellStyles count="4">
    <cellStyle name="標準" xfId="0" builtinId="0"/>
    <cellStyle name="標準 2" xfId="2" xr:uid="{00000000-0005-0000-0000-000001000000}"/>
    <cellStyle name="標準 2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F5374"/>
      <color rgb="FF15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3"/>
  <sheetViews>
    <sheetView workbookViewId="0">
      <selection activeCell="D14" sqref="D14"/>
    </sheetView>
  </sheetViews>
  <sheetFormatPr baseColWidth="10" defaultColWidth="11.5703125" defaultRowHeight="20"/>
  <cols>
    <col min="2" max="2" width="15.85546875" customWidth="1"/>
    <col min="4" max="4" width="17.28515625" customWidth="1"/>
    <col min="5" max="5" width="16.7109375" customWidth="1"/>
    <col min="6" max="6" width="16.5703125" customWidth="1"/>
  </cols>
  <sheetData>
    <row r="2" spans="2:6">
      <c r="B2" s="3"/>
      <c r="C2" s="5"/>
      <c r="D2" s="5" t="s">
        <v>43</v>
      </c>
      <c r="E2" s="5" t="s">
        <v>44</v>
      </c>
      <c r="F2" s="5" t="s">
        <v>45</v>
      </c>
    </row>
    <row r="3" spans="2:6">
      <c r="B3" s="52" t="s">
        <v>3</v>
      </c>
      <c r="C3" s="5">
        <v>98</v>
      </c>
      <c r="D3" s="5">
        <v>1.003533349659419</v>
      </c>
      <c r="E3" s="5">
        <v>0.95774476409322595</v>
      </c>
      <c r="F3" s="5">
        <v>0.92096679081237554</v>
      </c>
    </row>
    <row r="4" spans="2:6">
      <c r="B4" s="53"/>
      <c r="C4" s="5">
        <v>123</v>
      </c>
      <c r="D4" s="5">
        <v>0.53149131762883206</v>
      </c>
      <c r="E4" s="5">
        <v>1.1373418088462668</v>
      </c>
      <c r="F4" s="5">
        <v>1.2340624770407618</v>
      </c>
    </row>
    <row r="5" spans="2:6">
      <c r="B5" s="53"/>
      <c r="C5" s="5">
        <v>130</v>
      </c>
      <c r="D5" s="5">
        <v>1.0081304967053208</v>
      </c>
      <c r="E5" s="5">
        <v>0.61135956192612717</v>
      </c>
      <c r="F5" s="5">
        <v>1.1382976809259793</v>
      </c>
    </row>
    <row r="6" spans="2:6">
      <c r="B6" s="53"/>
      <c r="C6" s="5">
        <v>131</v>
      </c>
      <c r="D6" s="5">
        <v>1.5447012829633977</v>
      </c>
      <c r="E6" s="5">
        <v>1.1309897439628491</v>
      </c>
      <c r="F6" s="5">
        <v>0.88465192612233423</v>
      </c>
    </row>
    <row r="7" spans="2:6">
      <c r="B7" s="54"/>
      <c r="C7" s="5">
        <v>165</v>
      </c>
      <c r="D7" s="5">
        <v>0.91214355304302996</v>
      </c>
      <c r="E7" s="5">
        <v>1.1625641211715303</v>
      </c>
      <c r="F7" s="5">
        <v>0.82202112509854941</v>
      </c>
    </row>
    <row r="8" spans="2:6">
      <c r="B8" s="52" t="s">
        <v>4</v>
      </c>
      <c r="C8" s="5">
        <v>88</v>
      </c>
      <c r="D8" s="5">
        <v>0.14936881192368903</v>
      </c>
      <c r="E8" s="5">
        <v>0.23694422596708137</v>
      </c>
      <c r="F8" s="5">
        <v>5.2029826260599661E-2</v>
      </c>
    </row>
    <row r="9" spans="2:6">
      <c r="B9" s="53"/>
      <c r="C9" s="5">
        <v>137</v>
      </c>
      <c r="D9" s="5">
        <v>0.41180361836858231</v>
      </c>
      <c r="E9" s="5">
        <v>0.2497099110768079</v>
      </c>
      <c r="F9" s="5">
        <v>3.7924331545819832E-2</v>
      </c>
    </row>
    <row r="10" spans="2:6">
      <c r="B10" s="53"/>
      <c r="C10" s="5">
        <v>138</v>
      </c>
      <c r="D10" s="5">
        <v>0.43143130802918567</v>
      </c>
      <c r="E10" s="5">
        <v>0.22774273476811191</v>
      </c>
      <c r="F10" s="5">
        <v>6.6334997891083949E-2</v>
      </c>
    </row>
    <row r="11" spans="2:6">
      <c r="B11" s="54"/>
      <c r="C11" s="5">
        <v>169</v>
      </c>
      <c r="D11" s="5">
        <v>0.79636253409784774</v>
      </c>
      <c r="E11" s="5">
        <v>0.2440496421677705</v>
      </c>
      <c r="F11" s="5">
        <v>7.3765324587833067E-2</v>
      </c>
    </row>
    <row r="12" spans="2:6">
      <c r="B12" s="3"/>
      <c r="C12" s="3"/>
      <c r="D12" s="3"/>
      <c r="E12" s="3"/>
      <c r="F12" s="3"/>
    </row>
    <row r="13" spans="2:6">
      <c r="B13" s="3" t="s">
        <v>161</v>
      </c>
      <c r="C13" s="3"/>
      <c r="D13" s="3" t="s">
        <v>191</v>
      </c>
      <c r="E13" s="3" t="s">
        <v>190</v>
      </c>
      <c r="F13" s="88" t="s">
        <v>162</v>
      </c>
    </row>
  </sheetData>
  <mergeCells count="2">
    <mergeCell ref="B8:B11"/>
    <mergeCell ref="B3:B7"/>
  </mergeCells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12"/>
  <sheetViews>
    <sheetView workbookViewId="0">
      <selection activeCell="D24" sqref="D24"/>
    </sheetView>
  </sheetViews>
  <sheetFormatPr baseColWidth="10" defaultColWidth="11.5703125" defaultRowHeight="20"/>
  <cols>
    <col min="2" max="2" width="18" customWidth="1"/>
    <col min="3" max="3" width="15.140625" customWidth="1"/>
  </cols>
  <sheetData>
    <row r="2" spans="2:5">
      <c r="B2" s="3"/>
      <c r="C2" s="3"/>
      <c r="D2" s="5" t="s">
        <v>70</v>
      </c>
      <c r="E2" s="5" t="s">
        <v>71</v>
      </c>
    </row>
    <row r="3" spans="2:5">
      <c r="B3" s="52" t="s">
        <v>73</v>
      </c>
      <c r="C3" s="52" t="s">
        <v>3</v>
      </c>
      <c r="D3" s="5">
        <v>1.6282733812949639E-5</v>
      </c>
      <c r="E3" s="5">
        <v>1.760431654676259E-5</v>
      </c>
    </row>
    <row r="4" spans="2:5">
      <c r="B4" s="53"/>
      <c r="C4" s="53"/>
      <c r="D4" s="5">
        <v>1.826325581395349E-5</v>
      </c>
      <c r="E4" s="5">
        <v>1.9972093023255814E-5</v>
      </c>
    </row>
    <row r="5" spans="2:5">
      <c r="B5" s="53"/>
      <c r="C5" s="53"/>
      <c r="D5" s="5">
        <v>1.5790677966101695E-5</v>
      </c>
      <c r="E5" s="5">
        <v>1.9042372881355931E-5</v>
      </c>
    </row>
    <row r="6" spans="2:5">
      <c r="B6" s="53"/>
      <c r="C6" s="54"/>
      <c r="D6" s="5">
        <v>1.8877884615384616E-5</v>
      </c>
      <c r="E6" s="5">
        <v>2.2567307692307691E-5</v>
      </c>
    </row>
    <row r="7" spans="2:5">
      <c r="B7" s="53"/>
      <c r="C7" s="52" t="s">
        <v>4</v>
      </c>
      <c r="D7" s="5">
        <v>1.5412799999999999E-5</v>
      </c>
      <c r="E7" s="5">
        <v>2.3151999999999998E-5</v>
      </c>
    </row>
    <row r="8" spans="2:5">
      <c r="B8" s="53"/>
      <c r="C8" s="53"/>
      <c r="D8" s="5">
        <v>1.3663829787234043E-5</v>
      </c>
      <c r="E8" s="5">
        <v>1.9106382978723411E-5</v>
      </c>
    </row>
    <row r="9" spans="2:5">
      <c r="B9" s="53"/>
      <c r="C9" s="53"/>
      <c r="D9" s="5">
        <v>1.7234074074074075E-5</v>
      </c>
      <c r="E9" s="5">
        <v>1.9955555555555564E-5</v>
      </c>
    </row>
    <row r="10" spans="2:5">
      <c r="B10" s="54"/>
      <c r="C10" s="54"/>
      <c r="D10" s="5">
        <v>1.9128104575163399E-5</v>
      </c>
      <c r="E10" s="5">
        <v>2.283660130718954E-5</v>
      </c>
    </row>
    <row r="11" spans="2:5">
      <c r="B11" s="3"/>
      <c r="C11" s="3"/>
      <c r="D11" s="3"/>
      <c r="E11" s="3"/>
    </row>
    <row r="12" spans="2:5">
      <c r="B12" s="3" t="s">
        <v>188</v>
      </c>
      <c r="C12" s="3"/>
      <c r="D12" s="90" t="s">
        <v>198</v>
      </c>
      <c r="E12" s="3" t="s">
        <v>189</v>
      </c>
    </row>
  </sheetData>
  <mergeCells count="3">
    <mergeCell ref="B3:B10"/>
    <mergeCell ref="C3:C6"/>
    <mergeCell ref="C7:C10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D43"/>
  <sheetViews>
    <sheetView workbookViewId="0">
      <selection activeCell="C25" sqref="C25"/>
    </sheetView>
  </sheetViews>
  <sheetFormatPr baseColWidth="10" defaultColWidth="11.5703125" defaultRowHeight="20"/>
  <cols>
    <col min="2" max="2" width="15.140625" customWidth="1"/>
    <col min="3" max="3" width="14" bestFit="1" customWidth="1"/>
    <col min="4" max="4" width="13.5703125" bestFit="1" customWidth="1"/>
  </cols>
  <sheetData>
    <row r="3" spans="2:4">
      <c r="B3" s="1"/>
      <c r="C3" s="2" t="s">
        <v>60</v>
      </c>
      <c r="D3" s="2" t="s">
        <v>61</v>
      </c>
    </row>
    <row r="4" spans="2:4">
      <c r="B4" s="57" t="s">
        <v>3</v>
      </c>
      <c r="C4" s="5">
        <v>847.31675395043533</v>
      </c>
      <c r="D4" s="5">
        <v>2876.8869347129789</v>
      </c>
    </row>
    <row r="5" spans="2:4">
      <c r="B5" s="57"/>
      <c r="C5" s="5">
        <v>500.34360190794678</v>
      </c>
      <c r="D5" s="5">
        <v>2924.1164383621726</v>
      </c>
    </row>
    <row r="6" spans="2:4">
      <c r="B6" s="57"/>
      <c r="C6" s="5">
        <v>581.24345551366309</v>
      </c>
      <c r="D6" s="5">
        <v>2637.2123287725422</v>
      </c>
    </row>
    <row r="7" spans="2:4">
      <c r="B7" s="57"/>
      <c r="C7" s="5">
        <v>523.28199053409901</v>
      </c>
      <c r="D7" s="5">
        <v>3326.1250000582077</v>
      </c>
    </row>
    <row r="8" spans="2:4">
      <c r="B8" s="57"/>
      <c r="C8" s="5">
        <v>677.55535056488145</v>
      </c>
      <c r="D8" s="5">
        <v>4082.5611354087951</v>
      </c>
    </row>
    <row r="9" spans="2:4">
      <c r="B9" s="57"/>
      <c r="C9" s="5">
        <v>849.41123189790699</v>
      </c>
      <c r="D9" s="5">
        <v>2650.3653845851436</v>
      </c>
    </row>
    <row r="10" spans="2:4">
      <c r="B10" s="57"/>
      <c r="C10" s="5">
        <v>761.73007247618773</v>
      </c>
      <c r="D10" s="5">
        <v>2733.8684211101863</v>
      </c>
    </row>
    <row r="11" spans="2:4">
      <c r="B11" s="57"/>
      <c r="C11" s="5">
        <v>1076.2250996219602</v>
      </c>
      <c r="D11" s="5">
        <v>3074.2236181327808</v>
      </c>
    </row>
    <row r="12" spans="2:4">
      <c r="B12" s="57"/>
      <c r="C12" s="5">
        <v>965.34860559595779</v>
      </c>
      <c r="D12" s="5">
        <v>2736.399456525457</v>
      </c>
    </row>
    <row r="13" spans="2:4">
      <c r="B13" s="57"/>
      <c r="C13" s="5">
        <v>2394.6912351050787</v>
      </c>
      <c r="D13" s="5">
        <v>3912.8966480320141</v>
      </c>
    </row>
    <row r="14" spans="2:4">
      <c r="B14" s="57" t="s">
        <v>4</v>
      </c>
      <c r="C14" s="5">
        <v>2017.5284900500449</v>
      </c>
      <c r="D14" s="5">
        <v>790.1293604493826</v>
      </c>
    </row>
    <row r="15" spans="2:4">
      <c r="B15" s="57"/>
      <c r="C15" s="5">
        <v>2633.3705357448516</v>
      </c>
      <c r="D15" s="5">
        <v>698.08050846434173</v>
      </c>
    </row>
    <row r="16" spans="2:4">
      <c r="B16" s="57"/>
      <c r="C16" s="5">
        <v>1933.1898907293976</v>
      </c>
      <c r="D16" s="5">
        <v>757.91260744896636</v>
      </c>
    </row>
    <row r="17" spans="2:4">
      <c r="B17" s="57"/>
      <c r="C17" s="5">
        <v>2044.117250693414</v>
      </c>
      <c r="D17" s="5">
        <v>809.90521978484787</v>
      </c>
    </row>
    <row r="18" spans="2:4">
      <c r="B18" s="57"/>
      <c r="C18" s="5">
        <v>1952.0299145507695</v>
      </c>
      <c r="D18" s="5">
        <v>975.34854770719846</v>
      </c>
    </row>
    <row r="19" spans="2:4">
      <c r="B19" s="57"/>
      <c r="C19" s="5">
        <v>3127.1302251221146</v>
      </c>
      <c r="D19" s="5">
        <v>1028.2281976707122</v>
      </c>
    </row>
    <row r="20" spans="2:4">
      <c r="B20" s="57"/>
      <c r="C20" s="5">
        <v>191.00453172433373</v>
      </c>
      <c r="D20" s="5">
        <v>900.97564468359917</v>
      </c>
    </row>
    <row r="21" spans="2:4">
      <c r="B21" s="57"/>
      <c r="C21" s="5">
        <v>178.20996979064628</v>
      </c>
      <c r="D21" s="5">
        <v>733.67548745627062</v>
      </c>
    </row>
    <row r="22" spans="2:4">
      <c r="B22" s="57"/>
      <c r="C22" s="5">
        <v>228.38319088563088</v>
      </c>
      <c r="D22" s="5">
        <v>701.67629179732262</v>
      </c>
    </row>
    <row r="23" spans="2:4">
      <c r="B23" s="57"/>
      <c r="C23" s="5">
        <v>173.1930051828727</v>
      </c>
      <c r="D23" s="5">
        <v>896.26781002392579</v>
      </c>
    </row>
    <row r="24" spans="2:4">
      <c r="B24" s="1"/>
      <c r="C24" s="29"/>
      <c r="D24" s="1"/>
    </row>
    <row r="25" spans="2:4">
      <c r="B25" s="1" t="s">
        <v>128</v>
      </c>
      <c r="C25" s="3" t="s">
        <v>199</v>
      </c>
      <c r="D25" s="88" t="s">
        <v>162</v>
      </c>
    </row>
    <row r="26" spans="2:4">
      <c r="B26" s="1"/>
    </row>
    <row r="27" spans="2:4">
      <c r="B27" s="1"/>
      <c r="C27" s="29"/>
      <c r="D27" s="1"/>
    </row>
    <row r="28" spans="2:4">
      <c r="B28" s="30"/>
      <c r="C28" s="29"/>
      <c r="D28" s="1"/>
    </row>
    <row r="29" spans="2:4">
      <c r="B29" s="1"/>
      <c r="C29" s="29"/>
      <c r="D29" s="1"/>
    </row>
    <row r="30" spans="2:4">
      <c r="B30" s="1"/>
      <c r="C30" s="29"/>
      <c r="D30" s="1"/>
    </row>
    <row r="31" spans="2:4">
      <c r="B31" s="1"/>
      <c r="C31" s="29"/>
      <c r="D31" s="1"/>
    </row>
    <row r="32" spans="2:4">
      <c r="B32" s="1"/>
      <c r="C32" s="29"/>
      <c r="D32" s="1"/>
    </row>
    <row r="33" spans="2:4">
      <c r="B33" s="1"/>
      <c r="C33" s="29"/>
      <c r="D33" s="1"/>
    </row>
    <row r="34" spans="2:4">
      <c r="B34" s="1"/>
      <c r="C34" s="29"/>
      <c r="D34" s="1"/>
    </row>
    <row r="35" spans="2:4">
      <c r="B35" s="1"/>
      <c r="C35" s="29"/>
      <c r="D35" s="1"/>
    </row>
    <row r="36" spans="2:4">
      <c r="B36" s="30"/>
      <c r="C36" s="29"/>
      <c r="D36" s="1"/>
    </row>
    <row r="37" spans="2:4">
      <c r="B37" s="1"/>
      <c r="C37" s="29"/>
      <c r="D37" s="1"/>
    </row>
    <row r="38" spans="2:4">
      <c r="B38" s="1"/>
      <c r="C38" s="29"/>
      <c r="D38" s="1"/>
    </row>
    <row r="39" spans="2:4">
      <c r="B39" s="1"/>
      <c r="C39" s="29"/>
      <c r="D39" s="1"/>
    </row>
    <row r="40" spans="2:4">
      <c r="B40" s="1"/>
      <c r="C40" s="29"/>
      <c r="D40" s="1"/>
    </row>
    <row r="41" spans="2:4">
      <c r="B41" s="1"/>
      <c r="C41" s="29"/>
      <c r="D41" s="1"/>
    </row>
    <row r="42" spans="2:4">
      <c r="B42" s="1"/>
      <c r="C42" s="29"/>
      <c r="D42" s="1"/>
    </row>
    <row r="43" spans="2:4">
      <c r="B43" s="1"/>
      <c r="C43" s="29"/>
      <c r="D43" s="1"/>
    </row>
  </sheetData>
  <mergeCells count="2">
    <mergeCell ref="B14:B23"/>
    <mergeCell ref="B4:B13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27"/>
  <sheetViews>
    <sheetView workbookViewId="0">
      <selection activeCell="G26" sqref="G26"/>
    </sheetView>
  </sheetViews>
  <sheetFormatPr baseColWidth="10" defaultColWidth="11.5703125" defaultRowHeight="20"/>
  <cols>
    <col min="1" max="1" width="15.85546875" customWidth="1"/>
    <col min="3" max="3" width="13.28515625" customWidth="1"/>
    <col min="4" max="4" width="13.42578125" customWidth="1"/>
    <col min="5" max="5" width="14.28515625" customWidth="1"/>
    <col min="6" max="6" width="14" customWidth="1"/>
  </cols>
  <sheetData>
    <row r="2" spans="1:7">
      <c r="A2" s="3"/>
      <c r="B2" s="3"/>
      <c r="C2" s="5" t="s">
        <v>86</v>
      </c>
      <c r="D2" s="5" t="s">
        <v>87</v>
      </c>
      <c r="E2" s="5" t="s">
        <v>88</v>
      </c>
      <c r="F2" s="5" t="s">
        <v>89</v>
      </c>
      <c r="G2" s="5" t="s">
        <v>90</v>
      </c>
    </row>
    <row r="3" spans="1:7">
      <c r="A3" s="52" t="s">
        <v>3</v>
      </c>
      <c r="B3" s="55" t="s">
        <v>91</v>
      </c>
      <c r="C3" s="5">
        <v>1.3955366976446106</v>
      </c>
      <c r="D3" s="5">
        <v>2.4804544914596787</v>
      </c>
      <c r="E3" s="5">
        <v>0.71613039923538402</v>
      </c>
      <c r="F3" s="5">
        <v>0.15921511728331086</v>
      </c>
      <c r="G3" s="5">
        <v>0.60912303328304973</v>
      </c>
    </row>
    <row r="4" spans="1:7">
      <c r="A4" s="53"/>
      <c r="B4" s="55"/>
      <c r="C4" s="5">
        <v>0.58943606898288581</v>
      </c>
      <c r="D4" s="5">
        <v>2.9308808823305608</v>
      </c>
      <c r="E4" s="5">
        <v>0.78475297327251803</v>
      </c>
      <c r="F4" s="5">
        <v>0.28762948122255849</v>
      </c>
      <c r="G4" s="5">
        <v>0.87530841041817642</v>
      </c>
    </row>
    <row r="5" spans="1:7">
      <c r="A5" s="53"/>
      <c r="B5" s="55"/>
      <c r="C5" s="5">
        <v>0.50782118487053185</v>
      </c>
      <c r="D5" s="5">
        <v>3.5464673053459257</v>
      </c>
      <c r="E5" s="5">
        <v>0.92477366091932234</v>
      </c>
      <c r="F5" s="5">
        <v>0.48369866404435458</v>
      </c>
      <c r="G5" s="5">
        <v>1.0769533398182913</v>
      </c>
    </row>
    <row r="6" spans="1:7">
      <c r="A6" s="53"/>
      <c r="B6" s="55"/>
      <c r="C6" s="5">
        <v>0.38878361663415073</v>
      </c>
      <c r="D6" s="5">
        <v>2.0665429092045988</v>
      </c>
      <c r="E6" s="5">
        <v>0.96755151999449651</v>
      </c>
      <c r="F6" s="5">
        <v>0.575630336347289</v>
      </c>
      <c r="G6" s="5">
        <v>1.1309221361348172</v>
      </c>
    </row>
    <row r="7" spans="1:7">
      <c r="A7" s="54"/>
      <c r="B7" s="55"/>
      <c r="C7" s="5">
        <v>0.28570946511592415</v>
      </c>
      <c r="D7" s="5">
        <v>2.3735533253823138</v>
      </c>
      <c r="E7" s="5">
        <v>0.92648995784368593</v>
      </c>
      <c r="F7" s="5">
        <v>0.93237401180801616</v>
      </c>
      <c r="G7" s="5">
        <v>1.2664865752971435</v>
      </c>
    </row>
    <row r="8" spans="1:7">
      <c r="A8" s="64" t="s">
        <v>4</v>
      </c>
      <c r="B8" s="55" t="s">
        <v>91</v>
      </c>
      <c r="C8" s="5">
        <v>0.28199148693095116</v>
      </c>
      <c r="D8" s="5">
        <v>2.4525743697255944</v>
      </c>
      <c r="E8" s="5">
        <v>1.493445001393706</v>
      </c>
      <c r="F8" s="5">
        <v>0.97960325398732973</v>
      </c>
      <c r="G8" s="5">
        <v>2.1045955657028794</v>
      </c>
    </row>
    <row r="9" spans="1:7">
      <c r="A9" s="65"/>
      <c r="B9" s="55"/>
      <c r="C9" s="5">
        <v>0.28624412306949781</v>
      </c>
      <c r="D9" s="5">
        <v>2.7818302670285426</v>
      </c>
      <c r="E9" s="5">
        <v>1.7129555170394015</v>
      </c>
      <c r="F9" s="5">
        <v>0.9755593422588017</v>
      </c>
      <c r="G9" s="5">
        <v>1.7294533261455247</v>
      </c>
    </row>
    <row r="10" spans="1:7">
      <c r="A10" s="65"/>
      <c r="B10" s="55"/>
      <c r="C10" s="5">
        <v>0.23014439812527723</v>
      </c>
      <c r="D10" s="5">
        <v>2.6127372488248595</v>
      </c>
      <c r="E10" s="5">
        <v>0.92742512327717397</v>
      </c>
      <c r="F10" s="5">
        <v>0.52594880226107987</v>
      </c>
      <c r="G10" s="5">
        <v>1.1878909807094107</v>
      </c>
    </row>
    <row r="11" spans="1:7">
      <c r="A11" s="65"/>
      <c r="B11" s="55"/>
      <c r="C11" s="5">
        <v>0.31716765269030789</v>
      </c>
      <c r="D11" s="5">
        <v>1.9922119363963229</v>
      </c>
      <c r="E11" s="5">
        <v>1.2303719631718195</v>
      </c>
      <c r="F11" s="5">
        <v>0.8523882432745602</v>
      </c>
      <c r="G11" s="5">
        <v>0.79707822970780784</v>
      </c>
    </row>
    <row r="12" spans="1:7">
      <c r="A12" s="65"/>
      <c r="B12" s="55"/>
      <c r="C12" s="5">
        <v>0.16611599798112422</v>
      </c>
      <c r="D12" s="5">
        <v>1.6764310046896325</v>
      </c>
      <c r="E12" s="5">
        <v>1.0169482303911683</v>
      </c>
      <c r="F12" s="5">
        <v>0.53867675725260855</v>
      </c>
      <c r="G12" s="5">
        <v>0.75147313855971909</v>
      </c>
    </row>
    <row r="13" spans="1:7">
      <c r="A13" s="64" t="s">
        <v>3</v>
      </c>
      <c r="B13" s="55" t="s">
        <v>92</v>
      </c>
      <c r="C13" s="5">
        <v>0.39853065668210425</v>
      </c>
      <c r="D13" s="5">
        <v>0.23932791688256436</v>
      </c>
      <c r="E13" s="5">
        <v>0.22393307636204063</v>
      </c>
      <c r="F13" s="5">
        <v>0.35461502974958309</v>
      </c>
      <c r="G13" s="5">
        <v>0.53366273531259778</v>
      </c>
    </row>
    <row r="14" spans="1:7">
      <c r="A14" s="65"/>
      <c r="B14" s="55"/>
      <c r="C14" s="5">
        <v>0.24487716440599502</v>
      </c>
      <c r="D14" s="5">
        <v>0.20621367934875454</v>
      </c>
      <c r="E14" s="5">
        <v>0.57597451365989605</v>
      </c>
      <c r="F14" s="5">
        <v>0.45762988155164341</v>
      </c>
      <c r="G14" s="5">
        <v>0.66702390685520885</v>
      </c>
    </row>
    <row r="15" spans="1:7">
      <c r="A15" s="65"/>
      <c r="B15" s="55"/>
      <c r="C15" s="5">
        <v>0.24204941287391152</v>
      </c>
      <c r="D15" s="5">
        <v>0.19937060003366811</v>
      </c>
      <c r="E15" s="5">
        <v>0.85131261637443856</v>
      </c>
      <c r="F15" s="5">
        <v>0.66431219679585407</v>
      </c>
      <c r="G15" s="5">
        <v>0.51974446773092897</v>
      </c>
    </row>
    <row r="16" spans="1:7">
      <c r="A16" s="65"/>
      <c r="B16" s="55"/>
      <c r="C16" s="5">
        <v>0.4940776393034369</v>
      </c>
      <c r="D16" s="5">
        <v>0.32755582722941129</v>
      </c>
      <c r="E16" s="5">
        <v>0.77231505964716651</v>
      </c>
      <c r="F16" s="5">
        <v>0.51500235599083766</v>
      </c>
      <c r="G16" s="5">
        <v>0.83866746509143708</v>
      </c>
    </row>
    <row r="17" spans="1:7">
      <c r="A17" s="65"/>
      <c r="B17" s="55"/>
      <c r="C17" s="5">
        <v>0.31508736190576425</v>
      </c>
      <c r="D17" s="5">
        <v>0.23834376145197841</v>
      </c>
      <c r="E17" s="5">
        <v>0.56193256883630227</v>
      </c>
      <c r="F17" s="5">
        <v>0.3218674531611182</v>
      </c>
      <c r="G17" s="5">
        <v>0.51864727269694877</v>
      </c>
    </row>
    <row r="18" spans="1:7">
      <c r="A18" s="65"/>
      <c r="B18" s="55"/>
      <c r="C18" s="5">
        <v>0.24188704215542825</v>
      </c>
      <c r="D18" s="5">
        <v>0.21295060237687513</v>
      </c>
      <c r="E18" s="5">
        <v>0.46522976852438097</v>
      </c>
      <c r="F18" s="5">
        <v>0.38884480539187188</v>
      </c>
      <c r="G18" s="5">
        <v>0.57341132004097028</v>
      </c>
    </row>
    <row r="19" spans="1:7">
      <c r="A19" s="55" t="s">
        <v>4</v>
      </c>
      <c r="B19" s="55" t="s">
        <v>92</v>
      </c>
      <c r="C19" s="5">
        <v>0.20820915213266897</v>
      </c>
      <c r="D19" s="5">
        <v>0.30940822721779432</v>
      </c>
      <c r="E19" s="5">
        <v>1.5622133647619598</v>
      </c>
      <c r="F19" s="5">
        <v>0.7101958648872585</v>
      </c>
      <c r="G19" s="5">
        <v>1.4579589198962257</v>
      </c>
    </row>
    <row r="20" spans="1:7">
      <c r="A20" s="55"/>
      <c r="B20" s="55"/>
      <c r="C20" s="5">
        <v>0.13479556821870889</v>
      </c>
      <c r="D20" s="5">
        <v>0.14069833084707611</v>
      </c>
      <c r="E20" s="5">
        <v>0.76501248702305824</v>
      </c>
      <c r="F20" s="5">
        <v>0.86236123281995392</v>
      </c>
      <c r="G20" s="5">
        <v>0.53387883865391339</v>
      </c>
    </row>
    <row r="21" spans="1:7">
      <c r="A21" s="55"/>
      <c r="B21" s="55"/>
      <c r="C21" s="5">
        <v>0.18904980634647275</v>
      </c>
      <c r="D21" s="5">
        <v>9.4644713532351002E-2</v>
      </c>
      <c r="E21" s="5">
        <v>0.91312759761904683</v>
      </c>
      <c r="F21" s="5">
        <v>0.44136918644653483</v>
      </c>
      <c r="G21" s="5">
        <v>0.35894014648182254</v>
      </c>
    </row>
    <row r="22" spans="1:7">
      <c r="A22" s="55"/>
      <c r="B22" s="55"/>
      <c r="C22" s="5">
        <v>0.15004775743753815</v>
      </c>
      <c r="D22" s="5">
        <v>4.1454871475888673E-2</v>
      </c>
      <c r="E22" s="5">
        <v>0.97982975042743015</v>
      </c>
      <c r="F22" s="5">
        <v>0.73775836228887448</v>
      </c>
      <c r="G22" s="5">
        <v>0.61476842254026975</v>
      </c>
    </row>
    <row r="23" spans="1:7">
      <c r="A23" s="55"/>
      <c r="B23" s="55"/>
      <c r="C23" s="5">
        <v>0.24042721120173902</v>
      </c>
      <c r="D23" s="5">
        <v>4.2989868148622802E-2</v>
      </c>
      <c r="E23" s="5">
        <v>1.0214489289363768</v>
      </c>
      <c r="F23" s="5">
        <v>0.64835513945265499</v>
      </c>
      <c r="G23" s="5">
        <v>0.57589981881935104</v>
      </c>
    </row>
    <row r="24" spans="1:7">
      <c r="A24" s="55"/>
      <c r="B24" s="55"/>
      <c r="C24" s="5">
        <v>0.20667275470240337</v>
      </c>
      <c r="D24" s="5">
        <v>6.0668494240583133E-2</v>
      </c>
      <c r="E24" s="5">
        <v>1.1833421335132999</v>
      </c>
      <c r="F24" s="5">
        <v>0.66933546021519463</v>
      </c>
      <c r="G24" s="5">
        <v>0.41630905436701132</v>
      </c>
    </row>
    <row r="25" spans="1:7">
      <c r="A25" s="3"/>
      <c r="B25" s="3"/>
      <c r="C25" s="3"/>
      <c r="D25" s="3"/>
      <c r="E25" s="3"/>
      <c r="F25" s="3"/>
      <c r="G25" s="3"/>
    </row>
    <row r="26" spans="1:7">
      <c r="A26" s="3" t="s">
        <v>200</v>
      </c>
      <c r="B26" s="3"/>
      <c r="C26" s="3" t="s">
        <v>202</v>
      </c>
      <c r="D26" s="3" t="s">
        <v>203</v>
      </c>
      <c r="E26" s="3" t="s">
        <v>204</v>
      </c>
      <c r="F26" s="3" t="s">
        <v>205</v>
      </c>
      <c r="G26" s="3" t="s">
        <v>206</v>
      </c>
    </row>
    <row r="27" spans="1:7">
      <c r="A27" s="3" t="s">
        <v>201</v>
      </c>
      <c r="B27" s="3"/>
      <c r="C27" s="3" t="s">
        <v>207</v>
      </c>
      <c r="D27" s="3" t="s">
        <v>208</v>
      </c>
      <c r="E27" s="3" t="s">
        <v>209</v>
      </c>
      <c r="F27" s="3" t="s">
        <v>210</v>
      </c>
      <c r="G27" s="3" t="s">
        <v>211</v>
      </c>
    </row>
  </sheetData>
  <mergeCells count="8">
    <mergeCell ref="A19:A24"/>
    <mergeCell ref="B3:B7"/>
    <mergeCell ref="B8:B12"/>
    <mergeCell ref="B13:B18"/>
    <mergeCell ref="B19:B24"/>
    <mergeCell ref="A3:A7"/>
    <mergeCell ref="A8:A12"/>
    <mergeCell ref="A13:A18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E31"/>
  <sheetViews>
    <sheetView workbookViewId="0">
      <selection activeCell="E28" sqref="E28"/>
    </sheetView>
  </sheetViews>
  <sheetFormatPr baseColWidth="10" defaultColWidth="11.5703125" defaultRowHeight="20"/>
  <cols>
    <col min="2" max="2" width="15.7109375" customWidth="1"/>
    <col min="4" max="4" width="14.7109375" customWidth="1"/>
  </cols>
  <sheetData>
    <row r="2" spans="2:4">
      <c r="B2" s="3"/>
      <c r="C2" s="3"/>
      <c r="D2" s="5" t="s">
        <v>12</v>
      </c>
    </row>
    <row r="3" spans="2:4">
      <c r="B3" s="57" t="s">
        <v>13</v>
      </c>
      <c r="C3" s="72" t="s">
        <v>14</v>
      </c>
      <c r="D3" s="5">
        <v>3.2695321713526199E-3</v>
      </c>
    </row>
    <row r="4" spans="2:4">
      <c r="B4" s="57"/>
      <c r="C4" s="73"/>
      <c r="D4" s="5">
        <v>2.5047682927083368E-3</v>
      </c>
    </row>
    <row r="5" spans="2:4">
      <c r="B5" s="57"/>
      <c r="C5" s="73"/>
      <c r="D5" s="5">
        <v>1.7160062410739409E-3</v>
      </c>
    </row>
    <row r="6" spans="2:4">
      <c r="B6" s="57"/>
      <c r="C6" s="74"/>
      <c r="D6" s="5">
        <v>1.8372793125283678E-3</v>
      </c>
    </row>
    <row r="7" spans="2:4">
      <c r="B7" s="57"/>
      <c r="C7" s="72" t="s">
        <v>15</v>
      </c>
      <c r="D7" s="5">
        <v>3.1181292382288163E-3</v>
      </c>
    </row>
    <row r="8" spans="2:4">
      <c r="B8" s="57"/>
      <c r="C8" s="73"/>
      <c r="D8" s="5">
        <v>3.123298196870104E-3</v>
      </c>
    </row>
    <row r="9" spans="2:4">
      <c r="B9" s="57"/>
      <c r="C9" s="73"/>
      <c r="D9" s="5">
        <v>3.5775406471471511E-3</v>
      </c>
    </row>
    <row r="10" spans="2:4">
      <c r="B10" s="57"/>
      <c r="C10" s="74"/>
      <c r="D10" s="5">
        <v>3.5223317884781019E-3</v>
      </c>
    </row>
    <row r="11" spans="2:4">
      <c r="B11" s="57"/>
      <c r="C11" s="72" t="s">
        <v>16</v>
      </c>
      <c r="D11" s="5">
        <v>1.858129745330605E-3</v>
      </c>
    </row>
    <row r="12" spans="2:4">
      <c r="B12" s="57"/>
      <c r="C12" s="73"/>
      <c r="D12" s="5">
        <v>1.2521692491517583E-3</v>
      </c>
    </row>
    <row r="13" spans="2:4">
      <c r="B13" s="57"/>
      <c r="C13" s="73"/>
      <c r="D13" s="5">
        <v>7.1727155251408126E-4</v>
      </c>
    </row>
    <row r="14" spans="2:4">
      <c r="B14" s="69"/>
      <c r="C14" s="74"/>
      <c r="D14" s="5">
        <v>8.2339880312146628E-4</v>
      </c>
    </row>
    <row r="15" spans="2:4">
      <c r="B15" s="69" t="s">
        <v>10</v>
      </c>
      <c r="C15" s="66" t="s">
        <v>17</v>
      </c>
      <c r="D15" s="5">
        <v>1.038522501468814E-3</v>
      </c>
    </row>
    <row r="16" spans="2:4">
      <c r="B16" s="70"/>
      <c r="C16" s="67"/>
      <c r="D16" s="5">
        <v>1.6104755619594634E-3</v>
      </c>
    </row>
    <row r="17" spans="2:5">
      <c r="B17" s="70"/>
      <c r="C17" s="67"/>
      <c r="D17" s="5">
        <v>2.2147984072707631E-3</v>
      </c>
    </row>
    <row r="18" spans="2:5">
      <c r="B18" s="70"/>
      <c r="C18" s="68"/>
      <c r="D18" s="5">
        <v>2.6440354833295694E-3</v>
      </c>
    </row>
    <row r="19" spans="2:5">
      <c r="B19" s="70"/>
      <c r="C19" s="66" t="s">
        <v>15</v>
      </c>
      <c r="D19" s="5">
        <v>4.4350472880156661E-3</v>
      </c>
    </row>
    <row r="20" spans="2:5">
      <c r="B20" s="70"/>
      <c r="C20" s="67"/>
      <c r="D20" s="5">
        <v>4.1627577933547174E-3</v>
      </c>
    </row>
    <row r="21" spans="2:5">
      <c r="B21" s="70"/>
      <c r="C21" s="67"/>
      <c r="D21" s="5">
        <v>3.8591799005150244E-3</v>
      </c>
    </row>
    <row r="22" spans="2:5">
      <c r="B22" s="70"/>
      <c r="C22" s="68"/>
      <c r="D22" s="5">
        <v>3.9670722639864016E-3</v>
      </c>
    </row>
    <row r="23" spans="2:5">
      <c r="B23" s="70"/>
      <c r="C23" s="66" t="s">
        <v>16</v>
      </c>
      <c r="D23" s="5">
        <v>7.5555382768575398E-4</v>
      </c>
    </row>
    <row r="24" spans="2:5">
      <c r="B24" s="70"/>
      <c r="C24" s="67"/>
      <c r="D24" s="5">
        <v>9.4905951799826747E-4</v>
      </c>
    </row>
    <row r="25" spans="2:5">
      <c r="B25" s="70"/>
      <c r="C25" s="67"/>
      <c r="D25" s="5">
        <v>1.3520045834364079E-3</v>
      </c>
    </row>
    <row r="26" spans="2:5">
      <c r="B26" s="71"/>
      <c r="C26" s="68"/>
      <c r="D26" s="5">
        <v>5.527843843030055E-4</v>
      </c>
    </row>
    <row r="27" spans="2:5">
      <c r="B27" s="3"/>
      <c r="C27" s="3"/>
      <c r="D27" s="3"/>
    </row>
    <row r="28" spans="2:5">
      <c r="B28" s="3" t="s">
        <v>213</v>
      </c>
      <c r="C28" s="3"/>
      <c r="D28" s="3"/>
      <c r="E28" s="3" t="s">
        <v>215</v>
      </c>
    </row>
    <row r="29" spans="2:5">
      <c r="B29" s="89" t="s">
        <v>212</v>
      </c>
      <c r="C29" s="3"/>
      <c r="D29" s="51"/>
      <c r="E29" s="3" t="s">
        <v>216</v>
      </c>
    </row>
    <row r="30" spans="2:5">
      <c r="B30" s="89" t="s">
        <v>214</v>
      </c>
      <c r="C30" s="3"/>
      <c r="D30" s="51"/>
      <c r="E30" s="3" t="s">
        <v>217</v>
      </c>
    </row>
    <row r="31" spans="2:5">
      <c r="B31" s="50"/>
      <c r="D31" s="51"/>
    </row>
  </sheetData>
  <mergeCells count="8">
    <mergeCell ref="C19:C22"/>
    <mergeCell ref="C23:C26"/>
    <mergeCell ref="B15:B26"/>
    <mergeCell ref="B3:B14"/>
    <mergeCell ref="C3:C6"/>
    <mergeCell ref="C7:C10"/>
    <mergeCell ref="C11:C14"/>
    <mergeCell ref="C15:C18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E31"/>
  <sheetViews>
    <sheetView workbookViewId="0">
      <selection activeCell="E30" sqref="E30"/>
    </sheetView>
  </sheetViews>
  <sheetFormatPr baseColWidth="10" defaultColWidth="10.7109375" defaultRowHeight="16"/>
  <cols>
    <col min="1" max="1" width="10.7109375" style="3"/>
    <col min="2" max="2" width="21.28515625" style="3" customWidth="1"/>
    <col min="3" max="16384" width="10.7109375" style="3"/>
  </cols>
  <sheetData>
    <row r="2" spans="2:5">
      <c r="C2" s="5" t="s">
        <v>93</v>
      </c>
      <c r="D2" s="5" t="s">
        <v>94</v>
      </c>
      <c r="E2" s="5" t="s">
        <v>95</v>
      </c>
    </row>
    <row r="3" spans="2:5">
      <c r="B3" s="52" t="s">
        <v>96</v>
      </c>
      <c r="C3" s="5">
        <v>1.1561989205138838</v>
      </c>
      <c r="D3" s="5">
        <v>2.0763574033543595</v>
      </c>
      <c r="E3" s="5">
        <v>1.6319064461608723</v>
      </c>
    </row>
    <row r="4" spans="2:5">
      <c r="B4" s="53"/>
      <c r="C4" s="5">
        <v>1.4352785729068218</v>
      </c>
      <c r="D4" s="5">
        <v>1.2194530912568844</v>
      </c>
      <c r="E4" s="5">
        <v>3.1719265074066354</v>
      </c>
    </row>
    <row r="5" spans="2:5">
      <c r="B5" s="53"/>
      <c r="C5" s="5">
        <v>1.1225006659350039</v>
      </c>
      <c r="D5" s="5">
        <v>1.3120105717835939</v>
      </c>
      <c r="E5" s="5">
        <v>3.3913608222678722</v>
      </c>
    </row>
    <row r="6" spans="2:5">
      <c r="B6" s="54"/>
      <c r="C6" s="5">
        <v>1.3314462030642598</v>
      </c>
      <c r="D6" s="5">
        <v>0.8577356233830763</v>
      </c>
      <c r="E6" s="5">
        <v>5.0783044564148527</v>
      </c>
    </row>
    <row r="7" spans="2:5" ht="20" customHeight="1">
      <c r="B7" s="55" t="s">
        <v>97</v>
      </c>
      <c r="C7" s="5">
        <v>1.364967750845631</v>
      </c>
      <c r="D7" s="5">
        <v>0.81342939975356809</v>
      </c>
      <c r="E7" s="5">
        <v>5.2037663397959832</v>
      </c>
    </row>
    <row r="8" spans="2:5">
      <c r="B8" s="55"/>
      <c r="C8" s="5">
        <v>1.2673649188576115</v>
      </c>
      <c r="D8" s="5">
        <v>0.72911974267331014</v>
      </c>
      <c r="E8" s="5">
        <v>4.5916494305736943</v>
      </c>
    </row>
    <row r="9" spans="2:5">
      <c r="B9" s="55"/>
      <c r="C9" s="5">
        <v>1.561973508215357</v>
      </c>
      <c r="D9" s="5">
        <v>0.98715115686721888</v>
      </c>
      <c r="E9" s="5">
        <v>6.0259638296121034</v>
      </c>
    </row>
    <row r="10" spans="2:5">
      <c r="B10" s="55"/>
      <c r="C10" s="5">
        <v>1.3727315326752807</v>
      </c>
      <c r="D10" s="5">
        <v>0.88755051477236035</v>
      </c>
      <c r="E10" s="5">
        <v>7.3365880544713962</v>
      </c>
    </row>
    <row r="13" spans="2:5">
      <c r="C13" s="5" t="s">
        <v>93</v>
      </c>
      <c r="D13" s="5" t="s">
        <v>98</v>
      </c>
      <c r="E13" s="5" t="s">
        <v>99</v>
      </c>
    </row>
    <row r="14" spans="2:5">
      <c r="B14" s="52" t="s">
        <v>100</v>
      </c>
      <c r="C14" s="5">
        <v>0.3419274207985209</v>
      </c>
      <c r="D14" s="5">
        <v>0.34735731508777812</v>
      </c>
      <c r="E14" s="5">
        <v>1.8426248336818407</v>
      </c>
    </row>
    <row r="15" spans="2:5">
      <c r="B15" s="53"/>
      <c r="C15" s="5">
        <v>0.30404290155841196</v>
      </c>
      <c r="D15" s="5">
        <v>0.13916439779041206</v>
      </c>
      <c r="E15" s="5">
        <v>1.6593876903741904</v>
      </c>
    </row>
    <row r="16" spans="2:5">
      <c r="B16" s="53"/>
      <c r="C16" s="5">
        <v>0.3714205203276455</v>
      </c>
      <c r="D16" s="5">
        <v>0.200198083497243</v>
      </c>
      <c r="E16" s="5">
        <v>2.2871484249546841</v>
      </c>
    </row>
    <row r="17" spans="2:5">
      <c r="B17" s="53"/>
      <c r="C17" s="5">
        <v>0.57445747112396583</v>
      </c>
      <c r="D17" s="5">
        <v>0.41254698705574305</v>
      </c>
      <c r="E17" s="5">
        <v>1.6751493019700949</v>
      </c>
    </row>
    <row r="18" spans="2:5">
      <c r="B18" s="53"/>
      <c r="C18" s="5">
        <v>0.55734910828331019</v>
      </c>
      <c r="D18" s="5">
        <v>0.44051041556317921</v>
      </c>
      <c r="E18" s="5">
        <v>3.1990564567526198</v>
      </c>
    </row>
    <row r="19" spans="2:5">
      <c r="B19" s="53"/>
      <c r="C19" s="5">
        <v>0.6276244498276049</v>
      </c>
      <c r="D19" s="5">
        <v>0.41101837580708456</v>
      </c>
      <c r="E19" s="5">
        <v>1.8742969814401345</v>
      </c>
    </row>
    <row r="20" spans="2:5">
      <c r="B20" s="54"/>
      <c r="C20" s="5">
        <v>0.77627185753407479</v>
      </c>
      <c r="D20" s="5">
        <v>0.3252519942600291</v>
      </c>
      <c r="E20" s="5">
        <v>2.3761555692307694</v>
      </c>
    </row>
    <row r="21" spans="2:5">
      <c r="B21" s="52" t="s">
        <v>101</v>
      </c>
      <c r="C21" s="5">
        <v>0.8097565544183486</v>
      </c>
      <c r="D21" s="5">
        <v>0.69229330514918253</v>
      </c>
      <c r="E21" s="5">
        <v>3.9638797620745874</v>
      </c>
    </row>
    <row r="22" spans="2:5">
      <c r="B22" s="53"/>
      <c r="C22" s="5">
        <v>0.8210559566215786</v>
      </c>
      <c r="D22" s="5">
        <v>0.49539195934761127</v>
      </c>
      <c r="E22" s="5">
        <v>6.7903775433415205</v>
      </c>
    </row>
    <row r="23" spans="2:5">
      <c r="B23" s="53"/>
      <c r="C23" s="5">
        <v>1.14593856616343</v>
      </c>
      <c r="D23" s="5">
        <v>0.50680505031730427</v>
      </c>
      <c r="E23" s="5">
        <v>5.4533799583807081</v>
      </c>
    </row>
    <row r="24" spans="2:5">
      <c r="B24" s="53"/>
      <c r="C24" s="5">
        <v>0.93743740446517487</v>
      </c>
      <c r="D24" s="5">
        <v>0.41820653957045811</v>
      </c>
      <c r="E24" s="5">
        <v>4.9304105992942304</v>
      </c>
    </row>
    <row r="25" spans="2:5">
      <c r="B25" s="53"/>
      <c r="C25" s="5">
        <v>0.94531612512599672</v>
      </c>
      <c r="D25" s="5">
        <v>0.5378508214316432</v>
      </c>
      <c r="E25" s="5">
        <v>3.0691428870404409</v>
      </c>
    </row>
    <row r="26" spans="2:5">
      <c r="B26" s="53"/>
      <c r="C26" s="5">
        <v>0.56781400438363705</v>
      </c>
      <c r="D26" s="5">
        <v>0.90308103485924718</v>
      </c>
      <c r="E26" s="5">
        <v>3.1650090944970124</v>
      </c>
    </row>
    <row r="27" spans="2:5">
      <c r="B27" s="54"/>
      <c r="C27" s="5">
        <v>0.58297625254948882</v>
      </c>
      <c r="D27" s="5">
        <v>0.66716654158886923</v>
      </c>
      <c r="E27" s="5">
        <v>4.5422886341836444</v>
      </c>
    </row>
    <row r="30" spans="2:5">
      <c r="B30" s="3" t="s">
        <v>213</v>
      </c>
      <c r="C30" s="3" t="s">
        <v>219</v>
      </c>
      <c r="D30" s="3" t="s">
        <v>220</v>
      </c>
      <c r="E30" s="3" t="s">
        <v>221</v>
      </c>
    </row>
    <row r="31" spans="2:5">
      <c r="B31" s="3" t="s">
        <v>218</v>
      </c>
      <c r="C31" s="3" t="s">
        <v>222</v>
      </c>
      <c r="D31" s="3" t="s">
        <v>223</v>
      </c>
      <c r="E31" s="3" t="s">
        <v>224</v>
      </c>
    </row>
  </sheetData>
  <mergeCells count="4">
    <mergeCell ref="B3:B6"/>
    <mergeCell ref="B7:B10"/>
    <mergeCell ref="B14:B20"/>
    <mergeCell ref="B21:B27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3:E21"/>
  <sheetViews>
    <sheetView workbookViewId="0">
      <selection activeCell="E18" sqref="E18"/>
    </sheetView>
  </sheetViews>
  <sheetFormatPr baseColWidth="10" defaultColWidth="11.5703125" defaultRowHeight="20"/>
  <cols>
    <col min="2" max="2" width="16.7109375" customWidth="1"/>
    <col min="4" max="4" width="15.5703125" customWidth="1"/>
  </cols>
  <sheetData>
    <row r="3" spans="2:4">
      <c r="D3" s="5" t="s">
        <v>20</v>
      </c>
    </row>
    <row r="4" spans="2:4">
      <c r="B4" s="69" t="s">
        <v>21</v>
      </c>
      <c r="C4" s="58" t="s">
        <v>18</v>
      </c>
      <c r="D4" s="5">
        <v>4.8469646413042131</v>
      </c>
    </row>
    <row r="5" spans="2:4">
      <c r="B5" s="70"/>
      <c r="C5" s="59"/>
      <c r="D5" s="5">
        <v>6.7804644767040738</v>
      </c>
    </row>
    <row r="6" spans="2:4">
      <c r="B6" s="70"/>
      <c r="C6" s="60"/>
      <c r="D6" s="5">
        <v>6.2817843440762342</v>
      </c>
    </row>
    <row r="7" spans="2:4">
      <c r="B7" s="70"/>
      <c r="C7" s="58" t="s">
        <v>19</v>
      </c>
      <c r="D7" s="5">
        <v>43.088934677398015</v>
      </c>
    </row>
    <row r="8" spans="2:4">
      <c r="B8" s="70"/>
      <c r="C8" s="59"/>
      <c r="D8" s="5">
        <v>40.169290515593183</v>
      </c>
    </row>
    <row r="9" spans="2:4">
      <c r="B9" s="71"/>
      <c r="C9" s="60"/>
      <c r="D9" s="5">
        <v>38.224624688678894</v>
      </c>
    </row>
    <row r="10" spans="2:4">
      <c r="B10" s="69" t="s">
        <v>22</v>
      </c>
      <c r="C10" s="58" t="s">
        <v>18</v>
      </c>
      <c r="D10" s="5">
        <v>3.5630530889380845</v>
      </c>
    </row>
    <row r="11" spans="2:4">
      <c r="B11" s="70"/>
      <c r="C11" s="59"/>
      <c r="D11" s="5">
        <v>3.793128486780514</v>
      </c>
    </row>
    <row r="12" spans="2:4">
      <c r="B12" s="70"/>
      <c r="C12" s="59"/>
      <c r="D12" s="5">
        <v>4.6343498843042754</v>
      </c>
    </row>
    <row r="13" spans="2:4">
      <c r="B13" s="70"/>
      <c r="C13" s="58" t="s">
        <v>19</v>
      </c>
      <c r="D13" s="5">
        <v>48.207662878849071</v>
      </c>
    </row>
    <row r="14" spans="2:4">
      <c r="B14" s="70"/>
      <c r="C14" s="59"/>
      <c r="D14" s="5">
        <v>45.572917467268667</v>
      </c>
    </row>
    <row r="15" spans="2:4">
      <c r="B15" s="71"/>
      <c r="C15" s="60"/>
      <c r="D15" s="5">
        <v>53.66538220772135</v>
      </c>
    </row>
    <row r="17" spans="2:5">
      <c r="B17" s="3" t="s">
        <v>134</v>
      </c>
    </row>
    <row r="18" spans="2:5">
      <c r="B18" s="89" t="s">
        <v>136</v>
      </c>
      <c r="C18" s="3"/>
      <c r="E18" s="88" t="s">
        <v>162</v>
      </c>
    </row>
    <row r="19" spans="2:5">
      <c r="B19" s="89" t="s">
        <v>138</v>
      </c>
      <c r="C19" s="3"/>
      <c r="E19" s="88" t="s">
        <v>225</v>
      </c>
    </row>
    <row r="20" spans="2:5">
      <c r="B20" s="89" t="s">
        <v>139</v>
      </c>
      <c r="C20" s="3"/>
      <c r="E20" s="88" t="s">
        <v>226</v>
      </c>
    </row>
    <row r="21" spans="2:5">
      <c r="B21" s="89" t="s">
        <v>141</v>
      </c>
      <c r="C21" s="3"/>
      <c r="E21" s="88" t="s">
        <v>162</v>
      </c>
    </row>
  </sheetData>
  <mergeCells count="6">
    <mergeCell ref="B4:B9"/>
    <mergeCell ref="B10:B15"/>
    <mergeCell ref="C4:C6"/>
    <mergeCell ref="C7:C9"/>
    <mergeCell ref="C10:C12"/>
    <mergeCell ref="C13:C15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3:E36"/>
  <sheetViews>
    <sheetView topLeftCell="A13" workbookViewId="0">
      <selection activeCell="E36" sqref="E36"/>
    </sheetView>
  </sheetViews>
  <sheetFormatPr baseColWidth="10" defaultColWidth="11.5703125" defaultRowHeight="20"/>
  <cols>
    <col min="2" max="2" width="16.5703125" customWidth="1"/>
    <col min="4" max="4" width="16" customWidth="1"/>
  </cols>
  <sheetData>
    <row r="3" spans="2:4">
      <c r="B3" s="3"/>
      <c r="C3" s="3"/>
      <c r="D3" s="5" t="s">
        <v>12</v>
      </c>
    </row>
    <row r="4" spans="2:4">
      <c r="B4" s="69" t="s">
        <v>13</v>
      </c>
      <c r="C4" s="58" t="s">
        <v>11</v>
      </c>
      <c r="D4" s="5">
        <v>1.1237191711514589E-3</v>
      </c>
    </row>
    <row r="5" spans="2:4">
      <c r="B5" s="70"/>
      <c r="C5" s="59"/>
      <c r="D5" s="5">
        <v>1.0245689268385848E-3</v>
      </c>
    </row>
    <row r="6" spans="2:4">
      <c r="B6" s="70"/>
      <c r="C6" s="59"/>
      <c r="D6" s="5">
        <v>9.9151884540096022E-4</v>
      </c>
    </row>
    <row r="7" spans="2:4">
      <c r="B7" s="70"/>
      <c r="C7" s="60"/>
      <c r="D7" s="5">
        <v>9.9151884540096022E-4</v>
      </c>
    </row>
    <row r="8" spans="2:4">
      <c r="B8" s="70"/>
      <c r="C8" s="58" t="s">
        <v>15</v>
      </c>
      <c r="D8" s="5">
        <v>3.1781471724906269E-3</v>
      </c>
    </row>
    <row r="9" spans="2:4">
      <c r="B9" s="70"/>
      <c r="C9" s="59"/>
      <c r="D9" s="5">
        <v>2.8585351055720825E-3</v>
      </c>
    </row>
    <row r="10" spans="2:4">
      <c r="B10" s="70"/>
      <c r="C10" s="59"/>
      <c r="D10" s="5">
        <v>2.8895367424309334E-3</v>
      </c>
    </row>
    <row r="11" spans="2:4">
      <c r="B11" s="70"/>
      <c r="C11" s="60"/>
      <c r="D11" s="5">
        <v>3.389671387294783E-3</v>
      </c>
    </row>
    <row r="12" spans="2:4">
      <c r="B12" s="70"/>
      <c r="C12" s="58" t="s">
        <v>24</v>
      </c>
      <c r="D12" s="5">
        <v>3.4767122152079034E-3</v>
      </c>
    </row>
    <row r="13" spans="2:4">
      <c r="B13" s="70"/>
      <c r="C13" s="59"/>
      <c r="D13" s="5">
        <v>3.2603844094596522E-3</v>
      </c>
    </row>
    <row r="14" spans="2:4">
      <c r="B14" s="70"/>
      <c r="C14" s="59"/>
      <c r="D14" s="5">
        <v>3.4041747898595929E-3</v>
      </c>
    </row>
    <row r="15" spans="2:4">
      <c r="B15" s="70"/>
      <c r="C15" s="60"/>
      <c r="D15" s="5">
        <v>3.2294804371020541E-3</v>
      </c>
    </row>
    <row r="16" spans="2:4">
      <c r="B16" s="69" t="s">
        <v>10</v>
      </c>
      <c r="C16" s="58" t="s">
        <v>11</v>
      </c>
      <c r="D16" s="5">
        <v>8.3098597309349414E-4</v>
      </c>
    </row>
    <row r="17" spans="2:5">
      <c r="B17" s="70"/>
      <c r="C17" s="59"/>
      <c r="D17" s="5">
        <v>8.7740977046632984E-4</v>
      </c>
    </row>
    <row r="18" spans="2:5">
      <c r="B18" s="70"/>
      <c r="C18" s="59"/>
      <c r="D18" s="5">
        <v>8.7740977046632984E-4</v>
      </c>
    </row>
    <row r="19" spans="2:5">
      <c r="B19" s="70"/>
      <c r="C19" s="60"/>
      <c r="D19" s="5">
        <v>8.6875749473550251E-4</v>
      </c>
    </row>
    <row r="20" spans="2:5">
      <c r="B20" s="70"/>
      <c r="C20" s="58" t="s">
        <v>15</v>
      </c>
      <c r="D20" s="5">
        <v>4.4035096224675566E-3</v>
      </c>
    </row>
    <row r="21" spans="2:5">
      <c r="B21" s="70"/>
      <c r="C21" s="59"/>
      <c r="D21" s="5">
        <v>4.0988539360303101E-3</v>
      </c>
    </row>
    <row r="22" spans="2:5">
      <c r="B22" s="70"/>
      <c r="C22" s="59"/>
      <c r="D22" s="5">
        <v>4.3689184994847073E-3</v>
      </c>
    </row>
    <row r="23" spans="2:5">
      <c r="B23" s="70"/>
      <c r="C23" s="60"/>
      <c r="D23" s="5">
        <v>4.3453800647057957E-3</v>
      </c>
    </row>
    <row r="24" spans="2:5">
      <c r="B24" s="70"/>
      <c r="C24" s="58" t="s">
        <v>24</v>
      </c>
      <c r="D24" s="5">
        <v>4.4948235716028651E-3</v>
      </c>
    </row>
    <row r="25" spans="2:5">
      <c r="B25" s="70"/>
      <c r="C25" s="59"/>
      <c r="D25" s="5">
        <v>4.5523023136779138E-3</v>
      </c>
    </row>
    <row r="26" spans="2:5">
      <c r="B26" s="70"/>
      <c r="C26" s="59"/>
      <c r="D26" s="5">
        <v>4.7459310336443114E-3</v>
      </c>
    </row>
    <row r="27" spans="2:5">
      <c r="B27" s="71"/>
      <c r="C27" s="60"/>
      <c r="D27" s="5">
        <v>4.6771699257230053E-3</v>
      </c>
    </row>
    <row r="29" spans="2:5">
      <c r="B29" s="3" t="s">
        <v>135</v>
      </c>
    </row>
    <row r="30" spans="2:5">
      <c r="B30" s="89" t="s">
        <v>136</v>
      </c>
      <c r="C30" s="3"/>
      <c r="E30" s="88" t="s">
        <v>162</v>
      </c>
    </row>
    <row r="31" spans="2:5">
      <c r="B31" s="89" t="s">
        <v>137</v>
      </c>
      <c r="C31" s="3"/>
      <c r="E31" s="88" t="s">
        <v>162</v>
      </c>
    </row>
    <row r="32" spans="2:5">
      <c r="B32" s="89" t="s">
        <v>138</v>
      </c>
      <c r="C32" s="3"/>
      <c r="E32" s="88" t="s">
        <v>227</v>
      </c>
    </row>
    <row r="33" spans="2:5">
      <c r="B33" s="89" t="s">
        <v>139</v>
      </c>
      <c r="C33" s="3"/>
      <c r="E33" s="88" t="s">
        <v>162</v>
      </c>
    </row>
    <row r="34" spans="2:5">
      <c r="B34" s="89" t="s">
        <v>140</v>
      </c>
      <c r="C34" s="3"/>
      <c r="E34" s="88" t="s">
        <v>162</v>
      </c>
    </row>
    <row r="35" spans="2:5">
      <c r="B35" s="89" t="s">
        <v>141</v>
      </c>
      <c r="C35" s="3"/>
      <c r="E35" s="88" t="s">
        <v>162</v>
      </c>
    </row>
    <row r="36" spans="2:5">
      <c r="B36" s="89" t="s">
        <v>142</v>
      </c>
      <c r="C36" s="3"/>
      <c r="E36" s="88" t="s">
        <v>162</v>
      </c>
    </row>
  </sheetData>
  <mergeCells count="8">
    <mergeCell ref="C24:C27"/>
    <mergeCell ref="B4:B15"/>
    <mergeCell ref="B16:B27"/>
    <mergeCell ref="C4:C7"/>
    <mergeCell ref="C8:C11"/>
    <mergeCell ref="C12:C15"/>
    <mergeCell ref="C16:C19"/>
    <mergeCell ref="C20:C23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4:D16"/>
  <sheetViews>
    <sheetView workbookViewId="0">
      <selection activeCell="D14" sqref="D14"/>
    </sheetView>
  </sheetViews>
  <sheetFormatPr baseColWidth="10" defaultColWidth="11.5703125" defaultRowHeight="20"/>
  <cols>
    <col min="3" max="3" width="18.85546875" customWidth="1"/>
    <col min="4" max="4" width="28.85546875" customWidth="1"/>
  </cols>
  <sheetData>
    <row r="4" spans="3:4">
      <c r="C4" s="3"/>
      <c r="D4" s="5" t="s">
        <v>23</v>
      </c>
    </row>
    <row r="5" spans="3:4">
      <c r="C5" s="75" t="s">
        <v>21</v>
      </c>
      <c r="D5" s="5">
        <v>9.3960386379156802</v>
      </c>
    </row>
    <row r="6" spans="3:4">
      <c r="C6" s="76"/>
      <c r="D6" s="5">
        <v>7.2562021317948044</v>
      </c>
    </row>
    <row r="7" spans="3:4">
      <c r="C7" s="76"/>
      <c r="D7" s="5">
        <v>9.3116653844663411</v>
      </c>
    </row>
    <row r="8" spans="3:4">
      <c r="C8" s="76"/>
      <c r="D8" s="5">
        <v>9.6412053330613006</v>
      </c>
    </row>
    <row r="9" spans="3:4">
      <c r="C9" s="75" t="s">
        <v>22</v>
      </c>
      <c r="D9" s="5">
        <v>5.0587887217878222</v>
      </c>
    </row>
    <row r="10" spans="3:4">
      <c r="C10" s="76"/>
      <c r="D10" s="5">
        <v>5.1322677001554764</v>
      </c>
    </row>
    <row r="11" spans="3:4">
      <c r="C11" s="76"/>
      <c r="D11" s="5">
        <v>4.8993843686915515</v>
      </c>
    </row>
    <row r="12" spans="3:4">
      <c r="C12" s="77"/>
      <c r="D12" s="5">
        <v>5.4394260608321385</v>
      </c>
    </row>
    <row r="13" spans="3:4">
      <c r="C13" s="1"/>
      <c r="D13" s="3"/>
    </row>
    <row r="14" spans="3:4">
      <c r="C14" s="1" t="s">
        <v>188</v>
      </c>
      <c r="D14" s="3" t="s">
        <v>228</v>
      </c>
    </row>
    <row r="15" spans="3:4">
      <c r="C15" s="1"/>
    </row>
    <row r="16" spans="3:4">
      <c r="C16" s="1"/>
    </row>
  </sheetData>
  <mergeCells count="2">
    <mergeCell ref="C5:C8"/>
    <mergeCell ref="C9:C12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4:D17"/>
  <sheetViews>
    <sheetView workbookViewId="0">
      <selection activeCell="D17" sqref="D17"/>
    </sheetView>
  </sheetViews>
  <sheetFormatPr baseColWidth="10" defaultColWidth="11.5703125" defaultRowHeight="20"/>
  <sheetData>
    <row r="4" spans="3:4">
      <c r="C4" s="3"/>
      <c r="D4" s="5" t="s">
        <v>59</v>
      </c>
    </row>
    <row r="5" spans="3:4">
      <c r="C5" s="69" t="s">
        <v>21</v>
      </c>
      <c r="D5" s="5">
        <v>0.49343790976635021</v>
      </c>
    </row>
    <row r="6" spans="3:4">
      <c r="C6" s="70"/>
      <c r="D6" s="5">
        <v>0.49698965841339643</v>
      </c>
    </row>
    <row r="7" spans="3:4">
      <c r="C7" s="70"/>
      <c r="D7" s="5">
        <v>0.5524692788378055</v>
      </c>
    </row>
    <row r="8" spans="3:4">
      <c r="C8" s="70"/>
      <c r="D8" s="5">
        <v>0.48786440525822805</v>
      </c>
    </row>
    <row r="9" spans="3:4" ht="20" customHeight="1">
      <c r="C9" s="71"/>
      <c r="D9" s="5">
        <v>0.472772303765924</v>
      </c>
    </row>
    <row r="10" spans="3:4" ht="23" customHeight="1">
      <c r="C10" s="78" t="s">
        <v>58</v>
      </c>
      <c r="D10" s="5">
        <v>0.45834811799579744</v>
      </c>
    </row>
    <row r="11" spans="3:4">
      <c r="C11" s="79"/>
      <c r="D11" s="5">
        <v>0.50408421240701495</v>
      </c>
    </row>
    <row r="12" spans="3:4">
      <c r="C12" s="79"/>
      <c r="D12" s="5">
        <v>0.42155776247736082</v>
      </c>
    </row>
    <row r="13" spans="3:4">
      <c r="C13" s="79"/>
      <c r="D13" s="5">
        <v>0.44132392155212813</v>
      </c>
    </row>
    <row r="14" spans="3:4">
      <c r="C14" s="79"/>
      <c r="D14" s="5">
        <v>0.43002410367817195</v>
      </c>
    </row>
    <row r="15" spans="3:4">
      <c r="C15" s="80"/>
      <c r="D15" s="5">
        <v>0.30898591065165842</v>
      </c>
    </row>
    <row r="16" spans="3:4">
      <c r="C16" s="3"/>
      <c r="D16" s="3"/>
    </row>
    <row r="17" spans="3:4">
      <c r="C17" s="3" t="s">
        <v>229</v>
      </c>
      <c r="D17" s="3" t="s">
        <v>230</v>
      </c>
    </row>
  </sheetData>
  <mergeCells count="2">
    <mergeCell ref="C10:C15"/>
    <mergeCell ref="C5:C9"/>
  </mergeCells>
  <phoneticPr fontId="1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F37"/>
  <sheetViews>
    <sheetView topLeftCell="A4" workbookViewId="0">
      <selection activeCell="D28" sqref="D28"/>
    </sheetView>
  </sheetViews>
  <sheetFormatPr baseColWidth="10" defaultColWidth="11.5703125" defaultRowHeight="20"/>
  <cols>
    <col min="2" max="2" width="16.28515625" customWidth="1"/>
    <col min="3" max="3" width="16.5703125" customWidth="1"/>
    <col min="4" max="4" width="14" customWidth="1"/>
  </cols>
  <sheetData>
    <row r="2" spans="2:6">
      <c r="B2" s="3"/>
      <c r="C2" s="45"/>
      <c r="D2" s="5" t="s">
        <v>64</v>
      </c>
      <c r="F2" s="32"/>
    </row>
    <row r="3" spans="2:6">
      <c r="B3" s="52" t="s">
        <v>65</v>
      </c>
      <c r="C3" s="81" t="s">
        <v>66</v>
      </c>
      <c r="D3" s="5">
        <v>0.37205950488064277</v>
      </c>
      <c r="E3" s="33"/>
    </row>
    <row r="4" spans="2:6">
      <c r="B4" s="53"/>
      <c r="C4" s="82"/>
      <c r="D4" s="5">
        <v>0.34896058238320382</v>
      </c>
      <c r="E4" s="33"/>
    </row>
    <row r="5" spans="2:6">
      <c r="B5" s="53"/>
      <c r="C5" s="82"/>
      <c r="D5" s="5">
        <v>0.39246997983110887</v>
      </c>
      <c r="E5" s="33"/>
    </row>
    <row r="6" spans="2:6">
      <c r="B6" s="53"/>
      <c r="C6" s="83"/>
      <c r="D6" s="5">
        <v>0.36424142081145094</v>
      </c>
      <c r="E6" s="33"/>
    </row>
    <row r="7" spans="2:6">
      <c r="B7" s="53"/>
      <c r="C7" s="81" t="s">
        <v>67</v>
      </c>
      <c r="D7" s="5">
        <v>0.43577941088636979</v>
      </c>
      <c r="E7" s="33"/>
    </row>
    <row r="8" spans="2:6">
      <c r="B8" s="53"/>
      <c r="C8" s="82"/>
      <c r="D8" s="5">
        <v>0.53688905297661138</v>
      </c>
      <c r="E8" s="33"/>
    </row>
    <row r="9" spans="2:6">
      <c r="B9" s="53"/>
      <c r="C9" s="82"/>
      <c r="D9" s="5">
        <v>0.48294052269821064</v>
      </c>
      <c r="E9" s="33"/>
    </row>
    <row r="10" spans="2:6">
      <c r="B10" s="53"/>
      <c r="C10" s="83"/>
      <c r="D10" s="5">
        <v>0.46685060391901895</v>
      </c>
      <c r="E10" s="33"/>
    </row>
    <row r="11" spans="2:6">
      <c r="B11" s="53"/>
      <c r="C11" s="82" t="s">
        <v>68</v>
      </c>
      <c r="D11" s="5">
        <v>0.3938675497164964</v>
      </c>
      <c r="E11" s="33"/>
    </row>
    <row r="12" spans="2:6">
      <c r="B12" s="53"/>
      <c r="C12" s="82"/>
      <c r="D12" s="5">
        <v>0.39135791212525084</v>
      </c>
      <c r="E12" s="33"/>
    </row>
    <row r="13" spans="2:6">
      <c r="B13" s="53"/>
      <c r="C13" s="82"/>
      <c r="D13" s="5">
        <v>0.37249588275310069</v>
      </c>
      <c r="E13" s="33"/>
    </row>
    <row r="14" spans="2:6">
      <c r="B14" s="54"/>
      <c r="C14" s="82"/>
      <c r="D14" s="5">
        <v>0.51165662057756367</v>
      </c>
      <c r="E14" s="33"/>
    </row>
    <row r="15" spans="2:6">
      <c r="B15" s="84" t="s">
        <v>69</v>
      </c>
      <c r="C15" s="81" t="s">
        <v>66</v>
      </c>
      <c r="D15" s="5">
        <v>0.42878506526782123</v>
      </c>
      <c r="E15" s="33"/>
    </row>
    <row r="16" spans="2:6">
      <c r="B16" s="85"/>
      <c r="C16" s="82"/>
      <c r="D16" s="5">
        <v>0.50898127152106309</v>
      </c>
      <c r="E16" s="34"/>
    </row>
    <row r="17" spans="2:5">
      <c r="B17" s="85"/>
      <c r="C17" s="82"/>
      <c r="D17" s="5">
        <v>0.4947297104284018</v>
      </c>
      <c r="E17" s="34"/>
    </row>
    <row r="18" spans="2:5">
      <c r="B18" s="85"/>
      <c r="C18" s="83"/>
      <c r="D18" s="5">
        <v>0.49082141278334257</v>
      </c>
      <c r="E18" s="34"/>
    </row>
    <row r="19" spans="2:5">
      <c r="B19" s="85"/>
      <c r="C19" s="82" t="s">
        <v>67</v>
      </c>
      <c r="D19" s="5">
        <v>0.57445279453280618</v>
      </c>
      <c r="E19" s="33"/>
    </row>
    <row r="20" spans="2:5">
      <c r="B20" s="85"/>
      <c r="C20" s="82"/>
      <c r="D20" s="5">
        <v>0.5559332881542457</v>
      </c>
      <c r="E20" s="33"/>
    </row>
    <row r="21" spans="2:5">
      <c r="B21" s="85"/>
      <c r="C21" s="82"/>
      <c r="D21" s="5">
        <v>0.60056948327396542</v>
      </c>
      <c r="E21" s="34"/>
    </row>
    <row r="22" spans="2:5">
      <c r="B22" s="85"/>
      <c r="C22" s="83"/>
      <c r="D22" s="5">
        <v>0.57994164234459655</v>
      </c>
      <c r="E22" s="33"/>
    </row>
    <row r="23" spans="2:5">
      <c r="B23" s="85"/>
      <c r="C23" s="81" t="s">
        <v>68</v>
      </c>
      <c r="D23" s="5">
        <v>1.1450067601892748</v>
      </c>
      <c r="E23" s="33"/>
    </row>
    <row r="24" spans="2:5">
      <c r="B24" s="85"/>
      <c r="C24" s="82"/>
      <c r="D24" s="5">
        <v>1.0017343827152356</v>
      </c>
      <c r="E24" s="33"/>
    </row>
    <row r="25" spans="2:5">
      <c r="B25" s="85"/>
      <c r="C25" s="82"/>
      <c r="D25" s="5">
        <v>1.346310045867352</v>
      </c>
      <c r="E25" s="33"/>
    </row>
    <row r="26" spans="2:5">
      <c r="B26" s="86"/>
      <c r="C26" s="83"/>
      <c r="D26" s="5">
        <v>0.98225190226988157</v>
      </c>
      <c r="E26" s="34"/>
    </row>
    <row r="27" spans="2:5">
      <c r="B27" s="46"/>
      <c r="C27" s="3"/>
      <c r="D27" s="3"/>
      <c r="E27" s="34"/>
    </row>
    <row r="28" spans="2:5">
      <c r="B28" s="46" t="s">
        <v>130</v>
      </c>
      <c r="C28" s="3"/>
      <c r="D28" s="3" t="s">
        <v>231</v>
      </c>
      <c r="E28" s="34"/>
    </row>
    <row r="29" spans="2:5">
      <c r="B29" s="46" t="s">
        <v>129</v>
      </c>
      <c r="C29" s="3"/>
      <c r="D29" s="3" t="s">
        <v>232</v>
      </c>
      <c r="E29" s="34"/>
    </row>
    <row r="30" spans="2:5">
      <c r="B30" s="46" t="s">
        <v>131</v>
      </c>
      <c r="C30" s="3"/>
      <c r="D30" s="3" t="s">
        <v>233</v>
      </c>
      <c r="E30" s="34"/>
    </row>
    <row r="31" spans="2:5">
      <c r="B31" s="46" t="s">
        <v>132</v>
      </c>
      <c r="C31" s="3"/>
      <c r="D31" s="3" t="s">
        <v>234</v>
      </c>
      <c r="E31" s="34"/>
    </row>
    <row r="32" spans="2:5">
      <c r="B32" s="34"/>
      <c r="D32" s="3"/>
      <c r="E32" s="34"/>
    </row>
    <row r="33" spans="2:5">
      <c r="B33" s="34"/>
      <c r="E33" s="34"/>
    </row>
    <row r="34" spans="2:5">
      <c r="E34" s="34"/>
    </row>
    <row r="35" spans="2:5">
      <c r="E35" s="34"/>
    </row>
    <row r="36" spans="2:5">
      <c r="E36" s="34"/>
    </row>
    <row r="37" spans="2:5">
      <c r="E37" s="34"/>
    </row>
  </sheetData>
  <mergeCells count="8">
    <mergeCell ref="B3:B14"/>
    <mergeCell ref="C3:C6"/>
    <mergeCell ref="C7:C10"/>
    <mergeCell ref="C11:C14"/>
    <mergeCell ref="B15:B26"/>
    <mergeCell ref="C15:C18"/>
    <mergeCell ref="C19:C22"/>
    <mergeCell ref="C23:C26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W91"/>
  <sheetViews>
    <sheetView zoomScale="81" zoomScaleNormal="81" workbookViewId="0">
      <selection activeCell="W7" sqref="W7"/>
    </sheetView>
  </sheetViews>
  <sheetFormatPr baseColWidth="10" defaultColWidth="10.7109375" defaultRowHeight="16"/>
  <cols>
    <col min="1" max="1" width="10.7109375" style="3"/>
    <col min="2" max="2" width="13.85546875" style="3" customWidth="1"/>
    <col min="3" max="16384" width="10.7109375" style="3"/>
  </cols>
  <sheetData>
    <row r="3" spans="2:23">
      <c r="B3" s="25" t="s">
        <v>54</v>
      </c>
      <c r="C3" s="2" t="s">
        <v>27</v>
      </c>
      <c r="D3" s="2" t="s">
        <v>25</v>
      </c>
      <c r="E3" s="2" t="s">
        <v>26</v>
      </c>
      <c r="F3" s="2" t="s">
        <v>38</v>
      </c>
      <c r="G3" s="2" t="s">
        <v>52</v>
      </c>
      <c r="H3" s="2" t="s">
        <v>35</v>
      </c>
      <c r="I3" s="2" t="s">
        <v>36</v>
      </c>
      <c r="J3" s="2" t="s">
        <v>37</v>
      </c>
      <c r="M3" s="5" t="s">
        <v>41</v>
      </c>
      <c r="N3" s="5" t="s">
        <v>40</v>
      </c>
      <c r="O3" s="5" t="s">
        <v>46</v>
      </c>
      <c r="P3" s="5" t="s">
        <v>39</v>
      </c>
      <c r="Q3" s="5" t="s">
        <v>47</v>
      </c>
      <c r="R3" s="5" t="s">
        <v>48</v>
      </c>
      <c r="S3" s="5" t="s">
        <v>49</v>
      </c>
      <c r="T3" s="5" t="s">
        <v>50</v>
      </c>
      <c r="U3" s="5" t="s">
        <v>51</v>
      </c>
      <c r="W3" s="3" t="s">
        <v>161</v>
      </c>
    </row>
    <row r="4" spans="2:23">
      <c r="B4" s="2" t="s">
        <v>33</v>
      </c>
      <c r="C4" s="26">
        <v>0.91979241561938407</v>
      </c>
      <c r="D4" s="26">
        <v>0.93487766874722456</v>
      </c>
      <c r="E4" s="26">
        <v>0.93607703983161339</v>
      </c>
      <c r="F4" s="26">
        <v>0.92160484791736352</v>
      </c>
      <c r="G4" s="26">
        <v>0.9597759735493202</v>
      </c>
      <c r="H4" s="26">
        <v>0.95723197385328029</v>
      </c>
      <c r="I4" s="26">
        <v>0.87172656689636585</v>
      </c>
      <c r="J4" s="26">
        <v>0.85674915500635618</v>
      </c>
      <c r="K4" s="37"/>
      <c r="M4" s="26">
        <v>0.87228838321336077</v>
      </c>
      <c r="N4" s="26">
        <v>0.8720437402927862</v>
      </c>
      <c r="O4" s="26">
        <v>0.88210095923987586</v>
      </c>
      <c r="P4" s="26">
        <v>0.88118301644493124</v>
      </c>
      <c r="Q4" s="26">
        <v>0.89823842985117541</v>
      </c>
      <c r="R4" s="26">
        <v>0.85305797888576484</v>
      </c>
      <c r="S4" s="26">
        <v>0.8322051832803562</v>
      </c>
      <c r="T4" s="26">
        <v>0.87487199316614683</v>
      </c>
      <c r="U4" s="26">
        <v>0.84410474584685635</v>
      </c>
      <c r="V4" s="37"/>
      <c r="W4" s="3" t="s">
        <v>192</v>
      </c>
    </row>
    <row r="5" spans="2:23">
      <c r="B5" s="2" t="s">
        <v>53</v>
      </c>
      <c r="C5" s="26">
        <v>0.94989983575346326</v>
      </c>
      <c r="D5" s="26">
        <v>0.93834882422141053</v>
      </c>
      <c r="E5" s="26">
        <v>0.94663768378448876</v>
      </c>
      <c r="F5" s="26">
        <v>0.92924235932667743</v>
      </c>
      <c r="G5" s="26">
        <v>0.9721496654957823</v>
      </c>
      <c r="H5" s="26">
        <v>0.95163533226119201</v>
      </c>
      <c r="I5" s="26">
        <v>0.90450199555533817</v>
      </c>
      <c r="J5" s="26">
        <v>0.93289584488353117</v>
      </c>
      <c r="K5" s="37"/>
      <c r="M5" s="26">
        <v>0.91394587589183107</v>
      </c>
      <c r="N5" s="26">
        <v>0.89139235686476614</v>
      </c>
      <c r="O5" s="26">
        <v>0.93051487712831693</v>
      </c>
      <c r="P5" s="26">
        <v>0.91242532647845997</v>
      </c>
      <c r="Q5" s="26">
        <v>0.91104764613700762</v>
      </c>
      <c r="R5" s="26">
        <v>0.90975276223184576</v>
      </c>
      <c r="S5" s="26">
        <v>0.89836533662572993</v>
      </c>
      <c r="T5" s="26">
        <v>0.89175840851565846</v>
      </c>
      <c r="U5" s="26">
        <v>0.88837027820696435</v>
      </c>
      <c r="V5" s="37"/>
      <c r="W5" s="3" t="s">
        <v>193</v>
      </c>
    </row>
    <row r="6" spans="2:23">
      <c r="B6" s="2" t="s">
        <v>34</v>
      </c>
      <c r="C6" s="26">
        <v>0.93660367040470882</v>
      </c>
      <c r="D6" s="26">
        <v>0.93682397121361249</v>
      </c>
      <c r="E6" s="26">
        <v>0.94192936488676415</v>
      </c>
      <c r="F6" s="26">
        <v>0.92589545048561428</v>
      </c>
      <c r="G6" s="26">
        <v>0.96646205929105711</v>
      </c>
      <c r="H6" s="26">
        <v>0.95420161276894588</v>
      </c>
      <c r="I6" s="26">
        <v>0.8897712972980959</v>
      </c>
      <c r="J6" s="26">
        <v>0.89949849497855439</v>
      </c>
      <c r="K6" s="37"/>
      <c r="M6" s="26">
        <v>0.89568915576340769</v>
      </c>
      <c r="N6" s="26">
        <v>0.88263787973150654</v>
      </c>
      <c r="O6" s="26">
        <v>0.90792061332711171</v>
      </c>
      <c r="P6" s="26">
        <v>0.89815444863743366</v>
      </c>
      <c r="Q6" s="26">
        <v>0.90536971767474361</v>
      </c>
      <c r="R6" s="26">
        <v>0.88483673299909915</v>
      </c>
      <c r="S6" s="26">
        <v>0.86966440403427003</v>
      </c>
      <c r="T6" s="26">
        <v>0.8844286838348463</v>
      </c>
      <c r="U6" s="26">
        <v>0.87085505407503971</v>
      </c>
      <c r="V6" s="37"/>
      <c r="W6" s="3" t="s">
        <v>193</v>
      </c>
    </row>
    <row r="9" spans="2:23">
      <c r="B9" s="3" t="s">
        <v>82</v>
      </c>
      <c r="C9" s="2" t="s">
        <v>27</v>
      </c>
      <c r="D9" s="2" t="s">
        <v>25</v>
      </c>
      <c r="E9" s="2" t="s">
        <v>26</v>
      </c>
      <c r="F9" s="2" t="s">
        <v>38</v>
      </c>
      <c r="G9" s="2" t="s">
        <v>52</v>
      </c>
      <c r="H9" s="2" t="s">
        <v>35</v>
      </c>
      <c r="I9" s="2" t="s">
        <v>36</v>
      </c>
      <c r="J9" s="2" t="s">
        <v>37</v>
      </c>
      <c r="M9" s="2" t="s">
        <v>55</v>
      </c>
      <c r="N9" s="2" t="s">
        <v>56</v>
      </c>
      <c r="O9" s="2" t="s">
        <v>42</v>
      </c>
      <c r="P9" s="2" t="s">
        <v>57</v>
      </c>
      <c r="Q9" s="2" t="s">
        <v>28</v>
      </c>
      <c r="R9" s="2" t="s">
        <v>29</v>
      </c>
      <c r="S9" s="2" t="s">
        <v>30</v>
      </c>
      <c r="T9" s="2" t="s">
        <v>31</v>
      </c>
      <c r="U9" s="2" t="s">
        <v>32</v>
      </c>
    </row>
    <row r="10" spans="2:23">
      <c r="B10" s="24">
        <v>0</v>
      </c>
      <c r="C10" s="2">
        <v>0.84119999999999995</v>
      </c>
      <c r="D10" s="2">
        <v>0.90910000000000002</v>
      </c>
      <c r="E10" s="2">
        <v>0.95640000000000003</v>
      </c>
      <c r="F10" s="2">
        <v>0.92210000000000003</v>
      </c>
      <c r="G10" s="5">
        <v>0.93579999999999997</v>
      </c>
      <c r="H10" s="5">
        <v>0.95940000000000003</v>
      </c>
      <c r="I10" s="5">
        <v>0.86460000000000004</v>
      </c>
      <c r="J10" s="5">
        <v>0.80740000000000001</v>
      </c>
      <c r="K10" s="37"/>
      <c r="M10" s="2">
        <v>0.88570000000000004</v>
      </c>
      <c r="N10" s="2">
        <v>0.85899999999999999</v>
      </c>
      <c r="O10" s="2">
        <v>0.88029999999999997</v>
      </c>
      <c r="P10" s="2">
        <v>0.86150000000000004</v>
      </c>
      <c r="Q10" s="5">
        <v>0.92449999999999999</v>
      </c>
      <c r="R10" s="5">
        <v>0.83960000000000001</v>
      </c>
      <c r="S10" s="5">
        <v>0.81410000000000005</v>
      </c>
      <c r="T10" s="5">
        <v>0.84260000000000002</v>
      </c>
      <c r="U10" s="5">
        <v>0.81859999999999999</v>
      </c>
      <c r="V10" s="37"/>
    </row>
    <row r="11" spans="2:23">
      <c r="B11" s="24">
        <v>1.2499999997089617E-2</v>
      </c>
      <c r="C11" s="2">
        <v>0.91</v>
      </c>
      <c r="D11" s="2">
        <v>0.88460000000000005</v>
      </c>
      <c r="E11" s="2">
        <v>0.94310000000000005</v>
      </c>
      <c r="F11" s="2">
        <v>0.93430000000000002</v>
      </c>
      <c r="G11" s="5">
        <v>0.92020000000000002</v>
      </c>
      <c r="H11" s="5">
        <v>0.93020000000000003</v>
      </c>
      <c r="I11" s="5">
        <v>0.90129999999999999</v>
      </c>
      <c r="J11" s="5">
        <v>0.78480000000000005</v>
      </c>
      <c r="K11" s="37"/>
      <c r="M11" s="2">
        <v>0.90280000000000005</v>
      </c>
      <c r="N11" s="2">
        <v>0.83320000000000005</v>
      </c>
      <c r="O11" s="2">
        <v>0.86519999999999997</v>
      </c>
      <c r="P11" s="2">
        <v>0.81559999999999999</v>
      </c>
      <c r="Q11" s="5">
        <v>0.92200000000000004</v>
      </c>
      <c r="R11" s="5">
        <v>0.88739999999999997</v>
      </c>
      <c r="S11" s="5">
        <v>0.83979999999999999</v>
      </c>
      <c r="T11" s="5">
        <v>0.90080000000000005</v>
      </c>
      <c r="U11" s="5">
        <v>0.87</v>
      </c>
      <c r="V11" s="37"/>
    </row>
    <row r="12" spans="2:23">
      <c r="B12" s="24">
        <v>2.5000000001455192E-2</v>
      </c>
      <c r="C12" s="2">
        <v>0.877</v>
      </c>
      <c r="D12" s="2">
        <v>0.84860000000000002</v>
      </c>
      <c r="E12" s="2">
        <v>0.92579999999999996</v>
      </c>
      <c r="F12" s="2">
        <v>0.89759999999999995</v>
      </c>
      <c r="G12" s="5">
        <v>0.94630000000000003</v>
      </c>
      <c r="H12" s="5">
        <v>0.96609999999999996</v>
      </c>
      <c r="I12" s="5">
        <v>0.86860000000000004</v>
      </c>
      <c r="J12" s="5">
        <v>0.78969999999999996</v>
      </c>
      <c r="K12" s="37"/>
      <c r="M12" s="2">
        <v>0.90749999999999997</v>
      </c>
      <c r="N12" s="2">
        <v>0.7399</v>
      </c>
      <c r="O12" s="2">
        <v>0.85809999999999997</v>
      </c>
      <c r="P12" s="2">
        <v>0.79349999999999998</v>
      </c>
      <c r="Q12" s="5">
        <v>0.90559999999999996</v>
      </c>
      <c r="R12" s="5">
        <v>0.82450000000000001</v>
      </c>
      <c r="S12" s="5">
        <v>0.85440000000000005</v>
      </c>
      <c r="T12" s="5">
        <v>0.88570000000000004</v>
      </c>
      <c r="U12" s="5">
        <v>0.86070000000000002</v>
      </c>
      <c r="V12" s="37"/>
    </row>
    <row r="13" spans="2:23">
      <c r="B13" s="24">
        <v>3.7499999998544808E-2</v>
      </c>
      <c r="C13" s="2">
        <v>0.9103</v>
      </c>
      <c r="D13" s="2">
        <v>0.9073</v>
      </c>
      <c r="E13" s="2">
        <v>0.90110000000000001</v>
      </c>
      <c r="F13" s="2">
        <v>0.87680000000000002</v>
      </c>
      <c r="G13" s="5">
        <v>0.93879999999999997</v>
      </c>
      <c r="H13" s="5">
        <v>0.89880000000000004</v>
      </c>
      <c r="I13" s="5">
        <v>0.84440000000000004</v>
      </c>
      <c r="J13" s="5">
        <v>0.77990000000000004</v>
      </c>
      <c r="K13" s="37"/>
      <c r="M13" s="2">
        <v>0.82099999999999995</v>
      </c>
      <c r="N13" s="2">
        <v>0.79500000000000004</v>
      </c>
      <c r="O13" s="2">
        <v>0.81559999999999999</v>
      </c>
      <c r="P13" s="2">
        <v>0.83220000000000005</v>
      </c>
      <c r="Q13" s="5">
        <v>0.82740000000000002</v>
      </c>
      <c r="R13" s="5">
        <v>0.81810000000000005</v>
      </c>
      <c r="S13" s="5">
        <v>0.78900000000000003</v>
      </c>
      <c r="T13" s="5">
        <v>0.85119999999999996</v>
      </c>
      <c r="U13" s="5">
        <v>0.80669999999999997</v>
      </c>
      <c r="V13" s="37"/>
    </row>
    <row r="14" spans="2:23">
      <c r="B14" s="24">
        <v>5.0000000002910383E-2</v>
      </c>
      <c r="C14" s="2">
        <v>0.88600000000000001</v>
      </c>
      <c r="D14" s="2">
        <v>0.91990000000000005</v>
      </c>
      <c r="E14" s="2">
        <v>0.94910000000000005</v>
      </c>
      <c r="F14" s="2">
        <v>0.87009999999999998</v>
      </c>
      <c r="G14" s="5">
        <v>0.94799999999999995</v>
      </c>
      <c r="H14" s="5">
        <v>0.91920000000000002</v>
      </c>
      <c r="I14" s="5">
        <v>0.8266</v>
      </c>
      <c r="J14" s="5">
        <v>0.80940000000000001</v>
      </c>
      <c r="K14" s="37"/>
      <c r="M14" s="2">
        <v>0.81220000000000003</v>
      </c>
      <c r="N14" s="2">
        <v>0.8216</v>
      </c>
      <c r="O14" s="2">
        <v>0.81520000000000004</v>
      </c>
      <c r="P14" s="2">
        <v>0.92190000000000005</v>
      </c>
      <c r="Q14" s="5">
        <v>0.86829999999999996</v>
      </c>
      <c r="R14" s="5">
        <v>0.82479999999999998</v>
      </c>
      <c r="S14" s="5">
        <v>0.82230000000000003</v>
      </c>
      <c r="T14" s="5">
        <v>0.82640000000000002</v>
      </c>
      <c r="U14" s="5">
        <v>0.78</v>
      </c>
      <c r="V14" s="37"/>
    </row>
    <row r="15" spans="2:23">
      <c r="B15" s="24">
        <v>6.25E-2</v>
      </c>
      <c r="C15" s="2">
        <v>0.88009999999999999</v>
      </c>
      <c r="D15" s="2">
        <v>0.92600000000000005</v>
      </c>
      <c r="E15" s="2">
        <v>0.94599999999999995</v>
      </c>
      <c r="F15" s="2">
        <v>0.9395</v>
      </c>
      <c r="G15" s="5">
        <v>0.94640000000000002</v>
      </c>
      <c r="H15" s="5">
        <v>0.90129999999999999</v>
      </c>
      <c r="I15" s="5">
        <v>0.84719999999999995</v>
      </c>
      <c r="J15" s="5">
        <v>0.8387</v>
      </c>
      <c r="K15" s="37"/>
      <c r="M15" s="2">
        <v>0.82540000000000002</v>
      </c>
      <c r="N15" s="2">
        <v>0.88439999999999996</v>
      </c>
      <c r="O15" s="2">
        <v>0.87639999999999996</v>
      </c>
      <c r="P15" s="2">
        <v>0.89529999999999998</v>
      </c>
      <c r="Q15" s="5">
        <v>0.83979999999999999</v>
      </c>
      <c r="R15" s="5">
        <v>0.82920000000000005</v>
      </c>
      <c r="S15" s="5">
        <v>0.75590000000000002</v>
      </c>
      <c r="T15" s="5">
        <v>0.85460000000000003</v>
      </c>
      <c r="U15" s="5">
        <v>0.79039999999999999</v>
      </c>
      <c r="V15" s="37"/>
    </row>
    <row r="16" spans="2:23">
      <c r="B16" s="24">
        <v>7.4999999997089617E-2</v>
      </c>
      <c r="C16" s="2">
        <v>0.86819999999999997</v>
      </c>
      <c r="D16" s="2">
        <v>0.91369999999999996</v>
      </c>
      <c r="E16" s="2">
        <v>0.94279999999999997</v>
      </c>
      <c r="F16" s="2">
        <v>0.92659999999999998</v>
      </c>
      <c r="G16" s="5">
        <v>0.95909999999999995</v>
      </c>
      <c r="H16" s="5">
        <v>0.9093</v>
      </c>
      <c r="I16" s="5">
        <v>0.89639999999999997</v>
      </c>
      <c r="J16" s="5">
        <v>0.90769999999999995</v>
      </c>
      <c r="K16" s="37"/>
      <c r="M16" s="2">
        <v>0.86360000000000003</v>
      </c>
      <c r="N16" s="2">
        <v>0.85419999999999996</v>
      </c>
      <c r="O16" s="2">
        <v>0.92330000000000001</v>
      </c>
      <c r="P16" s="2">
        <v>0.85109999999999997</v>
      </c>
      <c r="Q16" s="5">
        <v>0.80630000000000002</v>
      </c>
      <c r="R16" s="5">
        <v>0.82830000000000004</v>
      </c>
      <c r="S16" s="5">
        <v>0.82679999999999998</v>
      </c>
      <c r="T16" s="5">
        <v>0.87329999999999997</v>
      </c>
      <c r="U16" s="5">
        <v>0.79510000000000003</v>
      </c>
      <c r="V16" s="37"/>
    </row>
    <row r="17" spans="2:22">
      <c r="B17" s="24">
        <v>8.7500000001455192E-2</v>
      </c>
      <c r="C17" s="2">
        <v>0.88280000000000003</v>
      </c>
      <c r="D17" s="2">
        <v>0.93710000000000004</v>
      </c>
      <c r="E17" s="2">
        <v>0.93569999999999998</v>
      </c>
      <c r="F17" s="2">
        <v>0.89029999999999998</v>
      </c>
      <c r="G17" s="5">
        <v>0.94369999999999998</v>
      </c>
      <c r="H17" s="5">
        <v>0.90469999999999995</v>
      </c>
      <c r="I17" s="5">
        <v>0.87129999999999996</v>
      </c>
      <c r="J17" s="5">
        <v>0.85660000000000003</v>
      </c>
      <c r="K17" s="37"/>
      <c r="M17" s="2">
        <v>0.87809999999999999</v>
      </c>
      <c r="N17" s="2">
        <v>0.85529999999999995</v>
      </c>
      <c r="O17" s="2">
        <v>0.91049999999999998</v>
      </c>
      <c r="P17" s="2">
        <v>0.84689999999999999</v>
      </c>
      <c r="Q17" s="5">
        <v>0.90539999999999998</v>
      </c>
      <c r="R17" s="5">
        <v>0.80820000000000003</v>
      </c>
      <c r="S17" s="5">
        <v>0.78049999999999997</v>
      </c>
      <c r="T17" s="5">
        <v>0.89339999999999997</v>
      </c>
      <c r="U17" s="5">
        <v>0.7782</v>
      </c>
      <c r="V17" s="37"/>
    </row>
    <row r="18" spans="2:22">
      <c r="B18" s="24">
        <v>9.9999999998544808E-2</v>
      </c>
      <c r="C18" s="2">
        <v>0.92859999999999998</v>
      </c>
      <c r="D18" s="2">
        <v>0.97619999999999996</v>
      </c>
      <c r="E18" s="2">
        <v>0.96709999999999996</v>
      </c>
      <c r="F18" s="2">
        <v>0.91039999999999999</v>
      </c>
      <c r="G18" s="5">
        <v>0.93479999999999996</v>
      </c>
      <c r="H18" s="5">
        <v>0.94930000000000003</v>
      </c>
      <c r="I18" s="5">
        <v>0.82440000000000002</v>
      </c>
      <c r="J18" s="5">
        <v>0.85399999999999998</v>
      </c>
      <c r="K18" s="37"/>
      <c r="M18" s="2">
        <v>0.87609999999999999</v>
      </c>
      <c r="N18" s="2">
        <v>0.82899999999999996</v>
      </c>
      <c r="O18" s="2">
        <v>0.85650000000000004</v>
      </c>
      <c r="P18" s="2">
        <v>0.85050000000000003</v>
      </c>
      <c r="Q18" s="5">
        <v>0.89419999999999999</v>
      </c>
      <c r="R18" s="5">
        <v>0.86439999999999995</v>
      </c>
      <c r="S18" s="5">
        <v>0.80130000000000001</v>
      </c>
      <c r="T18" s="5">
        <v>0.86709999999999998</v>
      </c>
      <c r="U18" s="5">
        <v>0.78349999999999997</v>
      </c>
      <c r="V18" s="37"/>
    </row>
    <row r="19" spans="2:22">
      <c r="B19" s="24">
        <v>0.11250000000291038</v>
      </c>
      <c r="C19" s="2">
        <v>0.93320000000000003</v>
      </c>
      <c r="D19" s="2">
        <v>0.94499999999999995</v>
      </c>
      <c r="E19" s="2">
        <v>0.95940000000000003</v>
      </c>
      <c r="F19" s="2">
        <v>0.91859999999999997</v>
      </c>
      <c r="G19" s="5">
        <v>0.96750000000000003</v>
      </c>
      <c r="H19" s="5">
        <v>0.93210000000000004</v>
      </c>
      <c r="I19" s="5">
        <v>0.80869999999999997</v>
      </c>
      <c r="J19" s="5">
        <v>0.85799999999999998</v>
      </c>
      <c r="K19" s="37"/>
      <c r="M19" s="2">
        <v>0.82650000000000001</v>
      </c>
      <c r="N19" s="2">
        <v>0.83479999999999999</v>
      </c>
      <c r="O19" s="2">
        <v>0.89639999999999997</v>
      </c>
      <c r="P19" s="2">
        <v>0.89670000000000005</v>
      </c>
      <c r="Q19" s="5">
        <v>0.88570000000000004</v>
      </c>
      <c r="R19" s="5">
        <v>0.84689999999999999</v>
      </c>
      <c r="S19" s="5">
        <v>0.78910000000000002</v>
      </c>
      <c r="T19" s="5">
        <v>0.8236</v>
      </c>
      <c r="U19" s="5">
        <v>0.82079999999999997</v>
      </c>
      <c r="V19" s="37"/>
    </row>
    <row r="20" spans="2:22">
      <c r="B20" s="24">
        <v>0.125</v>
      </c>
      <c r="C20" s="2">
        <v>0.90620000000000001</v>
      </c>
      <c r="D20" s="2">
        <v>0.90890000000000004</v>
      </c>
      <c r="E20" s="2">
        <v>0.94820000000000004</v>
      </c>
      <c r="F20" s="2">
        <v>0.94969999999999999</v>
      </c>
      <c r="G20" s="5">
        <v>0.95730000000000004</v>
      </c>
      <c r="H20" s="5">
        <v>0.91520000000000001</v>
      </c>
      <c r="I20" s="5">
        <v>0.82210000000000005</v>
      </c>
      <c r="J20" s="5">
        <v>0.84709999999999996</v>
      </c>
      <c r="K20" s="37"/>
      <c r="M20" s="2">
        <v>0.86850000000000005</v>
      </c>
      <c r="N20" s="2">
        <v>0.80349999999999999</v>
      </c>
      <c r="O20" s="2">
        <v>0.88900000000000001</v>
      </c>
      <c r="P20" s="2">
        <v>0.86170000000000002</v>
      </c>
      <c r="Q20" s="5">
        <v>0.81740000000000002</v>
      </c>
      <c r="R20" s="5">
        <v>0.87239999999999995</v>
      </c>
      <c r="S20" s="5">
        <v>0.79049999999999998</v>
      </c>
      <c r="T20" s="5">
        <v>0.81940000000000002</v>
      </c>
      <c r="U20" s="5">
        <v>0.78510000000000002</v>
      </c>
      <c r="V20" s="37"/>
    </row>
    <row r="21" spans="2:22">
      <c r="B21" s="24">
        <v>0.13749999999708962</v>
      </c>
      <c r="C21" s="2">
        <v>0.89929999999999999</v>
      </c>
      <c r="D21" s="2">
        <v>0.92689999999999995</v>
      </c>
      <c r="E21" s="2">
        <v>0.96109999999999995</v>
      </c>
      <c r="F21" s="2">
        <v>0.91120000000000001</v>
      </c>
      <c r="G21" s="5">
        <v>0.96930000000000005</v>
      </c>
      <c r="H21" s="5">
        <v>0.88390000000000002</v>
      </c>
      <c r="I21" s="5">
        <v>0.81620000000000004</v>
      </c>
      <c r="J21" s="5">
        <v>0.83209999999999995</v>
      </c>
      <c r="K21" s="37"/>
      <c r="M21" s="2">
        <v>0.88539999999999996</v>
      </c>
      <c r="N21" s="2">
        <v>0.86639999999999995</v>
      </c>
      <c r="O21" s="2">
        <v>0.85389999999999999</v>
      </c>
      <c r="P21" s="2">
        <v>0.80410000000000004</v>
      </c>
      <c r="Q21" s="5">
        <v>0.91169999999999995</v>
      </c>
      <c r="R21" s="5">
        <v>0.88239999999999996</v>
      </c>
      <c r="S21" s="5">
        <v>0.82120000000000004</v>
      </c>
      <c r="T21" s="5">
        <v>0.81759999999999999</v>
      </c>
      <c r="U21" s="5">
        <v>0.7722</v>
      </c>
      <c r="V21" s="37"/>
    </row>
    <row r="22" spans="2:22">
      <c r="B22" s="24">
        <v>0.15000000000145519</v>
      </c>
      <c r="C22" s="2">
        <v>0.89219999999999999</v>
      </c>
      <c r="D22" s="2">
        <v>0.96389999999999998</v>
      </c>
      <c r="E22" s="2">
        <v>0.87870000000000004</v>
      </c>
      <c r="F22" s="2">
        <v>0.9204</v>
      </c>
      <c r="G22" s="5">
        <v>0.94</v>
      </c>
      <c r="H22" s="5">
        <v>0.91649999999999998</v>
      </c>
      <c r="I22" s="5">
        <v>0.79200000000000004</v>
      </c>
      <c r="J22" s="5">
        <v>0.82379999999999998</v>
      </c>
      <c r="K22" s="37"/>
      <c r="M22" s="2">
        <v>0.90349999999999997</v>
      </c>
      <c r="N22" s="2">
        <v>0.87109999999999999</v>
      </c>
      <c r="O22" s="2">
        <v>0.88460000000000005</v>
      </c>
      <c r="P22" s="2">
        <v>0.79559999999999997</v>
      </c>
      <c r="Q22" s="5">
        <v>0.89439999999999997</v>
      </c>
      <c r="R22" s="5">
        <v>0.87639999999999996</v>
      </c>
      <c r="S22" s="5">
        <v>0.86709999999999998</v>
      </c>
      <c r="T22" s="5">
        <v>0.8125</v>
      </c>
      <c r="U22" s="5">
        <v>0.79849999999999999</v>
      </c>
      <c r="V22" s="37"/>
    </row>
    <row r="23" spans="2:22">
      <c r="B23" s="24">
        <v>0.16249999999854481</v>
      </c>
      <c r="C23" s="2">
        <v>0.9425</v>
      </c>
      <c r="D23" s="2">
        <v>0.93659999999999999</v>
      </c>
      <c r="E23" s="2">
        <v>0.8831</v>
      </c>
      <c r="F23" s="2">
        <v>0.88670000000000004</v>
      </c>
      <c r="G23" s="5">
        <v>0.97299999999999998</v>
      </c>
      <c r="H23" s="5">
        <v>0.95909999999999995</v>
      </c>
      <c r="I23" s="5">
        <v>0.85919999999999996</v>
      </c>
      <c r="J23" s="5">
        <v>0.82709999999999995</v>
      </c>
      <c r="K23" s="37"/>
      <c r="M23" s="2">
        <v>0.89900000000000002</v>
      </c>
      <c r="N23" s="2">
        <v>0.87439999999999996</v>
      </c>
      <c r="O23" s="2">
        <v>0.89470000000000005</v>
      </c>
      <c r="P23" s="2">
        <v>0.86119999999999997</v>
      </c>
      <c r="Q23" s="5">
        <v>0.8427</v>
      </c>
      <c r="R23" s="5">
        <v>0.84960000000000002</v>
      </c>
      <c r="S23" s="5">
        <v>0.87409999999999999</v>
      </c>
      <c r="T23" s="5">
        <v>0.93010000000000004</v>
      </c>
      <c r="U23" s="5">
        <v>0.79669999999999996</v>
      </c>
      <c r="V23" s="37"/>
    </row>
    <row r="24" spans="2:22">
      <c r="B24" s="24">
        <v>0.17500000000291038</v>
      </c>
      <c r="C24" s="2">
        <v>0.90039999999999998</v>
      </c>
      <c r="D24" s="2">
        <v>0.94350000000000001</v>
      </c>
      <c r="E24" s="2">
        <v>0.94240000000000002</v>
      </c>
      <c r="F24" s="2">
        <v>0.88119999999999998</v>
      </c>
      <c r="G24" s="5">
        <v>0.98809999999999998</v>
      </c>
      <c r="H24" s="5">
        <v>0.95960000000000001</v>
      </c>
      <c r="I24" s="5">
        <v>0.94099999999999995</v>
      </c>
      <c r="J24" s="5">
        <v>0.87419999999999998</v>
      </c>
      <c r="K24" s="37"/>
      <c r="M24" s="2">
        <v>0.86709999999999998</v>
      </c>
      <c r="N24" s="2">
        <v>0.84809999999999997</v>
      </c>
      <c r="O24" s="2">
        <v>0.82289999999999996</v>
      </c>
      <c r="P24" s="2">
        <v>0.9284</v>
      </c>
      <c r="Q24" s="5">
        <v>0.86060000000000003</v>
      </c>
      <c r="R24" s="5">
        <v>0.8649</v>
      </c>
      <c r="S24" s="5">
        <v>0.82630000000000003</v>
      </c>
      <c r="T24" s="5">
        <v>0.89729999999999999</v>
      </c>
      <c r="U24" s="5">
        <v>0.87480000000000002</v>
      </c>
      <c r="V24" s="37"/>
    </row>
    <row r="25" spans="2:22">
      <c r="B25" s="24">
        <v>0.1875</v>
      </c>
      <c r="C25" s="2">
        <v>0.97499999999999998</v>
      </c>
      <c r="D25" s="2">
        <v>0.93320000000000003</v>
      </c>
      <c r="E25" s="2">
        <v>0.92679999999999996</v>
      </c>
      <c r="F25" s="2">
        <v>0.874</v>
      </c>
      <c r="G25" s="5">
        <v>0.96719999999999995</v>
      </c>
      <c r="H25" s="5">
        <v>0.97030000000000005</v>
      </c>
      <c r="I25" s="5">
        <v>0.90239999999999998</v>
      </c>
      <c r="J25" s="5">
        <v>0.83379999999999999</v>
      </c>
      <c r="K25" s="37"/>
      <c r="M25" s="2">
        <v>0.87090000000000001</v>
      </c>
      <c r="N25" s="2">
        <v>0.88739999999999997</v>
      </c>
      <c r="O25" s="2">
        <v>0.8367</v>
      </c>
      <c r="P25" s="2">
        <v>0.86350000000000005</v>
      </c>
      <c r="Q25" s="5">
        <v>0.87680000000000002</v>
      </c>
      <c r="R25" s="5">
        <v>0.90339999999999998</v>
      </c>
      <c r="S25" s="5">
        <v>0.82150000000000001</v>
      </c>
      <c r="T25" s="5">
        <v>0.91739999999999999</v>
      </c>
      <c r="U25" s="5">
        <v>0.89239999999999997</v>
      </c>
      <c r="V25" s="37"/>
    </row>
    <row r="26" spans="2:22">
      <c r="B26" s="24">
        <v>0.19999999999708962</v>
      </c>
      <c r="C26" s="2">
        <v>0.92920000000000003</v>
      </c>
      <c r="D26" s="2">
        <v>0.94879999999999998</v>
      </c>
      <c r="E26" s="2">
        <v>0.96650000000000003</v>
      </c>
      <c r="F26" s="2">
        <v>0.874</v>
      </c>
      <c r="G26" s="5">
        <v>0.95140000000000002</v>
      </c>
      <c r="H26" s="5">
        <v>0.95889999999999997</v>
      </c>
      <c r="I26" s="5">
        <v>0.89370000000000005</v>
      </c>
      <c r="J26" s="5">
        <v>0.84389999999999998</v>
      </c>
      <c r="K26" s="37"/>
      <c r="M26" s="2">
        <v>0.87870000000000004</v>
      </c>
      <c r="N26" s="2">
        <v>0.85580000000000001</v>
      </c>
      <c r="O26" s="2">
        <v>0.82520000000000004</v>
      </c>
      <c r="P26" s="2">
        <v>0.84079999999999999</v>
      </c>
      <c r="Q26" s="5">
        <v>0.91300000000000003</v>
      </c>
      <c r="R26" s="5">
        <v>0.8448</v>
      </c>
      <c r="S26" s="5">
        <v>0.81869999999999998</v>
      </c>
      <c r="T26" s="5">
        <v>0.83960000000000001</v>
      </c>
      <c r="U26" s="5">
        <v>0.84730000000000005</v>
      </c>
      <c r="V26" s="37"/>
    </row>
    <row r="27" spans="2:22">
      <c r="B27" s="24">
        <v>0.21250000000145519</v>
      </c>
      <c r="C27" s="2">
        <v>0.99070000000000003</v>
      </c>
      <c r="D27" s="2">
        <v>0.97230000000000005</v>
      </c>
      <c r="E27" s="2">
        <v>0.97360000000000002</v>
      </c>
      <c r="F27" s="2">
        <v>0.876</v>
      </c>
      <c r="G27" s="5">
        <v>0.98629999999999995</v>
      </c>
      <c r="H27" s="5">
        <v>0.96740000000000004</v>
      </c>
      <c r="I27" s="5">
        <v>0.81499999999999995</v>
      </c>
      <c r="J27" s="5">
        <v>0.83509999999999995</v>
      </c>
      <c r="K27" s="37"/>
      <c r="M27" s="2">
        <v>0.87319999999999998</v>
      </c>
      <c r="N27" s="2">
        <v>0.87250000000000005</v>
      </c>
      <c r="O27" s="2">
        <v>0.88629999999999998</v>
      </c>
      <c r="P27" s="2">
        <v>0.88280000000000003</v>
      </c>
      <c r="Q27" s="5">
        <v>0.86939999999999995</v>
      </c>
      <c r="R27" s="5">
        <v>0.91700000000000004</v>
      </c>
      <c r="S27" s="5">
        <v>0.83230000000000004</v>
      </c>
      <c r="T27" s="5">
        <v>0.86270000000000002</v>
      </c>
      <c r="U27" s="5">
        <v>0.85619999999999996</v>
      </c>
      <c r="V27" s="37"/>
    </row>
    <row r="28" spans="2:22">
      <c r="B28" s="24">
        <v>0.22499999999854481</v>
      </c>
      <c r="C28" s="2">
        <v>0.94550000000000001</v>
      </c>
      <c r="D28" s="2">
        <v>0.94230000000000003</v>
      </c>
      <c r="E28" s="2">
        <v>0.94610000000000005</v>
      </c>
      <c r="F28" s="2">
        <v>0.86929999999999996</v>
      </c>
      <c r="G28" s="5">
        <v>0.95099999999999996</v>
      </c>
      <c r="H28" s="5">
        <v>0.97899999999999998</v>
      </c>
      <c r="I28" s="5">
        <v>0.82699999999999996</v>
      </c>
      <c r="J28" s="5">
        <v>0.87219999999999998</v>
      </c>
      <c r="K28" s="37"/>
      <c r="M28" s="2">
        <v>0.89600000000000002</v>
      </c>
      <c r="N28" s="2">
        <v>0.91149999999999998</v>
      </c>
      <c r="O28" s="2">
        <v>0.90969999999999995</v>
      </c>
      <c r="P28" s="2">
        <v>0.87519999999999998</v>
      </c>
      <c r="Q28" s="5">
        <v>0.87929999999999997</v>
      </c>
      <c r="R28" s="5">
        <v>0.81179999999999997</v>
      </c>
      <c r="S28" s="5">
        <v>0.8266</v>
      </c>
      <c r="T28" s="5">
        <v>0.86750000000000005</v>
      </c>
      <c r="U28" s="5">
        <v>0.85040000000000004</v>
      </c>
      <c r="V28" s="37"/>
    </row>
    <row r="29" spans="2:22">
      <c r="B29" s="24">
        <v>0.23750000000291038</v>
      </c>
      <c r="C29" s="2">
        <v>0.93899999999999995</v>
      </c>
      <c r="D29" s="2">
        <v>0.92230000000000001</v>
      </c>
      <c r="E29" s="2">
        <v>0.94579999999999997</v>
      </c>
      <c r="F29" s="2">
        <v>0.91669999999999996</v>
      </c>
      <c r="G29" s="5">
        <v>0.97330000000000005</v>
      </c>
      <c r="H29" s="5">
        <v>0.96779999999999999</v>
      </c>
      <c r="I29" s="5">
        <v>0.81479999999999997</v>
      </c>
      <c r="J29" s="5">
        <v>0.8881</v>
      </c>
      <c r="K29" s="37"/>
      <c r="M29" s="2">
        <v>0.9073</v>
      </c>
      <c r="N29" s="2">
        <v>0.88629999999999998</v>
      </c>
      <c r="O29" s="2">
        <v>0.871</v>
      </c>
      <c r="P29" s="2">
        <v>0.86899999999999999</v>
      </c>
      <c r="Q29" s="5">
        <v>0.89090000000000003</v>
      </c>
      <c r="R29" s="5">
        <v>0.81699999999999995</v>
      </c>
      <c r="S29" s="5">
        <v>0.81499999999999995</v>
      </c>
      <c r="T29" s="5">
        <v>0.86709999999999998</v>
      </c>
      <c r="U29" s="5">
        <v>0.83360000000000001</v>
      </c>
      <c r="V29" s="37"/>
    </row>
    <row r="30" spans="2:22">
      <c r="B30" s="24">
        <v>0.25</v>
      </c>
      <c r="C30" s="2">
        <v>0.9919</v>
      </c>
      <c r="D30" s="2">
        <v>0.94579999999999997</v>
      </c>
      <c r="E30" s="2">
        <v>1.0113000000000001</v>
      </c>
      <c r="F30" s="2">
        <v>0.93659999999999999</v>
      </c>
      <c r="G30" s="5">
        <v>0.97199999999999998</v>
      </c>
      <c r="H30" s="5">
        <v>0.99690000000000001</v>
      </c>
      <c r="I30" s="5">
        <v>0.8105</v>
      </c>
      <c r="J30" s="5">
        <v>0.8659</v>
      </c>
      <c r="K30" s="37"/>
      <c r="M30" s="2">
        <v>0.86170000000000002</v>
      </c>
      <c r="N30" s="2">
        <v>0.87970000000000004</v>
      </c>
      <c r="O30" s="2">
        <v>0.84219999999999995</v>
      </c>
      <c r="P30" s="2">
        <v>0.84150000000000003</v>
      </c>
      <c r="Q30" s="5">
        <v>0.84560000000000002</v>
      </c>
      <c r="R30" s="5">
        <v>0.80669999999999997</v>
      </c>
      <c r="S30" s="5">
        <v>0.85940000000000005</v>
      </c>
      <c r="T30" s="5">
        <v>0.88039999999999996</v>
      </c>
      <c r="U30" s="5">
        <v>0.82789999999999997</v>
      </c>
      <c r="V30" s="37"/>
    </row>
    <row r="31" spans="2:22">
      <c r="B31" s="24">
        <v>0.26249999999708962</v>
      </c>
      <c r="C31" s="2">
        <v>0.98599999999999999</v>
      </c>
      <c r="D31" s="2">
        <v>0.95150000000000001</v>
      </c>
      <c r="E31" s="2">
        <v>0.94830000000000003</v>
      </c>
      <c r="F31" s="2">
        <v>0.93110000000000004</v>
      </c>
      <c r="G31" s="5">
        <v>0.97219999999999995</v>
      </c>
      <c r="H31" s="5">
        <v>0.91769999999999996</v>
      </c>
      <c r="I31" s="5">
        <v>0.85109999999999997</v>
      </c>
      <c r="J31" s="5">
        <v>0.82140000000000002</v>
      </c>
      <c r="K31" s="37"/>
      <c r="M31" s="2">
        <v>0.82650000000000001</v>
      </c>
      <c r="N31" s="2">
        <v>0.90139999999999998</v>
      </c>
      <c r="O31" s="2">
        <v>0.86919999999999997</v>
      </c>
      <c r="P31" s="2">
        <v>0.92989999999999995</v>
      </c>
      <c r="Q31" s="5">
        <v>0.82889999999999997</v>
      </c>
      <c r="R31" s="5">
        <v>0.78269999999999995</v>
      </c>
      <c r="S31" s="5">
        <v>0.82199999999999995</v>
      </c>
      <c r="T31" s="5">
        <v>0.8518</v>
      </c>
      <c r="U31" s="5">
        <v>0.83020000000000005</v>
      </c>
      <c r="V31" s="37"/>
    </row>
    <row r="32" spans="2:22">
      <c r="B32" s="24">
        <v>0.27500000000145519</v>
      </c>
      <c r="C32" s="2">
        <v>0.91439999999999999</v>
      </c>
      <c r="D32" s="2">
        <v>0.95009999999999994</v>
      </c>
      <c r="E32" s="2">
        <v>0.9264</v>
      </c>
      <c r="F32" s="2">
        <v>0.92869999999999997</v>
      </c>
      <c r="G32" s="5">
        <v>0.99029999999999996</v>
      </c>
      <c r="H32" s="5">
        <v>0.99770000000000003</v>
      </c>
      <c r="I32" s="5">
        <v>0.90859999999999996</v>
      </c>
      <c r="J32" s="5">
        <v>0.84509999999999996</v>
      </c>
      <c r="K32" s="37"/>
      <c r="M32" s="2">
        <v>0.8609</v>
      </c>
      <c r="N32" s="2">
        <v>0.88300000000000001</v>
      </c>
      <c r="O32" s="2">
        <v>0.84370000000000001</v>
      </c>
      <c r="P32" s="2">
        <v>0.91579999999999995</v>
      </c>
      <c r="Q32" s="5">
        <v>0.92720000000000002</v>
      </c>
      <c r="R32" s="5">
        <v>0.77490000000000003</v>
      </c>
      <c r="S32" s="5">
        <v>0.84440000000000004</v>
      </c>
      <c r="T32" s="5">
        <v>0.87229999999999996</v>
      </c>
      <c r="U32" s="5">
        <v>0.8044</v>
      </c>
      <c r="V32" s="37"/>
    </row>
    <row r="33" spans="2:22">
      <c r="B33" s="24">
        <v>0.28749999999854481</v>
      </c>
      <c r="C33" s="2">
        <v>0.87690000000000001</v>
      </c>
      <c r="D33" s="2">
        <v>0.96650000000000003</v>
      </c>
      <c r="E33" s="2">
        <v>0.92279999999999995</v>
      </c>
      <c r="F33" s="2">
        <v>0.9758</v>
      </c>
      <c r="G33" s="5">
        <v>0.97719999999999996</v>
      </c>
      <c r="H33" s="5">
        <v>1.0009999999999999</v>
      </c>
      <c r="I33" s="5">
        <v>0.88919999999999999</v>
      </c>
      <c r="J33" s="5">
        <v>0.90810000000000002</v>
      </c>
      <c r="K33" s="37"/>
      <c r="M33" s="2">
        <v>0.90629999999999999</v>
      </c>
      <c r="N33" s="2">
        <v>0.93740000000000001</v>
      </c>
      <c r="O33" s="2">
        <v>0.84030000000000005</v>
      </c>
      <c r="P33" s="2">
        <v>0.86870000000000003</v>
      </c>
      <c r="Q33" s="5">
        <v>0.8125</v>
      </c>
      <c r="R33" s="5">
        <v>0.86280000000000001</v>
      </c>
      <c r="S33" s="5">
        <v>0.8911</v>
      </c>
      <c r="T33" s="5">
        <v>0.90759999999999996</v>
      </c>
      <c r="U33" s="5">
        <v>0.81579999999999997</v>
      </c>
      <c r="V33" s="37"/>
    </row>
    <row r="34" spans="2:22">
      <c r="B34" s="24">
        <v>0.30000000000291038</v>
      </c>
      <c r="C34" s="2">
        <v>0.96199999999999997</v>
      </c>
      <c r="D34" s="2">
        <v>0.94159999999999999</v>
      </c>
      <c r="E34" s="2">
        <v>0.96599999999999997</v>
      </c>
      <c r="F34" s="2">
        <v>0.93210000000000004</v>
      </c>
      <c r="G34" s="5">
        <v>0.98699999999999999</v>
      </c>
      <c r="H34" s="5">
        <v>0.96619999999999995</v>
      </c>
      <c r="I34" s="5">
        <v>0.85980000000000001</v>
      </c>
      <c r="J34" s="5">
        <v>0.89959999999999996</v>
      </c>
      <c r="K34" s="37"/>
      <c r="M34" s="2">
        <v>0.92490000000000006</v>
      </c>
      <c r="N34" s="2">
        <v>0.92</v>
      </c>
      <c r="O34" s="2">
        <v>0.86850000000000005</v>
      </c>
      <c r="P34" s="2">
        <v>0.96030000000000004</v>
      </c>
      <c r="Q34" s="5">
        <v>0.93479999999999996</v>
      </c>
      <c r="R34" s="5">
        <v>0.83020000000000005</v>
      </c>
      <c r="S34" s="5">
        <v>0.87139999999999995</v>
      </c>
      <c r="T34" s="5">
        <v>0.87139999999999995</v>
      </c>
      <c r="U34" s="5">
        <v>0.81359999999999999</v>
      </c>
      <c r="V34" s="37"/>
    </row>
    <row r="35" spans="2:22">
      <c r="B35" s="24">
        <v>0.3125</v>
      </c>
      <c r="C35" s="2">
        <v>0.94889999999999997</v>
      </c>
      <c r="D35" s="2">
        <v>0.91749999999999998</v>
      </c>
      <c r="E35" s="2">
        <v>0.97799999999999998</v>
      </c>
      <c r="F35" s="2">
        <v>1.0071000000000001</v>
      </c>
      <c r="G35" s="5">
        <v>0.97760000000000002</v>
      </c>
      <c r="H35" s="5">
        <v>0.98750000000000004</v>
      </c>
      <c r="I35" s="5">
        <v>0.88090000000000002</v>
      </c>
      <c r="J35" s="5">
        <v>0.90600000000000003</v>
      </c>
      <c r="K35" s="37"/>
      <c r="M35" s="2">
        <v>0.90939999999999999</v>
      </c>
      <c r="N35" s="2">
        <v>0.95130000000000003</v>
      </c>
      <c r="O35" s="2">
        <v>0.87350000000000005</v>
      </c>
      <c r="P35" s="2">
        <v>0.96750000000000003</v>
      </c>
      <c r="Q35" s="5">
        <v>0.92290000000000005</v>
      </c>
      <c r="R35" s="5">
        <v>0.88800000000000001</v>
      </c>
      <c r="S35" s="5">
        <v>0.83730000000000004</v>
      </c>
      <c r="T35" s="5">
        <v>0.89649999999999996</v>
      </c>
      <c r="U35" s="5">
        <v>0.82230000000000003</v>
      </c>
      <c r="V35" s="37"/>
    </row>
    <row r="36" spans="2:22">
      <c r="B36" s="24">
        <v>0.32499999999708962</v>
      </c>
      <c r="C36" s="2">
        <v>0.9577</v>
      </c>
      <c r="D36" s="2">
        <v>0.93720000000000003</v>
      </c>
      <c r="E36" s="2">
        <v>0.92130000000000001</v>
      </c>
      <c r="F36" s="2">
        <v>0.92049999999999998</v>
      </c>
      <c r="G36" s="5">
        <v>0.99050000000000005</v>
      </c>
      <c r="H36" s="5">
        <v>0.94899999999999995</v>
      </c>
      <c r="I36" s="5">
        <v>0.84509999999999996</v>
      </c>
      <c r="J36" s="5">
        <v>0.90390000000000004</v>
      </c>
      <c r="K36" s="37"/>
      <c r="M36" s="2">
        <v>0.91139999999999999</v>
      </c>
      <c r="N36" s="2">
        <v>0.93410000000000004</v>
      </c>
      <c r="O36" s="2">
        <v>0.95699999999999996</v>
      </c>
      <c r="P36" s="2">
        <v>0.82969999999999999</v>
      </c>
      <c r="Q36" s="5">
        <v>0.89780000000000004</v>
      </c>
      <c r="R36" s="5">
        <v>0.89559999999999995</v>
      </c>
      <c r="S36" s="5">
        <v>0.84750000000000003</v>
      </c>
      <c r="T36" s="5">
        <v>0.8851</v>
      </c>
      <c r="U36" s="5">
        <v>0.84570000000000001</v>
      </c>
      <c r="V36" s="37"/>
    </row>
    <row r="37" spans="2:22">
      <c r="B37" s="24">
        <v>0.33750000000145519</v>
      </c>
      <c r="C37" s="2">
        <v>0.8891</v>
      </c>
      <c r="D37" s="2">
        <v>0.83960000000000001</v>
      </c>
      <c r="E37" s="2">
        <v>0.89480000000000004</v>
      </c>
      <c r="F37" s="2">
        <v>0.9254</v>
      </c>
      <c r="G37" s="5">
        <v>0.95599999999999996</v>
      </c>
      <c r="H37" s="5">
        <v>0.99160000000000004</v>
      </c>
      <c r="I37" s="5">
        <v>0.8357</v>
      </c>
      <c r="J37" s="5">
        <v>0.87039999999999995</v>
      </c>
      <c r="K37" s="37"/>
      <c r="M37" s="2">
        <v>0.84130000000000005</v>
      </c>
      <c r="N37" s="2">
        <v>0.88470000000000004</v>
      </c>
      <c r="O37" s="2">
        <v>0.92649999999999999</v>
      </c>
      <c r="P37" s="2">
        <v>0.91139999999999999</v>
      </c>
      <c r="Q37" s="5">
        <v>0.88919999999999999</v>
      </c>
      <c r="R37" s="5">
        <v>0.87280000000000002</v>
      </c>
      <c r="S37" s="5">
        <v>0.82579999999999998</v>
      </c>
      <c r="T37" s="5">
        <v>0.86339999999999995</v>
      </c>
      <c r="U37" s="5">
        <v>0.82110000000000005</v>
      </c>
      <c r="V37" s="37"/>
    </row>
    <row r="38" spans="2:22">
      <c r="B38" s="24">
        <v>0.34999999999854481</v>
      </c>
      <c r="C38" s="2">
        <v>0.89570000000000005</v>
      </c>
      <c r="D38" s="2">
        <v>0.94220000000000004</v>
      </c>
      <c r="E38" s="2">
        <v>0.89729999999999999</v>
      </c>
      <c r="F38" s="2">
        <v>0.87409999999999999</v>
      </c>
      <c r="G38" s="5">
        <v>0.93889999999999996</v>
      </c>
      <c r="H38" s="5">
        <v>0.98419999999999996</v>
      </c>
      <c r="I38" s="5">
        <v>0.85609999999999997</v>
      </c>
      <c r="J38" s="5">
        <v>0.87029999999999996</v>
      </c>
      <c r="K38" s="37"/>
      <c r="M38" s="2">
        <v>0.82130000000000003</v>
      </c>
      <c r="N38" s="2">
        <v>0.86739999999999995</v>
      </c>
      <c r="O38" s="2">
        <v>0.86980000000000002</v>
      </c>
      <c r="P38" s="2">
        <v>0.89139999999999997</v>
      </c>
      <c r="Q38" s="5">
        <v>0.89829999999999999</v>
      </c>
      <c r="R38" s="5">
        <v>0.84750000000000003</v>
      </c>
      <c r="S38" s="5">
        <v>0.83879999999999999</v>
      </c>
      <c r="T38" s="5">
        <v>0.86819999999999997</v>
      </c>
      <c r="U38" s="5">
        <v>0.80830000000000002</v>
      </c>
      <c r="V38" s="37"/>
    </row>
    <row r="39" spans="2:22">
      <c r="B39" s="24">
        <v>0.36250000000291038</v>
      </c>
      <c r="C39" s="2">
        <v>0.88090000000000002</v>
      </c>
      <c r="D39" s="2">
        <v>0.92889999999999995</v>
      </c>
      <c r="E39" s="2">
        <v>0.94269999999999998</v>
      </c>
      <c r="F39" s="2">
        <v>0.87239999999999995</v>
      </c>
      <c r="G39" s="5">
        <v>0.95540000000000003</v>
      </c>
      <c r="H39" s="5">
        <v>0.98519999999999996</v>
      </c>
      <c r="I39" s="5">
        <v>0.85170000000000001</v>
      </c>
      <c r="J39" s="5">
        <v>0.88700000000000001</v>
      </c>
      <c r="K39" s="37"/>
      <c r="M39" s="2">
        <v>0.84150000000000003</v>
      </c>
      <c r="N39" s="2">
        <v>0.85450000000000004</v>
      </c>
      <c r="O39" s="2">
        <v>0.90990000000000004</v>
      </c>
      <c r="P39" s="2">
        <v>0.9526</v>
      </c>
      <c r="Q39" s="5">
        <v>0.95240000000000002</v>
      </c>
      <c r="R39" s="5">
        <v>0.86160000000000003</v>
      </c>
      <c r="S39" s="5">
        <v>0.9</v>
      </c>
      <c r="T39" s="5">
        <v>0.8538</v>
      </c>
      <c r="U39" s="5">
        <v>0.82120000000000004</v>
      </c>
      <c r="V39" s="37"/>
    </row>
    <row r="40" spans="2:22">
      <c r="B40" s="24">
        <v>0.375</v>
      </c>
      <c r="C40" s="2">
        <v>0.93259999999999998</v>
      </c>
      <c r="D40" s="2">
        <v>0.8972</v>
      </c>
      <c r="E40" s="2">
        <v>0.89739999999999998</v>
      </c>
      <c r="F40" s="2">
        <v>0.93500000000000005</v>
      </c>
      <c r="G40" s="5">
        <v>0.9506</v>
      </c>
      <c r="H40" s="5">
        <v>0.97189999999999999</v>
      </c>
      <c r="I40" s="5">
        <v>0.90529999999999999</v>
      </c>
      <c r="J40" s="5">
        <v>0.87560000000000004</v>
      </c>
      <c r="K40" s="37"/>
      <c r="M40" s="2">
        <v>0.83689999999999998</v>
      </c>
      <c r="N40" s="2">
        <v>0.87180000000000002</v>
      </c>
      <c r="O40" s="2">
        <v>0.85799999999999998</v>
      </c>
      <c r="P40" s="2">
        <v>0.92830000000000001</v>
      </c>
      <c r="Q40" s="5">
        <v>0.92330000000000001</v>
      </c>
      <c r="R40" s="5">
        <v>0.82850000000000001</v>
      </c>
      <c r="S40" s="5">
        <v>0.80649999999999999</v>
      </c>
      <c r="T40" s="5">
        <v>0.92359999999999998</v>
      </c>
      <c r="U40" s="5">
        <v>0.88260000000000005</v>
      </c>
      <c r="V40" s="37"/>
    </row>
    <row r="41" spans="2:22">
      <c r="B41" s="24">
        <v>0.38749999999708962</v>
      </c>
      <c r="C41" s="2">
        <v>0.92610000000000003</v>
      </c>
      <c r="D41" s="2">
        <v>0.95589999999999997</v>
      </c>
      <c r="E41" s="2">
        <v>0.88639999999999997</v>
      </c>
      <c r="F41" s="2">
        <v>0.96489999999999998</v>
      </c>
      <c r="G41" s="5">
        <v>0.98060000000000003</v>
      </c>
      <c r="H41" s="5">
        <v>0.96960000000000002</v>
      </c>
      <c r="I41" s="5">
        <v>0.91739999999999999</v>
      </c>
      <c r="J41" s="5">
        <v>0.90549999999999997</v>
      </c>
      <c r="K41" s="37"/>
      <c r="M41" s="2">
        <v>0.91210000000000002</v>
      </c>
      <c r="N41" s="2">
        <v>0.92420000000000002</v>
      </c>
      <c r="O41" s="2">
        <v>0.877</v>
      </c>
      <c r="P41" s="2">
        <v>0.9</v>
      </c>
      <c r="Q41" s="5">
        <v>0.93769999999999998</v>
      </c>
      <c r="R41" s="5">
        <v>0.90300000000000002</v>
      </c>
      <c r="S41" s="5">
        <v>0.83860000000000001</v>
      </c>
      <c r="T41" s="5">
        <v>0.86240000000000006</v>
      </c>
      <c r="U41" s="5">
        <v>0.89890000000000003</v>
      </c>
      <c r="V41" s="37"/>
    </row>
    <row r="42" spans="2:22">
      <c r="B42" s="24">
        <v>0.40000000000145519</v>
      </c>
      <c r="C42" s="2">
        <v>0.89900000000000002</v>
      </c>
      <c r="D42" s="2">
        <v>0.95669999999999999</v>
      </c>
      <c r="E42" s="2">
        <v>0.95850000000000002</v>
      </c>
      <c r="F42" s="2">
        <v>0.96340000000000003</v>
      </c>
      <c r="G42" s="5">
        <v>0.94210000000000005</v>
      </c>
      <c r="H42" s="5">
        <v>0.95040000000000002</v>
      </c>
      <c r="I42" s="5">
        <v>0.88090000000000002</v>
      </c>
      <c r="J42" s="5">
        <v>0.85540000000000005</v>
      </c>
      <c r="K42" s="37"/>
      <c r="M42" s="2">
        <v>0.88</v>
      </c>
      <c r="N42" s="2">
        <v>0.92110000000000003</v>
      </c>
      <c r="O42" s="2">
        <v>0.91139999999999999</v>
      </c>
      <c r="P42" s="2">
        <v>0.94220000000000004</v>
      </c>
      <c r="Q42" s="5">
        <v>0.94610000000000005</v>
      </c>
      <c r="R42" s="5">
        <v>0.90690000000000004</v>
      </c>
      <c r="S42" s="5">
        <v>0.78149999999999997</v>
      </c>
      <c r="T42" s="5">
        <v>0.87749999999999995</v>
      </c>
      <c r="U42" s="5">
        <v>0.90449999999999997</v>
      </c>
      <c r="V42" s="37"/>
    </row>
    <row r="43" spans="2:22">
      <c r="B43" s="24">
        <v>0.41249999999854481</v>
      </c>
      <c r="C43" s="2">
        <v>0.97819999999999996</v>
      </c>
      <c r="D43" s="2">
        <v>0.92469999999999997</v>
      </c>
      <c r="E43" s="2">
        <v>0.86650000000000005</v>
      </c>
      <c r="F43" s="2">
        <v>0.89449999999999996</v>
      </c>
      <c r="G43" s="5">
        <v>1.0037</v>
      </c>
      <c r="H43" s="5">
        <v>0.98160000000000003</v>
      </c>
      <c r="I43" s="5">
        <v>0.9234</v>
      </c>
      <c r="J43" s="5">
        <v>0.84340000000000004</v>
      </c>
      <c r="K43" s="37"/>
      <c r="M43" s="2">
        <v>0.84050000000000002</v>
      </c>
      <c r="N43" s="2">
        <v>0.88080000000000003</v>
      </c>
      <c r="O43" s="2">
        <v>0.93440000000000001</v>
      </c>
      <c r="P43" s="2">
        <v>0.89490000000000003</v>
      </c>
      <c r="Q43" s="5">
        <v>0.90429999999999999</v>
      </c>
      <c r="R43" s="5">
        <v>0.78710000000000002</v>
      </c>
      <c r="S43" s="5">
        <v>0.78410000000000002</v>
      </c>
      <c r="T43" s="5">
        <v>0.84809999999999997</v>
      </c>
      <c r="U43" s="5">
        <v>0.87909999999999999</v>
      </c>
      <c r="V43" s="37"/>
    </row>
    <row r="44" spans="2:22">
      <c r="B44" s="24">
        <v>0.42500000000291038</v>
      </c>
      <c r="C44" s="2">
        <v>0.88049999999999995</v>
      </c>
      <c r="D44" s="2">
        <v>0.97260000000000002</v>
      </c>
      <c r="E44" s="2">
        <v>0.92900000000000005</v>
      </c>
      <c r="F44" s="2">
        <v>0.94359999999999999</v>
      </c>
      <c r="G44" s="5">
        <v>0.94699999999999995</v>
      </c>
      <c r="H44" s="5">
        <v>0.95609999999999995</v>
      </c>
      <c r="I44" s="5">
        <v>0.88859999999999995</v>
      </c>
      <c r="J44" s="5">
        <v>0.85009999999999997</v>
      </c>
      <c r="K44" s="37"/>
      <c r="M44" s="2">
        <v>0.88080000000000003</v>
      </c>
      <c r="N44" s="2">
        <v>0.90920000000000001</v>
      </c>
      <c r="O44" s="2">
        <v>0.94010000000000005</v>
      </c>
      <c r="P44" s="2">
        <v>0.97470000000000001</v>
      </c>
      <c r="Q44" s="5">
        <v>0.9486</v>
      </c>
      <c r="R44" s="5">
        <v>0.83620000000000005</v>
      </c>
      <c r="S44" s="5">
        <v>0.7994</v>
      </c>
      <c r="T44" s="5">
        <v>0.86839999999999995</v>
      </c>
      <c r="U44" s="5">
        <v>0.88109999999999999</v>
      </c>
      <c r="V44" s="37"/>
    </row>
    <row r="45" spans="2:22">
      <c r="B45" s="24">
        <v>0.4375</v>
      </c>
      <c r="C45" s="2">
        <v>0.91539999999999999</v>
      </c>
      <c r="D45" s="2">
        <v>0.98129999999999995</v>
      </c>
      <c r="E45" s="2">
        <v>0.90700000000000003</v>
      </c>
      <c r="F45" s="2">
        <v>0.97040000000000004</v>
      </c>
      <c r="G45" s="5">
        <v>0.96319999999999995</v>
      </c>
      <c r="H45" s="5">
        <v>0.97660000000000002</v>
      </c>
      <c r="I45" s="5">
        <v>0.87360000000000004</v>
      </c>
      <c r="J45" s="5">
        <v>0.87470000000000003</v>
      </c>
      <c r="K45" s="37"/>
      <c r="M45" s="2">
        <v>0.87150000000000005</v>
      </c>
      <c r="N45" s="2">
        <v>0.87790000000000001</v>
      </c>
      <c r="O45" s="2">
        <v>0.93689999999999996</v>
      </c>
      <c r="P45" s="2">
        <v>0.86680000000000001</v>
      </c>
      <c r="Q45" s="5">
        <v>0.93110000000000004</v>
      </c>
      <c r="R45" s="5">
        <v>0.83360000000000001</v>
      </c>
      <c r="S45" s="5">
        <v>0.85160000000000002</v>
      </c>
      <c r="T45" s="5">
        <v>0.89080000000000004</v>
      </c>
      <c r="U45" s="5">
        <v>0.91520000000000001</v>
      </c>
      <c r="V45" s="37"/>
    </row>
    <row r="46" spans="2:22">
      <c r="B46" s="24">
        <v>0.44999999999708962</v>
      </c>
      <c r="C46" s="2">
        <v>0.89490000000000003</v>
      </c>
      <c r="D46" s="2">
        <v>0.94020000000000004</v>
      </c>
      <c r="E46" s="2">
        <v>0.90949999999999998</v>
      </c>
      <c r="F46" s="2">
        <v>0.93830000000000002</v>
      </c>
      <c r="G46" s="5">
        <v>0.94069999999999998</v>
      </c>
      <c r="H46" s="5">
        <v>0.98270000000000002</v>
      </c>
      <c r="I46" s="5">
        <v>0.91900000000000004</v>
      </c>
      <c r="J46" s="5">
        <v>0.83609999999999995</v>
      </c>
      <c r="K46" s="37"/>
      <c r="M46" s="2">
        <v>0.8841</v>
      </c>
      <c r="N46" s="2">
        <v>0.91590000000000005</v>
      </c>
      <c r="O46" s="2">
        <v>0.91200000000000003</v>
      </c>
      <c r="P46" s="2">
        <v>0.87360000000000004</v>
      </c>
      <c r="Q46" s="5">
        <v>0.89390000000000003</v>
      </c>
      <c r="R46" s="5">
        <v>0.83620000000000005</v>
      </c>
      <c r="S46" s="5">
        <v>0.87170000000000003</v>
      </c>
      <c r="T46" s="5">
        <v>0.9456</v>
      </c>
      <c r="U46" s="5">
        <v>0.90339999999999998</v>
      </c>
      <c r="V46" s="37"/>
    </row>
    <row r="47" spans="2:22">
      <c r="B47" s="24">
        <v>0.46250000000145519</v>
      </c>
      <c r="C47" s="2">
        <v>0.90239999999999998</v>
      </c>
      <c r="D47" s="2">
        <v>0.95030000000000003</v>
      </c>
      <c r="E47" s="2">
        <v>0.92689999999999995</v>
      </c>
      <c r="F47" s="2">
        <v>0.97670000000000001</v>
      </c>
      <c r="G47" s="5">
        <v>0.96160000000000001</v>
      </c>
      <c r="H47" s="5">
        <v>0.97909999999999997</v>
      </c>
      <c r="I47" s="5">
        <v>0.86929999999999996</v>
      </c>
      <c r="J47" s="5">
        <v>0.86240000000000006</v>
      </c>
      <c r="K47" s="37"/>
      <c r="M47" s="2">
        <v>0.87739999999999996</v>
      </c>
      <c r="N47" s="2">
        <v>0.85770000000000002</v>
      </c>
      <c r="O47" s="2">
        <v>0.91579999999999995</v>
      </c>
      <c r="P47" s="2">
        <v>0.89200000000000002</v>
      </c>
      <c r="Q47" s="5">
        <v>0.93930000000000002</v>
      </c>
      <c r="R47" s="5">
        <v>0.86209999999999998</v>
      </c>
      <c r="S47" s="5">
        <v>0.87480000000000002</v>
      </c>
      <c r="T47" s="5">
        <v>0.90110000000000001</v>
      </c>
      <c r="U47" s="5">
        <v>0.89629999999999999</v>
      </c>
      <c r="V47" s="37"/>
    </row>
    <row r="48" spans="2:22">
      <c r="B48" s="24">
        <v>0.47499999999854481</v>
      </c>
      <c r="C48" s="2">
        <v>0.96899999999999997</v>
      </c>
      <c r="D48" s="2">
        <v>0.95299999999999996</v>
      </c>
      <c r="E48" s="2">
        <v>0.94899999999999995</v>
      </c>
      <c r="F48" s="2">
        <v>0.93820000000000003</v>
      </c>
      <c r="G48" s="5">
        <v>0.94510000000000005</v>
      </c>
      <c r="H48" s="5">
        <v>0.97889999999999999</v>
      </c>
      <c r="I48" s="5">
        <v>0.91080000000000005</v>
      </c>
      <c r="J48" s="5">
        <v>0.89839999999999998</v>
      </c>
      <c r="K48" s="37"/>
      <c r="M48" s="2">
        <v>0.81069999999999998</v>
      </c>
      <c r="N48" s="2">
        <v>0.83320000000000005</v>
      </c>
      <c r="O48" s="2">
        <v>0.91669999999999996</v>
      </c>
      <c r="P48" s="2">
        <v>0.86050000000000004</v>
      </c>
      <c r="Q48" s="5">
        <v>0.97589999999999999</v>
      </c>
      <c r="R48" s="5">
        <v>0.8841</v>
      </c>
      <c r="S48" s="5">
        <v>0.80510000000000004</v>
      </c>
      <c r="T48" s="5">
        <v>0.86109999999999998</v>
      </c>
      <c r="U48" s="5">
        <v>0.94510000000000005</v>
      </c>
      <c r="V48" s="37"/>
    </row>
    <row r="49" spans="2:22">
      <c r="B49" s="24">
        <v>0.48750000000291038</v>
      </c>
      <c r="C49" s="2">
        <v>0.96499999999999997</v>
      </c>
      <c r="D49" s="2">
        <v>0.95189999999999997</v>
      </c>
      <c r="E49" s="2">
        <v>0.92589999999999995</v>
      </c>
      <c r="F49" s="2">
        <v>0.95030000000000003</v>
      </c>
      <c r="G49" s="5">
        <v>0.95240000000000002</v>
      </c>
      <c r="H49" s="5">
        <v>1.0049999999999999</v>
      </c>
      <c r="I49" s="5">
        <v>0.92520000000000002</v>
      </c>
      <c r="J49" s="5">
        <v>0.89480000000000004</v>
      </c>
      <c r="K49" s="37"/>
      <c r="M49" s="2">
        <v>0.83730000000000004</v>
      </c>
      <c r="N49" s="2">
        <v>0.87790000000000001</v>
      </c>
      <c r="O49" s="2">
        <v>0.85340000000000005</v>
      </c>
      <c r="P49" s="2">
        <v>0.83930000000000005</v>
      </c>
      <c r="Q49" s="5">
        <v>0.84730000000000005</v>
      </c>
      <c r="R49" s="5">
        <v>0.91090000000000004</v>
      </c>
      <c r="S49" s="5">
        <v>0.82440000000000002</v>
      </c>
      <c r="T49" s="5">
        <v>0.87980000000000003</v>
      </c>
      <c r="U49" s="5">
        <v>0.91</v>
      </c>
      <c r="V49" s="37"/>
    </row>
    <row r="50" spans="2:22">
      <c r="B50" s="24">
        <v>0.5</v>
      </c>
      <c r="C50" s="2">
        <v>0.89910000000000001</v>
      </c>
      <c r="D50" s="2">
        <v>0.91520000000000001</v>
      </c>
      <c r="E50" s="2">
        <v>0.95669999999999999</v>
      </c>
      <c r="F50" s="2">
        <v>0.9284</v>
      </c>
      <c r="G50" s="5">
        <v>0.95650000000000002</v>
      </c>
      <c r="H50" s="5">
        <v>0.95330000000000004</v>
      </c>
      <c r="I50" s="5">
        <v>0.89829999999999999</v>
      </c>
      <c r="J50" s="5">
        <v>0.89059999999999995</v>
      </c>
      <c r="K50" s="37"/>
      <c r="M50" s="2">
        <v>0.86070000000000002</v>
      </c>
      <c r="N50" s="2">
        <v>0.85599999999999998</v>
      </c>
      <c r="O50" s="2">
        <v>0.92369999999999997</v>
      </c>
      <c r="P50" s="2">
        <v>0.9153</v>
      </c>
      <c r="Q50" s="5">
        <v>0.93059999999999998</v>
      </c>
      <c r="R50" s="5">
        <v>0.9204</v>
      </c>
      <c r="S50" s="5">
        <v>0.89059999999999995</v>
      </c>
      <c r="T50" s="5">
        <v>0.87819999999999998</v>
      </c>
      <c r="U50" s="5">
        <v>0.87529999999999997</v>
      </c>
      <c r="V50" s="37"/>
    </row>
    <row r="51" spans="2:22">
      <c r="B51" s="24">
        <v>0.51249999999708962</v>
      </c>
      <c r="C51" s="2">
        <v>0.94289999999999996</v>
      </c>
      <c r="D51" s="2">
        <v>1.0021</v>
      </c>
      <c r="E51" s="2">
        <v>0.95689999999999997</v>
      </c>
      <c r="F51" s="2">
        <v>0.95279999999999998</v>
      </c>
      <c r="G51" s="5">
        <v>0.98450000000000004</v>
      </c>
      <c r="H51" s="5">
        <v>0.99509999999999998</v>
      </c>
      <c r="I51" s="5">
        <v>0.90210000000000001</v>
      </c>
      <c r="J51" s="5">
        <v>0.88149999999999995</v>
      </c>
      <c r="K51" s="37"/>
      <c r="M51" s="2">
        <v>0.89690000000000003</v>
      </c>
      <c r="N51" s="2">
        <v>0.84889999999999999</v>
      </c>
      <c r="O51" s="2">
        <v>0.92220000000000002</v>
      </c>
      <c r="P51" s="2">
        <v>0.86470000000000002</v>
      </c>
      <c r="Q51" s="5">
        <v>0.91479999999999995</v>
      </c>
      <c r="R51" s="5">
        <v>0.91390000000000005</v>
      </c>
      <c r="S51" s="5">
        <v>0.88790000000000002</v>
      </c>
      <c r="T51" s="5">
        <v>0.93110000000000004</v>
      </c>
      <c r="U51" s="5">
        <v>0.89870000000000005</v>
      </c>
      <c r="V51" s="37"/>
    </row>
    <row r="52" spans="2:22">
      <c r="B52" s="24">
        <v>0.52500000000145519</v>
      </c>
      <c r="C52" s="2">
        <v>0.95609999999999995</v>
      </c>
      <c r="D52" s="2">
        <v>0.92559999999999998</v>
      </c>
      <c r="E52" s="2">
        <v>0.91390000000000005</v>
      </c>
      <c r="F52" s="2">
        <v>0.91400000000000003</v>
      </c>
      <c r="G52" s="5">
        <v>1.0401</v>
      </c>
      <c r="H52" s="5">
        <v>0.97640000000000005</v>
      </c>
      <c r="I52" s="5">
        <v>0.91379999999999995</v>
      </c>
      <c r="J52" s="5">
        <v>0.91349999999999998</v>
      </c>
      <c r="K52" s="37"/>
      <c r="M52" s="2">
        <v>0.87409999999999999</v>
      </c>
      <c r="N52" s="2">
        <v>0.83430000000000004</v>
      </c>
      <c r="O52" s="2">
        <v>0.9365</v>
      </c>
      <c r="P52" s="2">
        <v>0.83630000000000004</v>
      </c>
      <c r="Q52" s="5">
        <v>0.9244</v>
      </c>
      <c r="R52" s="5">
        <v>0.96799999999999997</v>
      </c>
      <c r="S52" s="5">
        <v>0.90239999999999998</v>
      </c>
      <c r="T52" s="5">
        <v>0.93799999999999994</v>
      </c>
      <c r="U52" s="5">
        <v>0.87919999999999998</v>
      </c>
      <c r="V52" s="37"/>
    </row>
    <row r="53" spans="2:22">
      <c r="B53" s="24">
        <v>0.53749999999854481</v>
      </c>
      <c r="C53" s="2">
        <v>0.98170000000000002</v>
      </c>
      <c r="D53" s="2">
        <v>0.94969999999999999</v>
      </c>
      <c r="E53" s="2">
        <v>0.95860000000000001</v>
      </c>
      <c r="F53" s="2">
        <v>0.91710000000000003</v>
      </c>
      <c r="G53" s="5">
        <v>0.95169999999999999</v>
      </c>
      <c r="H53" s="5">
        <v>0.98209999999999997</v>
      </c>
      <c r="I53" s="5">
        <v>0.90310000000000001</v>
      </c>
      <c r="J53" s="5">
        <v>0.91020000000000001</v>
      </c>
      <c r="K53" s="37"/>
      <c r="M53" s="2">
        <v>0.87419999999999998</v>
      </c>
      <c r="N53" s="2">
        <v>0.9022</v>
      </c>
      <c r="O53" s="2">
        <v>0.96940000000000004</v>
      </c>
      <c r="P53" s="2">
        <v>0.90880000000000005</v>
      </c>
      <c r="Q53" s="5">
        <v>0.9113</v>
      </c>
      <c r="R53" s="5">
        <v>0.9264</v>
      </c>
      <c r="S53" s="5">
        <v>0.8881</v>
      </c>
      <c r="T53" s="5">
        <v>0.91900000000000004</v>
      </c>
      <c r="U53" s="5">
        <v>0.89580000000000004</v>
      </c>
      <c r="V53" s="37"/>
    </row>
    <row r="54" spans="2:22">
      <c r="B54" s="24">
        <v>0.55000000000291038</v>
      </c>
      <c r="C54" s="2">
        <v>0.95899999999999996</v>
      </c>
      <c r="D54" s="2">
        <v>0.96130000000000004</v>
      </c>
      <c r="E54" s="2">
        <v>0.94950000000000001</v>
      </c>
      <c r="F54" s="2">
        <v>0.872</v>
      </c>
      <c r="G54" s="5">
        <v>0.94740000000000002</v>
      </c>
      <c r="H54" s="5">
        <v>0.98419999999999996</v>
      </c>
      <c r="I54" s="5">
        <v>0.90310000000000001</v>
      </c>
      <c r="J54" s="5">
        <v>0.92830000000000001</v>
      </c>
      <c r="K54" s="37"/>
      <c r="M54" s="2">
        <v>0.91859999999999997</v>
      </c>
      <c r="N54" s="2">
        <v>0.85370000000000001</v>
      </c>
      <c r="O54" s="2">
        <v>0.92369999999999997</v>
      </c>
      <c r="P54" s="2">
        <v>0.85399999999999998</v>
      </c>
      <c r="Q54" s="5">
        <v>0.95669999999999999</v>
      </c>
      <c r="R54" s="5">
        <v>0.86339999999999995</v>
      </c>
      <c r="S54" s="5">
        <v>0.91700000000000004</v>
      </c>
      <c r="T54" s="5">
        <v>0.92279999999999995</v>
      </c>
      <c r="U54" s="5">
        <v>0.89700000000000002</v>
      </c>
      <c r="V54" s="37"/>
    </row>
    <row r="55" spans="2:22">
      <c r="B55" s="24">
        <v>0.5625</v>
      </c>
      <c r="C55" s="2">
        <v>0.90669999999999995</v>
      </c>
      <c r="D55" s="2">
        <v>0.98260000000000003</v>
      </c>
      <c r="E55" s="2">
        <v>0.93810000000000004</v>
      </c>
      <c r="F55" s="2">
        <v>0.89810000000000001</v>
      </c>
      <c r="G55" s="5">
        <v>0.92769999999999997</v>
      </c>
      <c r="H55" s="5">
        <v>0.96850000000000003</v>
      </c>
      <c r="I55" s="5">
        <v>0.89990000000000003</v>
      </c>
      <c r="J55" s="5">
        <v>0.92079999999999995</v>
      </c>
      <c r="K55" s="37"/>
      <c r="M55" s="2">
        <v>0.92700000000000005</v>
      </c>
      <c r="N55" s="2">
        <v>0.91959999999999997</v>
      </c>
      <c r="O55" s="2">
        <v>0.92810000000000004</v>
      </c>
      <c r="P55" s="2">
        <v>0.92320000000000002</v>
      </c>
      <c r="Q55" s="5">
        <v>0.92720000000000002</v>
      </c>
      <c r="R55" s="5">
        <v>0.92449999999999999</v>
      </c>
      <c r="S55" s="5">
        <v>0.90390000000000004</v>
      </c>
      <c r="T55" s="5">
        <v>0.91720000000000002</v>
      </c>
      <c r="U55" s="5">
        <v>0.91869999999999996</v>
      </c>
      <c r="V55" s="37"/>
    </row>
    <row r="56" spans="2:22">
      <c r="B56" s="24">
        <v>0.57499999999708962</v>
      </c>
      <c r="C56" s="2">
        <v>0.95409999999999995</v>
      </c>
      <c r="D56" s="2">
        <v>0.96730000000000005</v>
      </c>
      <c r="E56" s="2">
        <v>1.0113000000000001</v>
      </c>
      <c r="F56" s="2">
        <v>0.91479999999999995</v>
      </c>
      <c r="G56" s="5">
        <v>0.94059999999999999</v>
      </c>
      <c r="H56" s="5">
        <v>0.98570000000000002</v>
      </c>
      <c r="I56" s="5">
        <v>0.93169999999999997</v>
      </c>
      <c r="J56" s="5">
        <v>0.94810000000000005</v>
      </c>
      <c r="K56" s="37"/>
      <c r="M56" s="2">
        <v>0.9194</v>
      </c>
      <c r="N56" s="2">
        <v>0.85470000000000002</v>
      </c>
      <c r="O56" s="2">
        <v>0.9405</v>
      </c>
      <c r="P56" s="2">
        <v>0.88729999999999998</v>
      </c>
      <c r="Q56" s="5">
        <v>0.90769999999999995</v>
      </c>
      <c r="R56" s="5">
        <v>0.95920000000000005</v>
      </c>
      <c r="S56" s="5">
        <v>0.92330000000000001</v>
      </c>
      <c r="T56" s="5">
        <v>0.9153</v>
      </c>
      <c r="U56" s="5">
        <v>0.89049999999999996</v>
      </c>
      <c r="V56" s="37"/>
    </row>
    <row r="57" spans="2:22">
      <c r="B57" s="24">
        <v>0.58750000000145519</v>
      </c>
      <c r="C57" s="2">
        <v>0.95409999999999995</v>
      </c>
      <c r="D57" s="2">
        <v>0.94620000000000004</v>
      </c>
      <c r="E57" s="2">
        <v>0.94950000000000001</v>
      </c>
      <c r="F57" s="2">
        <v>0.8387</v>
      </c>
      <c r="G57" s="5">
        <v>0.9395</v>
      </c>
      <c r="H57" s="5">
        <v>0.95350000000000001</v>
      </c>
      <c r="I57" s="5">
        <v>0.92090000000000005</v>
      </c>
      <c r="J57" s="5">
        <v>0.94499999999999995</v>
      </c>
      <c r="K57" s="37"/>
      <c r="M57" s="2">
        <v>0.9214</v>
      </c>
      <c r="N57" s="2">
        <v>0.90629999999999999</v>
      </c>
      <c r="O57" s="2">
        <v>0.9032</v>
      </c>
      <c r="P57" s="2">
        <v>0.88729999999999998</v>
      </c>
      <c r="Q57" s="5">
        <v>0.97299999999999998</v>
      </c>
      <c r="R57" s="5">
        <v>0.94069999999999998</v>
      </c>
      <c r="S57" s="5">
        <v>0.95040000000000002</v>
      </c>
      <c r="T57" s="5">
        <v>0.92059999999999997</v>
      </c>
      <c r="U57" s="5">
        <v>0.89929999999999999</v>
      </c>
      <c r="V57" s="37"/>
    </row>
    <row r="58" spans="2:22">
      <c r="B58" s="24">
        <v>0.59999999999854481</v>
      </c>
      <c r="C58" s="2">
        <v>0.9496</v>
      </c>
      <c r="D58" s="2">
        <v>0.91649999999999998</v>
      </c>
      <c r="E58" s="2">
        <v>0.91669999999999996</v>
      </c>
      <c r="F58" s="2">
        <v>0.83709999999999996</v>
      </c>
      <c r="G58" s="5">
        <v>0.93440000000000001</v>
      </c>
      <c r="H58" s="5">
        <v>0.97760000000000002</v>
      </c>
      <c r="I58" s="5">
        <v>0.91069999999999995</v>
      </c>
      <c r="J58" s="5">
        <v>0.94010000000000005</v>
      </c>
      <c r="K58" s="37"/>
      <c r="M58" s="2">
        <v>0.89780000000000004</v>
      </c>
      <c r="N58" s="2">
        <v>0.89470000000000005</v>
      </c>
      <c r="O58" s="2">
        <v>0.93300000000000005</v>
      </c>
      <c r="P58" s="2">
        <v>0.91080000000000005</v>
      </c>
      <c r="Q58" s="5">
        <v>0.91910000000000003</v>
      </c>
      <c r="R58" s="5">
        <v>0.89190000000000003</v>
      </c>
      <c r="S58" s="5">
        <v>0.95240000000000002</v>
      </c>
      <c r="T58" s="5">
        <v>0.92190000000000005</v>
      </c>
      <c r="U58" s="5">
        <v>0.91320000000000001</v>
      </c>
      <c r="V58" s="37"/>
    </row>
    <row r="59" spans="2:22">
      <c r="B59" s="24">
        <v>0.61250000000291038</v>
      </c>
      <c r="C59" s="2">
        <v>0.94950000000000001</v>
      </c>
      <c r="D59" s="2">
        <v>0.92620000000000002</v>
      </c>
      <c r="E59" s="2">
        <v>0.88029999999999997</v>
      </c>
      <c r="F59" s="2">
        <v>0.85770000000000002</v>
      </c>
      <c r="G59" s="5">
        <v>0.98380000000000001</v>
      </c>
      <c r="H59" s="5">
        <v>1.0011000000000001</v>
      </c>
      <c r="I59" s="5">
        <v>0.93420000000000003</v>
      </c>
      <c r="J59" s="5">
        <v>0.92600000000000005</v>
      </c>
      <c r="K59" s="37"/>
      <c r="M59" s="2">
        <v>0.90639999999999998</v>
      </c>
      <c r="N59" s="2">
        <v>0.9022</v>
      </c>
      <c r="O59" s="2">
        <v>0.90759999999999996</v>
      </c>
      <c r="P59" s="2">
        <v>0.93189999999999995</v>
      </c>
      <c r="Q59" s="5">
        <v>0.95430000000000004</v>
      </c>
      <c r="R59" s="5">
        <v>0.99139999999999995</v>
      </c>
      <c r="S59" s="5">
        <v>0.93579999999999997</v>
      </c>
      <c r="T59" s="5">
        <v>0.92620000000000002</v>
      </c>
      <c r="U59" s="5">
        <v>0.87760000000000005</v>
      </c>
      <c r="V59" s="37"/>
    </row>
    <row r="60" spans="2:22">
      <c r="B60" s="24">
        <v>0.625</v>
      </c>
      <c r="C60" s="2">
        <v>0.93079999999999996</v>
      </c>
      <c r="D60" s="2">
        <v>0.94230000000000003</v>
      </c>
      <c r="E60" s="2">
        <v>0.89590000000000003</v>
      </c>
      <c r="F60" s="2">
        <v>0.87180000000000002</v>
      </c>
      <c r="G60" s="5">
        <v>0.97460000000000002</v>
      </c>
      <c r="H60" s="5">
        <v>0.97040000000000004</v>
      </c>
      <c r="I60" s="5">
        <v>0.91349999999999998</v>
      </c>
      <c r="J60" s="5">
        <v>0.9718</v>
      </c>
      <c r="K60" s="37"/>
      <c r="M60" s="2">
        <v>0.89829999999999999</v>
      </c>
      <c r="N60" s="2">
        <v>0.92730000000000001</v>
      </c>
      <c r="O60" s="2">
        <v>0.90700000000000003</v>
      </c>
      <c r="P60" s="2">
        <v>0.91400000000000003</v>
      </c>
      <c r="Q60" s="5">
        <v>0.92610000000000003</v>
      </c>
      <c r="R60" s="5">
        <v>0.95779999999999998</v>
      </c>
      <c r="S60" s="5">
        <v>0.91020000000000001</v>
      </c>
      <c r="T60" s="5">
        <v>0.91100000000000003</v>
      </c>
      <c r="U60" s="5">
        <v>0.91569999999999996</v>
      </c>
      <c r="V60" s="37"/>
    </row>
    <row r="61" spans="2:22">
      <c r="B61" s="24">
        <v>0.63749999999708962</v>
      </c>
      <c r="C61" s="2">
        <v>0.98319999999999996</v>
      </c>
      <c r="D61" s="2">
        <v>0.94299999999999995</v>
      </c>
      <c r="E61" s="2">
        <v>0.89849999999999997</v>
      </c>
      <c r="F61" s="2">
        <v>0.90880000000000005</v>
      </c>
      <c r="G61" s="5">
        <v>0.94889999999999997</v>
      </c>
      <c r="H61" s="5">
        <v>0.94720000000000004</v>
      </c>
      <c r="I61" s="5">
        <v>0.92920000000000003</v>
      </c>
      <c r="J61" s="5">
        <v>0.94569999999999999</v>
      </c>
      <c r="K61" s="37"/>
      <c r="M61" s="2">
        <v>0.94640000000000002</v>
      </c>
      <c r="N61" s="2">
        <v>0.90700000000000003</v>
      </c>
      <c r="O61" s="2">
        <v>0.94430000000000003</v>
      </c>
      <c r="P61" s="2">
        <v>0.90890000000000004</v>
      </c>
      <c r="Q61" s="5">
        <v>0.96319999999999995</v>
      </c>
      <c r="R61" s="5">
        <v>0.92830000000000001</v>
      </c>
      <c r="S61" s="5">
        <v>0.89239999999999997</v>
      </c>
      <c r="T61" s="5">
        <v>0.91439999999999999</v>
      </c>
      <c r="U61" s="5">
        <v>0.87290000000000001</v>
      </c>
      <c r="V61" s="37"/>
    </row>
    <row r="62" spans="2:22">
      <c r="B62" s="24">
        <v>0.65000000000145519</v>
      </c>
      <c r="C62" s="2">
        <v>0.9395</v>
      </c>
      <c r="D62" s="2">
        <v>0.94479999999999997</v>
      </c>
      <c r="E62" s="2">
        <v>0.91600000000000004</v>
      </c>
      <c r="F62" s="2">
        <v>0.92149999999999999</v>
      </c>
      <c r="G62" s="5">
        <v>0.9546</v>
      </c>
      <c r="H62" s="5">
        <v>0.95889999999999997</v>
      </c>
      <c r="I62" s="5">
        <v>0.93630000000000002</v>
      </c>
      <c r="J62" s="5">
        <v>0.94210000000000005</v>
      </c>
      <c r="K62" s="37"/>
      <c r="M62" s="2">
        <v>0.92959999999999998</v>
      </c>
      <c r="N62" s="2">
        <v>0.87709999999999999</v>
      </c>
      <c r="O62" s="2">
        <v>0.93369999999999997</v>
      </c>
      <c r="P62" s="2">
        <v>0.91849999999999998</v>
      </c>
      <c r="Q62" s="5">
        <v>0.96579999999999999</v>
      </c>
      <c r="R62" s="5">
        <v>0.9365</v>
      </c>
      <c r="S62" s="5">
        <v>0.95269999999999999</v>
      </c>
      <c r="T62" s="5">
        <v>0.90559999999999996</v>
      </c>
      <c r="U62" s="5">
        <v>0.89629999999999999</v>
      </c>
      <c r="V62" s="37"/>
    </row>
    <row r="63" spans="2:22">
      <c r="B63" s="24">
        <v>0.66249999999854481</v>
      </c>
      <c r="C63" s="2">
        <v>0.94289999999999996</v>
      </c>
      <c r="D63" s="2">
        <v>0.97540000000000004</v>
      </c>
      <c r="E63" s="2">
        <v>0.95830000000000004</v>
      </c>
      <c r="F63" s="2">
        <v>0.9456</v>
      </c>
      <c r="G63" s="5">
        <v>0.95079999999999998</v>
      </c>
      <c r="H63" s="5">
        <v>0.88729999999999998</v>
      </c>
      <c r="I63" s="5">
        <v>0.91369999999999996</v>
      </c>
      <c r="J63" s="5">
        <v>0.90390000000000004</v>
      </c>
      <c r="K63" s="37"/>
      <c r="M63" s="2">
        <v>0.95099999999999996</v>
      </c>
      <c r="N63" s="2">
        <v>0.93959999999999999</v>
      </c>
      <c r="O63" s="2">
        <v>0.92279999999999995</v>
      </c>
      <c r="P63" s="2">
        <v>0.875</v>
      </c>
      <c r="Q63" s="5">
        <v>0.92920000000000003</v>
      </c>
      <c r="R63" s="5">
        <v>0.97850000000000004</v>
      </c>
      <c r="S63" s="5">
        <v>0.93710000000000004</v>
      </c>
      <c r="T63" s="5">
        <v>0.90639999999999998</v>
      </c>
      <c r="U63" s="5">
        <v>0.89080000000000004</v>
      </c>
      <c r="V63" s="37"/>
    </row>
    <row r="64" spans="2:22">
      <c r="B64" s="24">
        <v>0.67500000000291038</v>
      </c>
      <c r="C64" s="2">
        <v>0.94610000000000005</v>
      </c>
      <c r="D64" s="2">
        <v>0.91200000000000003</v>
      </c>
      <c r="E64" s="2">
        <v>0.93799999999999994</v>
      </c>
      <c r="F64" s="2">
        <v>0.93259999999999998</v>
      </c>
      <c r="G64" s="5">
        <v>0.99950000000000006</v>
      </c>
      <c r="H64" s="5">
        <v>0.96089999999999998</v>
      </c>
      <c r="I64" s="5">
        <v>0.92210000000000003</v>
      </c>
      <c r="J64" s="5">
        <v>0.92100000000000004</v>
      </c>
      <c r="K64" s="37"/>
      <c r="M64" s="2">
        <v>0.93579999999999997</v>
      </c>
      <c r="N64" s="2">
        <v>0.90800000000000003</v>
      </c>
      <c r="O64" s="2">
        <v>0.92220000000000002</v>
      </c>
      <c r="P64" s="2">
        <v>0.9264</v>
      </c>
      <c r="Q64" s="5">
        <v>0.91169999999999995</v>
      </c>
      <c r="R64" s="5">
        <v>0.9536</v>
      </c>
      <c r="S64" s="5">
        <v>0.94279999999999997</v>
      </c>
      <c r="T64" s="5">
        <v>0.91279999999999994</v>
      </c>
      <c r="U64" s="5">
        <v>0.87629999999999997</v>
      </c>
      <c r="V64" s="37"/>
    </row>
    <row r="65" spans="2:22">
      <c r="B65" s="24">
        <v>0.6875</v>
      </c>
      <c r="C65" s="2">
        <v>0.96719999999999995</v>
      </c>
      <c r="D65" s="2">
        <v>0.93230000000000002</v>
      </c>
      <c r="E65" s="2">
        <v>0.91339999999999999</v>
      </c>
      <c r="F65" s="2">
        <v>0.93820000000000003</v>
      </c>
      <c r="G65" s="5">
        <v>0.94910000000000005</v>
      </c>
      <c r="H65" s="5">
        <v>0.96789999999999998</v>
      </c>
      <c r="I65" s="5">
        <v>0.90900000000000003</v>
      </c>
      <c r="J65" s="5">
        <v>0.92279999999999995</v>
      </c>
      <c r="K65" s="37"/>
      <c r="M65" s="2">
        <v>0.92900000000000005</v>
      </c>
      <c r="N65" s="2">
        <v>0.92779999999999996</v>
      </c>
      <c r="O65" s="2">
        <v>0.94369999999999998</v>
      </c>
      <c r="P65" s="2">
        <v>0.93179999999999996</v>
      </c>
      <c r="Q65" s="5">
        <v>0.9002</v>
      </c>
      <c r="R65" s="5">
        <v>0.9405</v>
      </c>
      <c r="S65" s="5">
        <v>0.92589999999999995</v>
      </c>
      <c r="T65" s="5">
        <v>0.91549999999999998</v>
      </c>
      <c r="U65" s="5">
        <v>0.89019999999999999</v>
      </c>
      <c r="V65" s="37"/>
    </row>
    <row r="66" spans="2:22">
      <c r="B66" s="24">
        <v>0.69999999999708962</v>
      </c>
      <c r="C66" s="2">
        <v>0.92469999999999997</v>
      </c>
      <c r="D66" s="2">
        <v>0.94599999999999995</v>
      </c>
      <c r="E66" s="2">
        <v>0.94310000000000005</v>
      </c>
      <c r="F66" s="2">
        <v>0.93500000000000005</v>
      </c>
      <c r="G66" s="5">
        <v>0.96360000000000001</v>
      </c>
      <c r="H66" s="5">
        <v>0.98429999999999995</v>
      </c>
      <c r="I66" s="5">
        <v>0.91810000000000003</v>
      </c>
      <c r="J66" s="5">
        <v>0.97799999999999998</v>
      </c>
      <c r="K66" s="37"/>
      <c r="M66" s="2">
        <v>0.89500000000000002</v>
      </c>
      <c r="N66" s="2">
        <v>0.85950000000000004</v>
      </c>
      <c r="O66" s="2">
        <v>0.9597</v>
      </c>
      <c r="P66" s="2">
        <v>0.87739999999999996</v>
      </c>
      <c r="Q66" s="5">
        <v>0.96340000000000003</v>
      </c>
      <c r="R66" s="5">
        <v>0.90880000000000005</v>
      </c>
      <c r="S66" s="5">
        <v>0.89190000000000003</v>
      </c>
      <c r="T66" s="5">
        <v>0.89949999999999997</v>
      </c>
      <c r="U66" s="5">
        <v>0.88759999999999994</v>
      </c>
      <c r="V66" s="37"/>
    </row>
    <row r="67" spans="2:22">
      <c r="B67" s="24">
        <v>0.71250000000145519</v>
      </c>
      <c r="C67" s="2">
        <v>0.94889999999999997</v>
      </c>
      <c r="D67" s="2">
        <v>0.92090000000000005</v>
      </c>
      <c r="E67" s="2">
        <v>0.96189999999999998</v>
      </c>
      <c r="F67" s="2">
        <v>0.94210000000000005</v>
      </c>
      <c r="G67" s="5">
        <v>0.99870000000000003</v>
      </c>
      <c r="H67" s="5">
        <v>0.95099999999999996</v>
      </c>
      <c r="I67" s="5">
        <v>0.90300000000000002</v>
      </c>
      <c r="J67" s="5">
        <v>0.95540000000000003</v>
      </c>
      <c r="K67" s="37"/>
      <c r="M67" s="2">
        <v>0.97209999999999996</v>
      </c>
      <c r="N67" s="2">
        <v>0.88829999999999998</v>
      </c>
      <c r="O67" s="2">
        <v>0.92889999999999995</v>
      </c>
      <c r="P67" s="2">
        <v>0.93520000000000003</v>
      </c>
      <c r="Q67" s="5">
        <v>0.91520000000000001</v>
      </c>
      <c r="R67" s="5">
        <v>0.98839999999999995</v>
      </c>
      <c r="S67" s="5">
        <v>0.88849999999999996</v>
      </c>
      <c r="T67" s="5">
        <v>0.88639999999999997</v>
      </c>
      <c r="U67" s="5">
        <v>0.9113</v>
      </c>
      <c r="V67" s="37"/>
    </row>
    <row r="68" spans="2:22">
      <c r="B68" s="24">
        <v>0.72499999999854481</v>
      </c>
      <c r="C68" s="2">
        <v>0.94920000000000004</v>
      </c>
      <c r="D68" s="2">
        <v>0.93940000000000001</v>
      </c>
      <c r="E68" s="2">
        <v>0.95599999999999996</v>
      </c>
      <c r="F68" s="2">
        <v>0.94869999999999999</v>
      </c>
      <c r="G68" s="5">
        <v>0.9738</v>
      </c>
      <c r="H68" s="5">
        <v>0.93659999999999999</v>
      </c>
      <c r="I68" s="5">
        <v>0.92400000000000004</v>
      </c>
      <c r="J68" s="5">
        <v>0.92100000000000004</v>
      </c>
      <c r="K68" s="37"/>
      <c r="M68" s="2">
        <v>0.92459999999999998</v>
      </c>
      <c r="N68" s="2">
        <v>0.89249999999999996</v>
      </c>
      <c r="O68" s="2">
        <v>0.93049999999999999</v>
      </c>
      <c r="P68" s="2">
        <v>0.91959999999999997</v>
      </c>
      <c r="Q68" s="5">
        <v>0.8921</v>
      </c>
      <c r="R68" s="5">
        <v>0.94120000000000004</v>
      </c>
      <c r="S68" s="5">
        <v>0.88660000000000005</v>
      </c>
      <c r="T68" s="5">
        <v>0.8206</v>
      </c>
      <c r="U68" s="5">
        <v>0.86439999999999995</v>
      </c>
      <c r="V68" s="37"/>
    </row>
    <row r="69" spans="2:22">
      <c r="B69" s="24">
        <v>0.73750000000291038</v>
      </c>
      <c r="C69" s="2">
        <v>0.96779999999999999</v>
      </c>
      <c r="D69" s="2">
        <v>0.92130000000000001</v>
      </c>
      <c r="E69" s="2">
        <v>0.96089999999999998</v>
      </c>
      <c r="F69" s="2">
        <v>0.93589999999999995</v>
      </c>
      <c r="G69" s="5">
        <v>1.0036</v>
      </c>
      <c r="H69" s="5">
        <v>0.93300000000000005</v>
      </c>
      <c r="I69" s="5">
        <v>0.90959999999999996</v>
      </c>
      <c r="J69" s="5">
        <v>0.91700000000000004</v>
      </c>
      <c r="K69" s="37"/>
      <c r="M69" s="2">
        <v>0.96609999999999996</v>
      </c>
      <c r="N69" s="2">
        <v>0.90549999999999997</v>
      </c>
      <c r="O69" s="2">
        <v>0.94189999999999996</v>
      </c>
      <c r="P69" s="2">
        <v>0.9113</v>
      </c>
      <c r="Q69" s="5">
        <v>0.95779999999999998</v>
      </c>
      <c r="R69" s="5">
        <v>0.91120000000000001</v>
      </c>
      <c r="S69" s="5">
        <v>0.85329999999999995</v>
      </c>
      <c r="T69" s="5">
        <v>0.85350000000000004</v>
      </c>
      <c r="U69" s="5">
        <v>0.90349999999999997</v>
      </c>
      <c r="V69" s="37"/>
    </row>
    <row r="70" spans="2:22">
      <c r="B70" s="24">
        <v>0.75</v>
      </c>
      <c r="C70" s="2">
        <v>0.98160000000000003</v>
      </c>
      <c r="D70" s="2">
        <v>0.90259999999999996</v>
      </c>
      <c r="E70" s="2">
        <v>0.91149999999999998</v>
      </c>
      <c r="F70" s="2">
        <v>0.96440000000000003</v>
      </c>
      <c r="G70" s="5">
        <v>0.96440000000000003</v>
      </c>
      <c r="H70" s="5">
        <v>0.96609999999999996</v>
      </c>
      <c r="I70" s="5">
        <v>0.90129999999999999</v>
      </c>
      <c r="J70" s="5">
        <v>0.93659999999999999</v>
      </c>
      <c r="K70" s="37"/>
      <c r="M70" s="2">
        <v>0.93320000000000003</v>
      </c>
      <c r="N70" s="2">
        <v>0.91439999999999999</v>
      </c>
      <c r="O70" s="2">
        <v>0.9677</v>
      </c>
      <c r="P70" s="2">
        <v>0.90529999999999999</v>
      </c>
      <c r="Q70" s="5">
        <v>0.91910000000000003</v>
      </c>
      <c r="R70" s="5">
        <v>0.89559999999999995</v>
      </c>
      <c r="S70" s="5">
        <v>0.85099999999999998</v>
      </c>
      <c r="T70" s="5">
        <v>0.89610000000000001</v>
      </c>
      <c r="U70" s="5">
        <v>0.87080000000000002</v>
      </c>
      <c r="V70" s="37"/>
    </row>
    <row r="71" spans="2:22">
      <c r="B71" s="24">
        <v>0.76249999999708962</v>
      </c>
      <c r="C71" s="2">
        <v>0.96909999999999996</v>
      </c>
      <c r="D71" s="2">
        <v>0.88690000000000002</v>
      </c>
      <c r="E71" s="2">
        <v>0.97150000000000003</v>
      </c>
      <c r="F71" s="2">
        <v>0.94830000000000003</v>
      </c>
      <c r="G71" s="5">
        <v>0.97940000000000005</v>
      </c>
      <c r="H71" s="5">
        <v>0.94810000000000005</v>
      </c>
      <c r="I71" s="5">
        <v>0.90659999999999996</v>
      </c>
      <c r="J71" s="5">
        <v>0.95909999999999995</v>
      </c>
      <c r="K71" s="37"/>
      <c r="M71" s="2">
        <v>0.97399999999999998</v>
      </c>
      <c r="N71" s="2">
        <v>0.85709999999999997</v>
      </c>
      <c r="O71" s="2">
        <v>0.93030000000000002</v>
      </c>
      <c r="P71" s="2">
        <v>0.92920000000000003</v>
      </c>
      <c r="Q71" s="5">
        <v>0.93789999999999996</v>
      </c>
      <c r="R71" s="5">
        <v>0.88360000000000005</v>
      </c>
      <c r="S71" s="5">
        <v>0.85119999999999996</v>
      </c>
      <c r="T71" s="5">
        <v>0.91290000000000004</v>
      </c>
      <c r="U71" s="5">
        <v>0.84930000000000005</v>
      </c>
      <c r="V71" s="37"/>
    </row>
    <row r="72" spans="2:22">
      <c r="B72" s="24">
        <v>0.77500000000145519</v>
      </c>
      <c r="C72" s="2">
        <v>0.97209999999999996</v>
      </c>
      <c r="D72" s="2">
        <v>0.81569999999999998</v>
      </c>
      <c r="E72" s="2">
        <v>0.93700000000000006</v>
      </c>
      <c r="F72" s="2">
        <v>0.95130000000000003</v>
      </c>
      <c r="G72" s="5">
        <v>0.95409999999999995</v>
      </c>
      <c r="H72" s="5">
        <v>0.96409999999999996</v>
      </c>
      <c r="I72" s="5">
        <v>0.88660000000000005</v>
      </c>
      <c r="J72" s="5">
        <v>0.93899999999999995</v>
      </c>
      <c r="K72" s="37"/>
      <c r="M72" s="2">
        <v>0.93830000000000002</v>
      </c>
      <c r="N72" s="2">
        <v>0.88990000000000002</v>
      </c>
      <c r="O72" s="2">
        <v>0.89939999999999998</v>
      </c>
      <c r="P72" s="2">
        <v>0.9052</v>
      </c>
      <c r="Q72" s="5">
        <v>0.92559999999999998</v>
      </c>
      <c r="R72" s="5">
        <v>0.91349999999999998</v>
      </c>
      <c r="S72" s="5">
        <v>0.92720000000000002</v>
      </c>
      <c r="T72" s="5">
        <v>0.88749999999999996</v>
      </c>
      <c r="U72" s="5">
        <v>0.93389999999999995</v>
      </c>
      <c r="V72" s="37"/>
    </row>
    <row r="73" spans="2:22">
      <c r="B73" s="24">
        <v>0.78749999999854481</v>
      </c>
      <c r="C73" s="2">
        <v>0.94550000000000001</v>
      </c>
      <c r="D73" s="2">
        <v>0.88870000000000005</v>
      </c>
      <c r="E73" s="2">
        <v>0.94889999999999997</v>
      </c>
      <c r="F73" s="2">
        <v>0.96130000000000004</v>
      </c>
      <c r="G73" s="5">
        <v>0.98209999999999997</v>
      </c>
      <c r="H73" s="5">
        <v>0.97560000000000002</v>
      </c>
      <c r="I73" s="5">
        <v>0.8639</v>
      </c>
      <c r="J73" s="5">
        <v>0.97130000000000005</v>
      </c>
      <c r="K73" s="37"/>
      <c r="M73" s="2">
        <v>0.94069999999999998</v>
      </c>
      <c r="N73" s="2">
        <v>0.90249999999999997</v>
      </c>
      <c r="O73" s="2">
        <v>0.92390000000000005</v>
      </c>
      <c r="P73" s="2">
        <v>0.91759999999999997</v>
      </c>
      <c r="Q73" s="5">
        <v>0.90720000000000001</v>
      </c>
      <c r="R73" s="5">
        <v>0.89610000000000001</v>
      </c>
      <c r="S73" s="5">
        <v>0.89749999999999996</v>
      </c>
      <c r="T73" s="5">
        <v>0.87460000000000004</v>
      </c>
      <c r="U73" s="5">
        <v>0.88129999999999997</v>
      </c>
      <c r="V73" s="37"/>
    </row>
    <row r="74" spans="2:22">
      <c r="B74" s="24">
        <v>0.80000000000291038</v>
      </c>
      <c r="C74" s="2">
        <v>0.95320000000000005</v>
      </c>
      <c r="D74" s="2">
        <v>0.94440000000000002</v>
      </c>
      <c r="E74" s="2">
        <v>0.94869999999999999</v>
      </c>
      <c r="F74" s="2">
        <v>0.95079999999999998</v>
      </c>
      <c r="G74" s="5">
        <v>1.0024</v>
      </c>
      <c r="H74" s="5">
        <v>0.95409999999999995</v>
      </c>
      <c r="I74" s="5">
        <v>0.85909999999999997</v>
      </c>
      <c r="J74" s="5">
        <v>0.91159999999999997</v>
      </c>
      <c r="K74" s="37"/>
      <c r="M74" s="2">
        <v>0.91100000000000003</v>
      </c>
      <c r="N74" s="2">
        <v>0.91120000000000001</v>
      </c>
      <c r="O74" s="2">
        <v>0.96509999999999996</v>
      </c>
      <c r="P74" s="2">
        <v>0.93679999999999997</v>
      </c>
      <c r="Q74" s="5">
        <v>0.90359999999999996</v>
      </c>
      <c r="R74" s="5">
        <v>0.88429999999999997</v>
      </c>
      <c r="S74" s="5">
        <v>0.91849999999999998</v>
      </c>
      <c r="T74" s="5">
        <v>0.90410000000000001</v>
      </c>
      <c r="U74" s="5">
        <v>0.89339999999999997</v>
      </c>
      <c r="V74" s="37"/>
    </row>
    <row r="75" spans="2:22">
      <c r="B75" s="24">
        <v>0.8125</v>
      </c>
      <c r="C75" s="2">
        <v>0.94099999999999995</v>
      </c>
      <c r="D75" s="2">
        <v>0.92100000000000004</v>
      </c>
      <c r="E75" s="2">
        <v>0.94030000000000002</v>
      </c>
      <c r="F75" s="2">
        <v>0.96609999999999996</v>
      </c>
      <c r="G75" s="5">
        <v>0.98839999999999995</v>
      </c>
      <c r="H75" s="5">
        <v>0.88019999999999998</v>
      </c>
      <c r="I75" s="5">
        <v>0.88400000000000001</v>
      </c>
      <c r="J75" s="5">
        <v>0.95209999999999995</v>
      </c>
      <c r="K75" s="37"/>
      <c r="M75" s="2">
        <v>0.93389999999999995</v>
      </c>
      <c r="N75" s="2">
        <v>0.91710000000000003</v>
      </c>
      <c r="O75" s="2">
        <v>0.9446</v>
      </c>
      <c r="P75" s="2">
        <v>0.91859999999999997</v>
      </c>
      <c r="Q75" s="5">
        <v>0.92359999999999998</v>
      </c>
      <c r="R75" s="5">
        <v>0.87339999999999995</v>
      </c>
      <c r="S75" s="5">
        <v>0.92210000000000003</v>
      </c>
      <c r="T75" s="5">
        <v>0.87780000000000002</v>
      </c>
      <c r="U75" s="5">
        <v>0.95809999999999995</v>
      </c>
      <c r="V75" s="37"/>
    </row>
    <row r="76" spans="2:22">
      <c r="B76" s="24">
        <v>0.82499999999708962</v>
      </c>
      <c r="C76" s="2">
        <v>0.95309999999999995</v>
      </c>
      <c r="D76" s="2">
        <v>0.91839999999999999</v>
      </c>
      <c r="E76" s="2">
        <v>0.9849</v>
      </c>
      <c r="F76" s="2">
        <v>0.94569999999999999</v>
      </c>
      <c r="G76" s="5">
        <v>0.99160000000000004</v>
      </c>
      <c r="H76" s="5">
        <v>0.93010000000000004</v>
      </c>
      <c r="I76" s="5">
        <v>0.87760000000000005</v>
      </c>
      <c r="J76" s="5">
        <v>0.93130000000000002</v>
      </c>
      <c r="K76" s="37"/>
      <c r="M76" s="2">
        <v>0.91410000000000002</v>
      </c>
      <c r="N76" s="2">
        <v>0.90059999999999996</v>
      </c>
      <c r="O76" s="2">
        <v>0.9113</v>
      </c>
      <c r="P76" s="2">
        <v>0.90800000000000003</v>
      </c>
      <c r="Q76" s="5">
        <v>0.92920000000000003</v>
      </c>
      <c r="R76" s="5">
        <v>0.93230000000000002</v>
      </c>
      <c r="S76" s="5">
        <v>0.9083</v>
      </c>
      <c r="T76" s="5">
        <v>0.83819999999999995</v>
      </c>
      <c r="U76" s="5">
        <v>0.91259999999999997</v>
      </c>
      <c r="V76" s="37"/>
    </row>
    <row r="77" spans="2:22">
      <c r="B77" s="24">
        <v>0.83750000000145519</v>
      </c>
      <c r="C77" s="2">
        <v>0.96460000000000001</v>
      </c>
      <c r="D77" s="2">
        <v>0.92259999999999998</v>
      </c>
      <c r="E77" s="2">
        <v>0.96950000000000003</v>
      </c>
      <c r="F77" s="2">
        <v>0.95640000000000003</v>
      </c>
      <c r="G77" s="5">
        <v>0.97709999999999997</v>
      </c>
      <c r="H77" s="5">
        <v>0.85770000000000002</v>
      </c>
      <c r="I77" s="5">
        <v>0.88839999999999997</v>
      </c>
      <c r="J77" s="5">
        <v>0.92249999999999999</v>
      </c>
      <c r="K77" s="37"/>
      <c r="M77" s="2">
        <v>0.8952</v>
      </c>
      <c r="N77" s="2">
        <v>0.90500000000000003</v>
      </c>
      <c r="O77" s="2">
        <v>0.91490000000000005</v>
      </c>
      <c r="P77" s="2">
        <v>0.91969999999999996</v>
      </c>
      <c r="Q77" s="5">
        <v>0.91649999999999998</v>
      </c>
      <c r="R77" s="5">
        <v>0.91020000000000001</v>
      </c>
      <c r="S77" s="5">
        <v>0.88839999999999997</v>
      </c>
      <c r="T77" s="5">
        <v>0.78839999999999999</v>
      </c>
      <c r="U77" s="5">
        <v>0.91800000000000004</v>
      </c>
      <c r="V77" s="37"/>
    </row>
    <row r="78" spans="2:22">
      <c r="B78" s="24">
        <v>0.84999999999854481</v>
      </c>
      <c r="C78" s="2">
        <v>0.9778</v>
      </c>
      <c r="D78" s="2">
        <v>0.93859999999999999</v>
      </c>
      <c r="E78" s="2">
        <v>0.95989999999999998</v>
      </c>
      <c r="F78" s="2">
        <v>0.94640000000000002</v>
      </c>
      <c r="G78" s="5">
        <v>0.98209999999999997</v>
      </c>
      <c r="H78" s="5">
        <v>0.88270000000000004</v>
      </c>
      <c r="I78" s="5">
        <v>0.91100000000000003</v>
      </c>
      <c r="J78" s="5">
        <v>0.96530000000000005</v>
      </c>
      <c r="K78" s="37"/>
      <c r="M78" s="2">
        <v>0.90820000000000001</v>
      </c>
      <c r="N78" s="2">
        <v>0.89490000000000003</v>
      </c>
      <c r="O78" s="2">
        <v>0.90149999999999997</v>
      </c>
      <c r="P78" s="2">
        <v>0.93730000000000002</v>
      </c>
      <c r="Q78" s="5">
        <v>0.93769999999999998</v>
      </c>
      <c r="R78" s="5">
        <v>0.86319999999999997</v>
      </c>
      <c r="S78" s="5">
        <v>0.87509999999999999</v>
      </c>
      <c r="T78" s="5">
        <v>0.87549999999999994</v>
      </c>
      <c r="U78" s="5">
        <v>0.88129999999999997</v>
      </c>
      <c r="V78" s="37"/>
    </row>
    <row r="79" spans="2:22">
      <c r="B79" s="24">
        <v>0.86250000000291038</v>
      </c>
      <c r="C79" s="2">
        <v>0.96120000000000005</v>
      </c>
      <c r="D79" s="2">
        <v>0.95599999999999996</v>
      </c>
      <c r="E79" s="2">
        <v>0.95599999999999996</v>
      </c>
      <c r="F79" s="2">
        <v>0.94469999999999998</v>
      </c>
      <c r="G79" s="5">
        <v>0.97450000000000003</v>
      </c>
      <c r="H79" s="5">
        <v>0.91369999999999996</v>
      </c>
      <c r="I79" s="5">
        <v>0.86929999999999996</v>
      </c>
      <c r="J79" s="5">
        <v>0.97470000000000001</v>
      </c>
      <c r="K79" s="37"/>
      <c r="M79" s="2">
        <v>0.8821</v>
      </c>
      <c r="N79" s="2">
        <v>0.85050000000000003</v>
      </c>
      <c r="O79" s="2">
        <v>0.90949999999999998</v>
      </c>
      <c r="P79" s="2">
        <v>0.95679999999999998</v>
      </c>
      <c r="Q79" s="5">
        <v>0.90390000000000004</v>
      </c>
      <c r="R79" s="5">
        <v>0.87519999999999998</v>
      </c>
      <c r="S79" s="5">
        <v>0.85160000000000002</v>
      </c>
      <c r="T79" s="5">
        <v>0.90569999999999995</v>
      </c>
      <c r="U79" s="5">
        <v>0.9173</v>
      </c>
      <c r="V79" s="37"/>
    </row>
    <row r="80" spans="2:22">
      <c r="B80" s="24">
        <v>0.875</v>
      </c>
      <c r="C80" s="2">
        <v>0.97389999999999999</v>
      </c>
      <c r="D80" s="2">
        <v>0.9264</v>
      </c>
      <c r="E80" s="2">
        <v>0.93159999999999998</v>
      </c>
      <c r="F80" s="2">
        <v>0.95420000000000005</v>
      </c>
      <c r="G80" s="5">
        <v>0.97060000000000002</v>
      </c>
      <c r="H80" s="5">
        <v>0.9143</v>
      </c>
      <c r="I80" s="5">
        <v>0.84809999999999997</v>
      </c>
      <c r="J80" s="5">
        <v>0.89600000000000002</v>
      </c>
      <c r="K80" s="37"/>
      <c r="M80" s="2">
        <v>0.87109999999999999</v>
      </c>
      <c r="N80" s="2">
        <v>0.84560000000000002</v>
      </c>
      <c r="O80" s="2">
        <v>0.94750000000000001</v>
      </c>
      <c r="P80" s="2">
        <v>0.9294</v>
      </c>
      <c r="Q80" s="5">
        <v>0.88770000000000004</v>
      </c>
      <c r="R80" s="5">
        <v>0.84960000000000002</v>
      </c>
      <c r="S80" s="5">
        <v>0.91700000000000004</v>
      </c>
      <c r="T80" s="5">
        <v>0.82420000000000004</v>
      </c>
      <c r="U80" s="5">
        <v>0.88890000000000002</v>
      </c>
      <c r="V80" s="37"/>
    </row>
    <row r="81" spans="2:22">
      <c r="B81" s="24">
        <v>0.88749999999708962</v>
      </c>
      <c r="C81" s="2">
        <v>0.92530000000000001</v>
      </c>
      <c r="D81" s="2">
        <v>0.94840000000000002</v>
      </c>
      <c r="E81" s="2">
        <v>0.91779999999999995</v>
      </c>
      <c r="F81" s="2">
        <v>0.96189999999999998</v>
      </c>
      <c r="G81" s="5">
        <v>0.98509999999999998</v>
      </c>
      <c r="H81" s="5">
        <v>0.96199999999999997</v>
      </c>
      <c r="I81" s="5">
        <v>0.84530000000000005</v>
      </c>
      <c r="J81" s="5">
        <v>0.92649999999999999</v>
      </c>
      <c r="K81" s="37"/>
      <c r="M81" s="2">
        <v>0.88500000000000001</v>
      </c>
      <c r="N81" s="2">
        <v>0.8548</v>
      </c>
      <c r="O81" s="2">
        <v>0.88729999999999998</v>
      </c>
      <c r="P81" s="2">
        <v>0.94179999999999997</v>
      </c>
      <c r="Q81" s="5">
        <v>0.86229999999999996</v>
      </c>
      <c r="R81" s="5">
        <v>0.89359999999999995</v>
      </c>
      <c r="S81" s="5">
        <v>0.91110000000000002</v>
      </c>
      <c r="T81" s="5">
        <v>0.81679999999999997</v>
      </c>
      <c r="U81" s="5">
        <v>0.88890000000000002</v>
      </c>
      <c r="V81" s="37"/>
    </row>
    <row r="82" spans="2:22">
      <c r="B82" s="24">
        <v>0.90000000000145519</v>
      </c>
      <c r="C82" s="2">
        <v>0.93320000000000003</v>
      </c>
      <c r="D82" s="2">
        <v>0.95889999999999997</v>
      </c>
      <c r="E82" s="2">
        <v>0.9466</v>
      </c>
      <c r="F82" s="2">
        <v>0.9607</v>
      </c>
      <c r="G82" s="5">
        <v>0.97740000000000005</v>
      </c>
      <c r="H82" s="5">
        <v>0.94240000000000002</v>
      </c>
      <c r="I82" s="5">
        <v>0.9113</v>
      </c>
      <c r="J82" s="5">
        <v>0.91820000000000002</v>
      </c>
      <c r="K82" s="37"/>
      <c r="M82" s="2">
        <v>0.8972</v>
      </c>
      <c r="N82" s="2">
        <v>0.80310000000000004</v>
      </c>
      <c r="O82" s="2">
        <v>0.93220000000000003</v>
      </c>
      <c r="P82" s="2">
        <v>0.90439999999999998</v>
      </c>
      <c r="Q82" s="5">
        <v>0.88719999999999999</v>
      </c>
      <c r="R82" s="5">
        <v>0.88119999999999998</v>
      </c>
      <c r="S82" s="5">
        <v>0.85699999999999998</v>
      </c>
      <c r="T82" s="5">
        <v>0.88419999999999999</v>
      </c>
      <c r="U82" s="5">
        <v>0.86950000000000005</v>
      </c>
      <c r="V82" s="37"/>
    </row>
    <row r="83" spans="2:22">
      <c r="B83" s="24">
        <v>0.91249999999854481</v>
      </c>
      <c r="C83" s="2">
        <v>0.89680000000000004</v>
      </c>
      <c r="D83" s="2">
        <v>0.93820000000000003</v>
      </c>
      <c r="E83" s="2">
        <v>0.97499999999999998</v>
      </c>
      <c r="F83" s="2">
        <v>0.94850000000000001</v>
      </c>
      <c r="G83" s="5">
        <v>1.0099</v>
      </c>
      <c r="H83" s="5">
        <v>0.96640000000000004</v>
      </c>
      <c r="I83" s="5">
        <v>0.88160000000000005</v>
      </c>
      <c r="J83" s="5">
        <v>0.91090000000000004</v>
      </c>
      <c r="K83" s="37"/>
      <c r="M83" s="2">
        <v>0.81969999999999998</v>
      </c>
      <c r="N83" s="2">
        <v>0.88490000000000002</v>
      </c>
      <c r="O83" s="2">
        <v>0.92959999999999998</v>
      </c>
      <c r="P83" s="2">
        <v>0.92859999999999998</v>
      </c>
      <c r="Q83" s="5">
        <v>0.879</v>
      </c>
      <c r="R83" s="5">
        <v>0.89780000000000004</v>
      </c>
      <c r="S83" s="5">
        <v>0.82769999999999999</v>
      </c>
      <c r="T83" s="5">
        <v>0.89739999999999998</v>
      </c>
      <c r="U83" s="5">
        <v>0.88690000000000002</v>
      </c>
      <c r="V83" s="37"/>
    </row>
    <row r="84" spans="2:22">
      <c r="B84" s="24">
        <v>0.92500000000291038</v>
      </c>
      <c r="C84" s="2">
        <v>0.93169999999999997</v>
      </c>
      <c r="D84" s="2">
        <v>0.92500000000000004</v>
      </c>
      <c r="E84" s="2">
        <v>0.96740000000000004</v>
      </c>
      <c r="F84" s="2">
        <v>0.9667</v>
      </c>
      <c r="G84" s="5">
        <v>0.97799999999999998</v>
      </c>
      <c r="H84" s="5">
        <v>0.91120000000000001</v>
      </c>
      <c r="I84" s="5">
        <v>0.9052</v>
      </c>
      <c r="J84" s="5">
        <v>0.96330000000000005</v>
      </c>
      <c r="K84" s="37"/>
      <c r="M84" s="2">
        <v>0.89580000000000004</v>
      </c>
      <c r="N84" s="2">
        <v>0.88649999999999995</v>
      </c>
      <c r="O84" s="2">
        <v>0.89929999999999999</v>
      </c>
      <c r="P84" s="2">
        <v>0.91379999999999995</v>
      </c>
      <c r="Q84" s="5">
        <v>0.89139999999999997</v>
      </c>
      <c r="R84" s="5">
        <v>0.82479999999999998</v>
      </c>
      <c r="S84" s="5">
        <v>0.82279999999999998</v>
      </c>
      <c r="T84" s="5">
        <v>0.87139999999999995</v>
      </c>
      <c r="U84" s="5">
        <v>0.87039999999999995</v>
      </c>
      <c r="V84" s="37"/>
    </row>
    <row r="85" spans="2:22">
      <c r="B85" s="24">
        <v>0.9375</v>
      </c>
      <c r="C85" s="2">
        <v>0.9355</v>
      </c>
      <c r="D85" s="2">
        <v>0.95199999999999996</v>
      </c>
      <c r="E85" s="2">
        <v>0.95389999999999997</v>
      </c>
      <c r="F85" s="2">
        <v>0.93489999999999995</v>
      </c>
      <c r="G85" s="5">
        <v>1.0003</v>
      </c>
      <c r="H85" s="5">
        <v>0.94099999999999995</v>
      </c>
      <c r="I85" s="5">
        <v>0.93120000000000003</v>
      </c>
      <c r="J85" s="5">
        <v>0.95330000000000004</v>
      </c>
      <c r="K85" s="37"/>
      <c r="M85" s="2">
        <v>0.88749999999999996</v>
      </c>
      <c r="N85" s="2">
        <v>0.88849999999999996</v>
      </c>
      <c r="O85" s="2">
        <v>0.91069999999999995</v>
      </c>
      <c r="P85" s="2">
        <v>0.92659999999999998</v>
      </c>
      <c r="Q85" s="5">
        <v>0.78410000000000002</v>
      </c>
      <c r="R85" s="5">
        <v>0.84430000000000005</v>
      </c>
      <c r="S85" s="5">
        <v>0.81940000000000002</v>
      </c>
      <c r="T85" s="5">
        <v>0.88119999999999998</v>
      </c>
      <c r="U85" s="5">
        <v>0.87180000000000002</v>
      </c>
      <c r="V85" s="37"/>
    </row>
    <row r="86" spans="2:22">
      <c r="B86" s="24">
        <v>0.94999999999708962</v>
      </c>
      <c r="C86" s="2">
        <v>0.90269999999999995</v>
      </c>
      <c r="D86" s="2">
        <v>0.93689999999999996</v>
      </c>
      <c r="E86" s="2">
        <v>0.96660000000000001</v>
      </c>
      <c r="F86" s="2">
        <v>0.93020000000000003</v>
      </c>
      <c r="G86" s="5">
        <v>0.95979999999999999</v>
      </c>
      <c r="H86" s="5">
        <v>0.94159999999999999</v>
      </c>
      <c r="I86" s="5">
        <v>0.93</v>
      </c>
      <c r="J86" s="5">
        <v>0.89790000000000003</v>
      </c>
      <c r="K86" s="37"/>
      <c r="M86" s="2">
        <v>0.88670000000000004</v>
      </c>
      <c r="N86" s="2">
        <v>0.89239999999999997</v>
      </c>
      <c r="O86" s="2">
        <v>0.96589999999999998</v>
      </c>
      <c r="P86" s="2">
        <v>0.92279999999999995</v>
      </c>
      <c r="Q86" s="5">
        <v>0.77370000000000005</v>
      </c>
      <c r="R86" s="5">
        <v>0.83720000000000006</v>
      </c>
      <c r="S86" s="5">
        <v>0.81320000000000003</v>
      </c>
      <c r="T86" s="5">
        <v>0.87280000000000002</v>
      </c>
      <c r="U86" s="5">
        <v>0.81610000000000005</v>
      </c>
      <c r="V86" s="37"/>
    </row>
    <row r="87" spans="2:22">
      <c r="B87" s="24">
        <v>0.96250000000145519</v>
      </c>
      <c r="C87" s="2">
        <v>0.92849999999999999</v>
      </c>
      <c r="D87" s="2">
        <v>0.97950000000000004</v>
      </c>
      <c r="E87" s="2">
        <v>0.97740000000000005</v>
      </c>
      <c r="F87" s="2">
        <v>0.93610000000000004</v>
      </c>
      <c r="G87" s="5">
        <v>0.94899999999999995</v>
      </c>
      <c r="H87" s="5">
        <v>0.93840000000000001</v>
      </c>
      <c r="I87" s="5">
        <v>0.90400000000000003</v>
      </c>
      <c r="J87" s="5">
        <v>0.90749999999999997</v>
      </c>
      <c r="K87" s="37"/>
      <c r="M87" s="2">
        <v>0.93</v>
      </c>
      <c r="N87" s="2">
        <v>0.88109999999999999</v>
      </c>
      <c r="O87" s="2">
        <v>0.9476</v>
      </c>
      <c r="P87" s="2">
        <v>0.91239999999999999</v>
      </c>
      <c r="Q87" s="5">
        <v>0.83399999999999996</v>
      </c>
      <c r="R87" s="5">
        <v>0.8125</v>
      </c>
      <c r="S87" s="5">
        <v>0.86770000000000003</v>
      </c>
      <c r="T87" s="5">
        <v>0.84970000000000001</v>
      </c>
      <c r="U87" s="5">
        <v>0.79320000000000002</v>
      </c>
      <c r="V87" s="37"/>
    </row>
    <row r="88" spans="2:22">
      <c r="B88" s="24">
        <v>0.97499999999854481</v>
      </c>
      <c r="C88" s="2">
        <v>0.94540000000000002</v>
      </c>
      <c r="D88" s="2">
        <v>0.9748</v>
      </c>
      <c r="E88" s="2">
        <v>0.94899999999999995</v>
      </c>
      <c r="F88" s="2">
        <v>0.92679999999999996</v>
      </c>
      <c r="G88" s="5">
        <v>0.90259999999999996</v>
      </c>
      <c r="H88" s="5">
        <v>0.95020000000000004</v>
      </c>
      <c r="I88" s="5">
        <v>0.89629999999999999</v>
      </c>
      <c r="J88" s="5">
        <v>0.87380000000000002</v>
      </c>
      <c r="K88" s="37"/>
      <c r="M88" s="2">
        <v>0.92049999999999998</v>
      </c>
      <c r="N88" s="2">
        <v>0.93110000000000004</v>
      </c>
      <c r="O88" s="2">
        <v>0.94140000000000001</v>
      </c>
      <c r="P88" s="2">
        <v>0.90090000000000003</v>
      </c>
      <c r="Q88" s="5">
        <v>0.7984</v>
      </c>
      <c r="R88" s="5">
        <v>0.82289999999999996</v>
      </c>
      <c r="S88" s="5">
        <v>0.85529999999999995</v>
      </c>
      <c r="T88" s="5">
        <v>0.82479999999999998</v>
      </c>
      <c r="U88" s="5">
        <v>0.7913</v>
      </c>
      <c r="V88" s="37"/>
    </row>
    <row r="89" spans="2:22">
      <c r="B89" s="24">
        <v>0.98750028935319278</v>
      </c>
      <c r="C89" s="2">
        <v>0.97270000000000001</v>
      </c>
      <c r="D89" s="2">
        <v>0.95130000000000003</v>
      </c>
      <c r="E89" s="2">
        <v>0.92069999999999996</v>
      </c>
      <c r="F89" s="2">
        <v>0.95750000000000002</v>
      </c>
      <c r="G89" s="5">
        <v>0.96389999999999998</v>
      </c>
      <c r="H89" s="5">
        <v>0.91749999999999998</v>
      </c>
      <c r="I89" s="5">
        <v>0.86560000000000004</v>
      </c>
      <c r="J89" s="5">
        <v>0.93079999999999996</v>
      </c>
      <c r="K89" s="37"/>
      <c r="M89" s="2">
        <v>0.88</v>
      </c>
      <c r="N89" s="2">
        <v>0.88580000000000003</v>
      </c>
      <c r="O89" s="2">
        <v>0.90780000000000005</v>
      </c>
      <c r="P89" s="2">
        <v>0.8649</v>
      </c>
      <c r="Q89" s="5">
        <v>0.85409999999999997</v>
      </c>
      <c r="R89" s="5">
        <v>0.81859999999999999</v>
      </c>
      <c r="S89" s="5">
        <v>0.89639999999999997</v>
      </c>
      <c r="T89" s="5">
        <v>0.83830000000000005</v>
      </c>
      <c r="U89" s="5">
        <v>0.80420000000000003</v>
      </c>
      <c r="V89" s="37"/>
    </row>
    <row r="90" spans="2:22" ht="20">
      <c r="B90" s="38"/>
    </row>
    <row r="91" spans="2:22" ht="20">
      <c r="B91" s="38"/>
    </row>
  </sheetData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C3:E18"/>
  <sheetViews>
    <sheetView workbookViewId="0">
      <selection activeCell="E17" sqref="E17"/>
    </sheetView>
  </sheetViews>
  <sheetFormatPr baseColWidth="10" defaultColWidth="11.5703125" defaultRowHeight="20"/>
  <cols>
    <col min="4" max="4" width="18.5703125" customWidth="1"/>
    <col min="5" max="5" width="19.85546875" customWidth="1"/>
  </cols>
  <sheetData>
    <row r="3" spans="3:5">
      <c r="C3" s="5" t="s">
        <v>75</v>
      </c>
      <c r="D3" s="5" t="s">
        <v>75</v>
      </c>
      <c r="E3" s="5" t="s">
        <v>75</v>
      </c>
    </row>
    <row r="4" spans="3:5">
      <c r="C4" s="5" t="s">
        <v>76</v>
      </c>
      <c r="D4" s="5" t="s">
        <v>77</v>
      </c>
      <c r="E4" s="5" t="s">
        <v>78</v>
      </c>
    </row>
    <row r="5" spans="3:5">
      <c r="C5" s="5">
        <v>13.158233402206577</v>
      </c>
      <c r="D5" s="5">
        <v>13.989754963617736</v>
      </c>
      <c r="E5" s="5">
        <v>36.219171659128016</v>
      </c>
    </row>
    <row r="6" spans="3:5">
      <c r="C6" s="5">
        <v>10.105232573619112</v>
      </c>
      <c r="D6" s="5">
        <v>21.432482451260846</v>
      </c>
      <c r="E6" s="5">
        <v>27.550513547324634</v>
      </c>
    </row>
    <row r="7" spans="3:5">
      <c r="C7" s="5">
        <v>12.197743819053795</v>
      </c>
      <c r="D7" s="5">
        <v>30.815026648995374</v>
      </c>
      <c r="E7" s="5">
        <v>36.075890534965154</v>
      </c>
    </row>
    <row r="8" spans="3:5">
      <c r="C8" s="5">
        <v>9.5231342442136917</v>
      </c>
      <c r="D8" s="5">
        <v>24.701219794395229</v>
      </c>
      <c r="E8" s="5">
        <v>42.409336502824821</v>
      </c>
    </row>
    <row r="9" spans="3:5">
      <c r="C9" s="5">
        <v>15.448404839579783</v>
      </c>
      <c r="D9" s="5">
        <v>42.188625247061836</v>
      </c>
      <c r="E9" s="5">
        <v>34.500055483374553</v>
      </c>
    </row>
    <row r="10" spans="3:5">
      <c r="C10" s="5">
        <v>6.4163011405273256</v>
      </c>
      <c r="D10" s="5">
        <v>28.198237719367057</v>
      </c>
      <c r="E10" s="5">
        <v>33.613865375711789</v>
      </c>
    </row>
    <row r="11" spans="3:5">
      <c r="C11" s="5">
        <v>9.2587760671347041</v>
      </c>
      <c r="D11" s="5">
        <v>13.187256299775331</v>
      </c>
      <c r="E11" s="5">
        <v>37.922570225780703</v>
      </c>
    </row>
    <row r="12" spans="3:5">
      <c r="C12" s="5">
        <v>6.1563816334126766</v>
      </c>
      <c r="D12" s="5"/>
      <c r="E12" s="5">
        <v>36.127653575032369</v>
      </c>
    </row>
    <row r="13" spans="3:5">
      <c r="C13" s="5"/>
      <c r="D13" s="5"/>
      <c r="E13" s="5">
        <v>32.761662185408817</v>
      </c>
    </row>
    <row r="15" spans="3:5">
      <c r="C15" s="3" t="s">
        <v>144</v>
      </c>
    </row>
    <row r="16" spans="3:5">
      <c r="C16" s="89" t="s">
        <v>145</v>
      </c>
      <c r="D16" s="3"/>
      <c r="E16" s="88" t="s">
        <v>228</v>
      </c>
    </row>
    <row r="17" spans="3:5">
      <c r="C17" s="89" t="s">
        <v>146</v>
      </c>
      <c r="D17" s="3"/>
      <c r="E17" s="88" t="s">
        <v>162</v>
      </c>
    </row>
    <row r="18" spans="3:5">
      <c r="C18" s="89" t="s">
        <v>147</v>
      </c>
      <c r="D18" s="3"/>
      <c r="E18" s="88" t="s">
        <v>235</v>
      </c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E37"/>
  <sheetViews>
    <sheetView workbookViewId="0">
      <selection activeCell="D15" sqref="D15"/>
    </sheetView>
  </sheetViews>
  <sheetFormatPr baseColWidth="10" defaultColWidth="11.5703125" defaultRowHeight="20"/>
  <cols>
    <col min="2" max="2" width="16.28515625" customWidth="1"/>
    <col min="3" max="3" width="16.5703125" customWidth="1"/>
    <col min="4" max="4" width="17.28515625" customWidth="1"/>
    <col min="5" max="5" width="17.5703125" customWidth="1"/>
    <col min="6" max="6" width="17.28515625" customWidth="1"/>
  </cols>
  <sheetData>
    <row r="2" spans="2:5">
      <c r="C2" s="32"/>
    </row>
    <row r="3" spans="2:5">
      <c r="D3" s="32"/>
    </row>
    <row r="4" spans="2:5">
      <c r="B4" s="5" t="s">
        <v>79</v>
      </c>
      <c r="C4" s="5" t="s">
        <v>79</v>
      </c>
      <c r="D4" s="5" t="s">
        <v>79</v>
      </c>
    </row>
    <row r="5" spans="2:5">
      <c r="B5" s="5" t="s">
        <v>76</v>
      </c>
      <c r="C5" s="5" t="s">
        <v>74</v>
      </c>
      <c r="D5" s="5" t="s">
        <v>80</v>
      </c>
    </row>
    <row r="6" spans="2:5">
      <c r="B6" s="5">
        <v>2.3010357199268903</v>
      </c>
      <c r="C6" s="5">
        <v>5.0583015547081249</v>
      </c>
      <c r="D6" s="5">
        <v>12.626644402825102</v>
      </c>
    </row>
    <row r="7" spans="2:5">
      <c r="B7" s="5">
        <v>2.5570040842114765</v>
      </c>
      <c r="C7" s="5">
        <v>5.8857210551255728</v>
      </c>
      <c r="D7" s="5">
        <v>24.308250784123473</v>
      </c>
    </row>
    <row r="8" spans="2:5">
      <c r="B8" s="5">
        <v>2.524426292393438</v>
      </c>
      <c r="C8" s="5">
        <v>6.800578784665027</v>
      </c>
      <c r="D8" s="5">
        <v>11.146258772028792</v>
      </c>
    </row>
    <row r="9" spans="2:5">
      <c r="B9" s="5">
        <v>4.0204661867906228</v>
      </c>
      <c r="C9" s="5">
        <v>6.0519947198591959</v>
      </c>
      <c r="D9" s="5">
        <v>11.873547397161358</v>
      </c>
    </row>
    <row r="10" spans="2:5">
      <c r="B10" s="5">
        <v>2.7062131913261278</v>
      </c>
      <c r="C10" s="5">
        <v>6.5250073335288929</v>
      </c>
      <c r="D10" s="5">
        <v>11.063192454362886</v>
      </c>
    </row>
    <row r="11" spans="2:5">
      <c r="B11" s="5">
        <v>2.3715504208317348</v>
      </c>
      <c r="C11" s="5">
        <v>5.5547250490782316</v>
      </c>
      <c r="D11" s="5">
        <v>12.270404133853827</v>
      </c>
    </row>
    <row r="12" spans="2:5">
      <c r="B12" s="5">
        <v>4.4768373310467773</v>
      </c>
      <c r="C12" s="5">
        <v>5.7472301825484573</v>
      </c>
      <c r="D12" s="5">
        <v>16.586467946837555</v>
      </c>
      <c r="E12" s="33"/>
    </row>
    <row r="13" spans="2:5">
      <c r="B13" s="3"/>
      <c r="C13" s="3"/>
      <c r="D13" s="3"/>
      <c r="E13" s="33"/>
    </row>
    <row r="14" spans="2:5">
      <c r="B14" s="3"/>
      <c r="C14" s="3"/>
      <c r="D14" s="3"/>
      <c r="E14" s="33"/>
    </row>
    <row r="15" spans="2:5">
      <c r="B15" s="3" t="s">
        <v>131</v>
      </c>
      <c r="C15" s="3"/>
      <c r="D15" s="88" t="s">
        <v>162</v>
      </c>
      <c r="E15" s="33"/>
    </row>
    <row r="16" spans="2:5">
      <c r="B16" s="3" t="s">
        <v>133</v>
      </c>
      <c r="C16" s="47"/>
      <c r="D16" s="88" t="s">
        <v>162</v>
      </c>
      <c r="E16" s="34"/>
    </row>
    <row r="17" spans="2:5">
      <c r="B17" s="36"/>
      <c r="C17" s="35"/>
      <c r="E17" s="34"/>
    </row>
    <row r="18" spans="2:5">
      <c r="B18" s="36"/>
      <c r="C18" s="35"/>
      <c r="E18" s="34"/>
    </row>
    <row r="19" spans="2:5">
      <c r="B19" s="36"/>
      <c r="C19" s="35"/>
      <c r="E19" s="33"/>
    </row>
    <row r="20" spans="2:5">
      <c r="B20" s="36"/>
      <c r="C20" s="35"/>
      <c r="E20" s="33"/>
    </row>
    <row r="21" spans="2:5">
      <c r="B21" s="36"/>
      <c r="C21" s="35"/>
      <c r="E21" s="34"/>
    </row>
    <row r="22" spans="2:5">
      <c r="B22" s="36"/>
      <c r="C22" s="35"/>
      <c r="E22" s="33"/>
    </row>
    <row r="23" spans="2:5">
      <c r="B23" s="36"/>
      <c r="C23" s="35"/>
      <c r="E23" s="33"/>
    </row>
    <row r="24" spans="2:5">
      <c r="B24" s="36"/>
      <c r="C24" s="35"/>
      <c r="E24" s="33"/>
    </row>
    <row r="25" spans="2:5">
      <c r="B25" s="36"/>
      <c r="C25" s="35"/>
      <c r="E25" s="33"/>
    </row>
    <row r="26" spans="2:5">
      <c r="B26" s="36"/>
      <c r="C26" s="35"/>
      <c r="E26" s="34"/>
    </row>
    <row r="27" spans="2:5">
      <c r="B27" s="34"/>
      <c r="E27" s="34"/>
    </row>
    <row r="28" spans="2:5">
      <c r="B28" s="34"/>
      <c r="E28" s="34"/>
    </row>
    <row r="29" spans="2:5">
      <c r="B29" s="34"/>
      <c r="E29" s="34"/>
    </row>
    <row r="30" spans="2:5">
      <c r="B30" s="34"/>
      <c r="E30" s="34"/>
    </row>
    <row r="31" spans="2:5">
      <c r="B31" s="34"/>
      <c r="E31" s="34"/>
    </row>
    <row r="32" spans="2:5">
      <c r="B32" s="34"/>
      <c r="E32" s="34"/>
    </row>
    <row r="33" spans="2:5">
      <c r="B33" s="34"/>
      <c r="E33" s="34"/>
    </row>
    <row r="34" spans="2:5">
      <c r="E34" s="34"/>
    </row>
    <row r="35" spans="2:5">
      <c r="E35" s="34"/>
    </row>
    <row r="36" spans="2:5">
      <c r="E36" s="34"/>
    </row>
    <row r="37" spans="2:5">
      <c r="E37" s="34"/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G29"/>
  <sheetViews>
    <sheetView workbookViewId="0">
      <selection activeCell="D22" sqref="D22"/>
    </sheetView>
  </sheetViews>
  <sheetFormatPr baseColWidth="10" defaultColWidth="11.5703125" defaultRowHeight="20"/>
  <cols>
    <col min="2" max="2" width="16.85546875" customWidth="1"/>
    <col min="3" max="3" width="15.42578125" customWidth="1"/>
    <col min="4" max="4" width="14.140625" customWidth="1"/>
    <col min="5" max="5" width="17" customWidth="1"/>
    <col min="6" max="6" width="17.42578125" customWidth="1"/>
    <col min="7" max="7" width="15.5703125" customWidth="1"/>
  </cols>
  <sheetData>
    <row r="2" spans="2:7">
      <c r="D2" s="27"/>
      <c r="E2" s="27"/>
      <c r="F2" s="27"/>
      <c r="G2" s="27"/>
    </row>
    <row r="3" spans="2:7">
      <c r="D3" s="28"/>
      <c r="E3" s="27"/>
      <c r="F3" s="28"/>
      <c r="G3" s="27"/>
    </row>
    <row r="4" spans="2:7">
      <c r="B4" s="1"/>
      <c r="C4" s="31" t="s">
        <v>60</v>
      </c>
      <c r="D4" s="2" t="s">
        <v>61</v>
      </c>
      <c r="E4" s="27"/>
      <c r="F4" s="28"/>
    </row>
    <row r="5" spans="2:7">
      <c r="B5" s="87" t="s">
        <v>3</v>
      </c>
      <c r="C5" s="5">
        <v>1758.2180232494761</v>
      </c>
      <c r="D5" s="5">
        <v>1035.2868132084291</v>
      </c>
      <c r="E5" s="27"/>
      <c r="F5" s="28"/>
    </row>
    <row r="6" spans="2:7">
      <c r="B6" s="87"/>
      <c r="C6" s="5">
        <v>1546.3125000154632</v>
      </c>
      <c r="D6" s="5">
        <v>1027.8098901039041</v>
      </c>
      <c r="E6" s="27"/>
      <c r="F6" s="28"/>
    </row>
    <row r="7" spans="2:7">
      <c r="B7" s="87"/>
      <c r="C7" s="5">
        <v>2606.0735293688413</v>
      </c>
      <c r="D7" s="5">
        <v>1089.86227547116</v>
      </c>
      <c r="E7" s="27"/>
      <c r="F7" s="28"/>
    </row>
    <row r="8" spans="2:7">
      <c r="B8" s="87"/>
      <c r="C8" s="5">
        <v>1969.7884615386781</v>
      </c>
      <c r="D8" s="5">
        <v>1058.5443850307004</v>
      </c>
      <c r="E8" s="27"/>
      <c r="F8" s="28"/>
    </row>
    <row r="9" spans="2:7">
      <c r="B9" s="87"/>
      <c r="C9" s="5">
        <v>2373.9204545497705</v>
      </c>
      <c r="D9" s="5">
        <v>1681.4999999663701</v>
      </c>
      <c r="E9" s="27"/>
      <c r="F9" s="28"/>
    </row>
    <row r="10" spans="2:7">
      <c r="B10" s="87" t="s">
        <v>62</v>
      </c>
      <c r="C10" s="5">
        <v>6341.798076745019</v>
      </c>
      <c r="D10" s="5">
        <v>1094.5185628645515</v>
      </c>
      <c r="E10" s="27"/>
      <c r="F10" s="28"/>
      <c r="G10" s="27"/>
    </row>
    <row r="11" spans="2:7">
      <c r="B11" s="87"/>
      <c r="C11" s="5">
        <v>6936.1874999826596</v>
      </c>
      <c r="D11" s="5">
        <v>717.80184332306646</v>
      </c>
    </row>
    <row r="12" spans="2:7">
      <c r="B12" s="87"/>
      <c r="C12" s="5">
        <v>7405.9728261755063</v>
      </c>
      <c r="D12" s="5">
        <v>815.18023255946662</v>
      </c>
      <c r="E12" s="27"/>
      <c r="F12" s="27"/>
      <c r="G12" s="27"/>
    </row>
    <row r="13" spans="2:7">
      <c r="B13" s="87"/>
      <c r="C13" s="5">
        <v>6026.0735293125117</v>
      </c>
      <c r="D13" s="5">
        <v>794.05312501017386</v>
      </c>
      <c r="E13" s="27"/>
    </row>
    <row r="14" spans="2:7">
      <c r="B14" s="87"/>
      <c r="C14" s="5">
        <v>6582.4573171100965</v>
      </c>
      <c r="D14" s="5">
        <v>1153.5000000115351</v>
      </c>
      <c r="E14" s="27"/>
    </row>
    <row r="15" spans="2:7">
      <c r="B15" s="57" t="s">
        <v>63</v>
      </c>
      <c r="C15" s="5">
        <v>2164.4510869824012</v>
      </c>
      <c r="D15" s="25">
        <v>1100.7000000110072</v>
      </c>
      <c r="E15" s="27"/>
    </row>
    <row r="16" spans="2:7">
      <c r="B16" s="57"/>
      <c r="C16" s="5">
        <v>3075.2119565585081</v>
      </c>
      <c r="D16" s="5">
        <v>1010.6999999797861</v>
      </c>
      <c r="E16" s="27"/>
    </row>
    <row r="17" spans="2:5">
      <c r="B17" s="57"/>
      <c r="C17" s="5">
        <v>6595.5815218179905</v>
      </c>
      <c r="D17" s="5">
        <v>900.86086955660039</v>
      </c>
      <c r="E17" s="27"/>
    </row>
    <row r="18" spans="2:5">
      <c r="B18" s="57"/>
      <c r="C18" s="5">
        <v>4165.8348213898889</v>
      </c>
      <c r="D18" s="5">
        <v>1011.8694610688768</v>
      </c>
      <c r="E18" s="27"/>
    </row>
    <row r="19" spans="2:5">
      <c r="B19" s="57"/>
      <c r="C19" s="5">
        <v>6353.0670732063709</v>
      </c>
      <c r="D19" s="5">
        <v>1130.2748663143914</v>
      </c>
      <c r="E19" s="27"/>
    </row>
    <row r="20" spans="2:5">
      <c r="B20" s="1"/>
      <c r="E20" s="27"/>
    </row>
    <row r="21" spans="2:5">
      <c r="B21" s="3" t="s">
        <v>144</v>
      </c>
      <c r="E21" s="27"/>
    </row>
    <row r="22" spans="2:5">
      <c r="B22" s="89" t="s">
        <v>241</v>
      </c>
      <c r="C22" s="3"/>
      <c r="D22" s="88" t="s">
        <v>234</v>
      </c>
    </row>
    <row r="23" spans="2:5">
      <c r="B23" s="89" t="s">
        <v>242</v>
      </c>
      <c r="C23" s="3"/>
      <c r="D23" s="88" t="s">
        <v>236</v>
      </c>
    </row>
    <row r="24" spans="2:5">
      <c r="B24" s="89" t="s">
        <v>243</v>
      </c>
      <c r="C24" s="3"/>
      <c r="D24" s="88" t="s">
        <v>237</v>
      </c>
    </row>
    <row r="25" spans="2:5">
      <c r="B25" s="3"/>
      <c r="C25" s="3"/>
      <c r="D25" s="3"/>
    </row>
    <row r="26" spans="2:5">
      <c r="B26" s="89" t="s">
        <v>244</v>
      </c>
      <c r="C26" s="3"/>
      <c r="D26" s="88" t="s">
        <v>238</v>
      </c>
    </row>
    <row r="27" spans="2:5">
      <c r="B27" s="89" t="s">
        <v>245</v>
      </c>
      <c r="C27" s="3"/>
      <c r="D27" s="88" t="s">
        <v>239</v>
      </c>
    </row>
    <row r="28" spans="2:5">
      <c r="B28" s="89" t="s">
        <v>246</v>
      </c>
      <c r="C28" s="3"/>
      <c r="D28" s="88" t="s">
        <v>240</v>
      </c>
    </row>
    <row r="29" spans="2:5">
      <c r="B29" s="3"/>
      <c r="C29" s="3"/>
      <c r="D29" s="3"/>
    </row>
  </sheetData>
  <mergeCells count="3">
    <mergeCell ref="B5:B9"/>
    <mergeCell ref="B10:B14"/>
    <mergeCell ref="B15:B19"/>
  </mergeCells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D31"/>
  <sheetViews>
    <sheetView topLeftCell="A13" workbookViewId="0">
      <selection activeCell="D25" sqref="D25"/>
    </sheetView>
  </sheetViews>
  <sheetFormatPr baseColWidth="10" defaultColWidth="11.5703125" defaultRowHeight="20"/>
  <cols>
    <col min="2" max="2" width="16" customWidth="1"/>
    <col min="3" max="3" width="13.5703125" customWidth="1"/>
    <col min="4" max="4" width="12.85546875" customWidth="1"/>
  </cols>
  <sheetData>
    <row r="2" spans="2:4">
      <c r="B2" s="1"/>
      <c r="C2" s="31" t="s">
        <v>60</v>
      </c>
      <c r="D2" s="31" t="s">
        <v>61</v>
      </c>
    </row>
    <row r="3" spans="2:4">
      <c r="B3" s="57" t="s">
        <v>3</v>
      </c>
      <c r="C3" s="5">
        <f>5*210.8081181</f>
        <v>1054.0405905</v>
      </c>
      <c r="D3" s="5">
        <v>3555.610169512317</v>
      </c>
    </row>
    <row r="4" spans="2:4">
      <c r="B4" s="57"/>
      <c r="C4" s="5">
        <f>5*255.9634146</f>
        <v>1279.8170729999999</v>
      </c>
      <c r="D4" s="5">
        <v>2934.6246786629376</v>
      </c>
    </row>
    <row r="5" spans="2:4">
      <c r="B5" s="57"/>
      <c r="C5" s="5">
        <f>5*242.402439</f>
        <v>1212.012195</v>
      </c>
      <c r="D5" s="5">
        <v>3400.8226744389704</v>
      </c>
    </row>
    <row r="6" spans="2:4">
      <c r="B6" s="57"/>
      <c r="C6" s="5">
        <f>5*253.8929889</f>
        <v>1269.4649445</v>
      </c>
      <c r="D6" s="5">
        <v>4148.2118644310358</v>
      </c>
    </row>
    <row r="7" spans="2:4">
      <c r="B7" s="57"/>
      <c r="C7" s="5">
        <f>5*183.6423358</f>
        <v>918.211679</v>
      </c>
      <c r="D7" s="5">
        <v>4030.7142857373183</v>
      </c>
    </row>
    <row r="8" spans="2:4">
      <c r="B8" s="57"/>
      <c r="C8" s="5">
        <f>5*316.3951049</f>
        <v>1581.9755244999999</v>
      </c>
      <c r="D8" s="5">
        <v>2789.051413881461</v>
      </c>
    </row>
    <row r="9" spans="2:4">
      <c r="B9" s="57" t="s">
        <v>62</v>
      </c>
      <c r="C9" s="5">
        <f>5*370.4820717</f>
        <v>1852.4103585</v>
      </c>
      <c r="D9" s="5">
        <v>3733.8413173402278</v>
      </c>
    </row>
    <row r="10" spans="2:4">
      <c r="B10" s="57"/>
      <c r="C10" s="5">
        <f>5*410.6091954</f>
        <v>2053.0459769999998</v>
      </c>
      <c r="D10" s="5">
        <v>4504.5000000299315</v>
      </c>
    </row>
    <row r="11" spans="2:4">
      <c r="B11" s="57"/>
      <c r="C11" s="5">
        <f>5*1126.37931</f>
        <v>5631.8965500000004</v>
      </c>
      <c r="D11" s="5">
        <v>4073.417475783127</v>
      </c>
    </row>
    <row r="12" spans="2:4">
      <c r="B12" s="57"/>
      <c r="C12" s="5">
        <f>5*1722.974277</f>
        <v>8614.8713850000004</v>
      </c>
      <c r="D12" s="5">
        <v>5711.6496350779789</v>
      </c>
    </row>
    <row r="13" spans="2:4">
      <c r="B13" s="57"/>
      <c r="C13" s="5">
        <f>5*2486.743902</f>
        <v>12433.719510000001</v>
      </c>
      <c r="D13" s="5">
        <v>4754.2796052947497</v>
      </c>
    </row>
    <row r="14" spans="2:4">
      <c r="B14" s="57"/>
      <c r="C14" s="5">
        <f>5*2563.323529</f>
        <v>12816.617644999998</v>
      </c>
      <c r="D14" s="5">
        <v>3610.8620690128319</v>
      </c>
    </row>
    <row r="15" spans="2:4">
      <c r="B15" s="57"/>
      <c r="C15" s="5">
        <f>5*3379.815217</f>
        <v>16899.076085000001</v>
      </c>
      <c r="D15" s="5">
        <v>4576.4703947026692</v>
      </c>
    </row>
    <row r="16" spans="2:4">
      <c r="B16" s="57" t="s">
        <v>63</v>
      </c>
      <c r="C16" s="5">
        <f>5*2589.55516</f>
        <v>12947.775799999999</v>
      </c>
      <c r="D16" s="5">
        <v>3944.4166666915021</v>
      </c>
    </row>
    <row r="17" spans="2:4">
      <c r="B17" s="57"/>
      <c r="C17" s="5">
        <f>5*2152.103448</f>
        <v>10760.517239999999</v>
      </c>
      <c r="D17" s="5">
        <v>3570.1525423937574</v>
      </c>
    </row>
    <row r="18" spans="2:4">
      <c r="B18" s="57"/>
      <c r="C18" s="5">
        <f>5*2500.48913</f>
        <v>12502.44565</v>
      </c>
      <c r="D18" s="5">
        <v>3801.8238342490927</v>
      </c>
    </row>
    <row r="19" spans="2:4">
      <c r="B19" s="57"/>
      <c r="C19" s="5">
        <f>5*161.3678161</f>
        <v>806.83908050000002</v>
      </c>
      <c r="D19" s="5">
        <v>3872.7355623088533</v>
      </c>
    </row>
    <row r="20" spans="2:4">
      <c r="B20" s="57"/>
      <c r="C20" s="5">
        <f>5*274.5819672</f>
        <v>1372.909836</v>
      </c>
      <c r="D20" s="5">
        <v>3217.5000000197479</v>
      </c>
    </row>
    <row r="21" spans="2:4">
      <c r="B21" s="57"/>
      <c r="C21" s="5">
        <f>5*161.4699248</f>
        <v>807.34962399999995</v>
      </c>
      <c r="D21" s="5">
        <v>3593.6302816611642</v>
      </c>
    </row>
    <row r="22" spans="2:4">
      <c r="B22" s="57"/>
      <c r="C22" s="5">
        <f>5*154.2560976</f>
        <v>771.28048799999999</v>
      </c>
      <c r="D22" s="5">
        <v>3414.0179640489596</v>
      </c>
    </row>
    <row r="24" spans="2:4">
      <c r="B24" s="3" t="s">
        <v>144</v>
      </c>
    </row>
    <row r="25" spans="2:4">
      <c r="B25" s="89" t="s">
        <v>241</v>
      </c>
      <c r="C25" s="3"/>
      <c r="D25" s="88" t="s">
        <v>247</v>
      </c>
    </row>
    <row r="26" spans="2:4">
      <c r="B26" s="89" t="s">
        <v>242</v>
      </c>
      <c r="C26" s="3"/>
      <c r="D26" s="88" t="s">
        <v>248</v>
      </c>
    </row>
    <row r="27" spans="2:4">
      <c r="B27" s="89" t="s">
        <v>243</v>
      </c>
      <c r="C27" s="3"/>
      <c r="D27" s="88" t="s">
        <v>249</v>
      </c>
    </row>
    <row r="28" spans="2:4">
      <c r="B28" s="3"/>
      <c r="C28" s="3"/>
      <c r="D28" s="3"/>
    </row>
    <row r="29" spans="2:4">
      <c r="B29" s="89" t="s">
        <v>244</v>
      </c>
      <c r="C29" s="3"/>
      <c r="D29" s="88" t="s">
        <v>250</v>
      </c>
    </row>
    <row r="30" spans="2:4">
      <c r="B30" s="89" t="s">
        <v>245</v>
      </c>
      <c r="C30" s="3"/>
      <c r="D30" s="88" t="s">
        <v>251</v>
      </c>
    </row>
    <row r="31" spans="2:4">
      <c r="B31" s="89" t="s">
        <v>246</v>
      </c>
      <c r="C31" s="3"/>
      <c r="D31" s="88" t="s">
        <v>252</v>
      </c>
    </row>
  </sheetData>
  <mergeCells count="3">
    <mergeCell ref="B9:B15"/>
    <mergeCell ref="B16:B22"/>
    <mergeCell ref="B3:B8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3:E28"/>
  <sheetViews>
    <sheetView tabSelected="1" workbookViewId="0">
      <selection activeCell="F34" sqref="F34"/>
    </sheetView>
  </sheetViews>
  <sheetFormatPr baseColWidth="10" defaultColWidth="11.5703125" defaultRowHeight="20"/>
  <cols>
    <col min="2" max="2" width="19.7109375" customWidth="1"/>
    <col min="3" max="3" width="16.5703125" customWidth="1"/>
    <col min="4" max="5" width="12.85546875" bestFit="1" customWidth="1"/>
  </cols>
  <sheetData>
    <row r="3" spans="2:5">
      <c r="B3" s="3"/>
      <c r="C3" s="3"/>
      <c r="D3" s="5" t="s">
        <v>70</v>
      </c>
      <c r="E3" s="5" t="s">
        <v>71</v>
      </c>
    </row>
    <row r="4" spans="2:5">
      <c r="B4" s="52" t="s">
        <v>72</v>
      </c>
      <c r="C4" s="52" t="s">
        <v>3</v>
      </c>
      <c r="D4" s="5">
        <v>5.8155172413793113E-6</v>
      </c>
      <c r="E4" s="5">
        <v>1.3103448275862068E-5</v>
      </c>
    </row>
    <row r="5" spans="2:5">
      <c r="B5" s="53"/>
      <c r="C5" s="53"/>
      <c r="D5" s="5">
        <v>7.6116279069767454E-6</v>
      </c>
      <c r="E5" s="5">
        <v>2.4651162790697675E-5</v>
      </c>
    </row>
    <row r="6" spans="2:5">
      <c r="B6" s="53"/>
      <c r="C6" s="53"/>
      <c r="D6" s="5">
        <v>9.9341463414634157E-6</v>
      </c>
      <c r="E6" s="5">
        <v>3.0731707317073179E-5</v>
      </c>
    </row>
    <row r="7" spans="2:5">
      <c r="B7" s="53"/>
      <c r="C7" s="54"/>
      <c r="D7" s="5">
        <v>9.2819047619047631E-6</v>
      </c>
      <c r="E7" s="5">
        <v>2.7809523809523809E-5</v>
      </c>
    </row>
    <row r="8" spans="2:5">
      <c r="B8" s="53"/>
      <c r="C8" s="52" t="s">
        <v>4</v>
      </c>
      <c r="D8" s="5">
        <v>6.8187500000000006E-6</v>
      </c>
      <c r="E8" s="5">
        <v>2.0000000000000002E-5</v>
      </c>
    </row>
    <row r="9" spans="2:5">
      <c r="B9" s="53"/>
      <c r="C9" s="53"/>
      <c r="D9" s="5">
        <v>9.5014084507042259E-6</v>
      </c>
      <c r="E9" s="5">
        <v>2.9859154929577465E-5</v>
      </c>
    </row>
    <row r="10" spans="2:5">
      <c r="B10" s="53"/>
      <c r="C10" s="53"/>
      <c r="D10" s="5">
        <v>1.8648717948717951E-5</v>
      </c>
      <c r="E10" s="5">
        <v>2.717948717948718E-5</v>
      </c>
    </row>
    <row r="11" spans="2:5">
      <c r="B11" s="54"/>
      <c r="C11" s="54"/>
      <c r="D11" s="5">
        <v>7.7540229885057479E-6</v>
      </c>
      <c r="E11" s="5">
        <v>2.4367816091954023E-5</v>
      </c>
    </row>
    <row r="12" spans="2:5">
      <c r="B12" s="52" t="s">
        <v>73</v>
      </c>
      <c r="C12" s="52" t="s">
        <v>3</v>
      </c>
      <c r="D12" s="5">
        <v>1.6282733812949639E-5</v>
      </c>
      <c r="E12" s="5">
        <v>1.760431654676259E-5</v>
      </c>
    </row>
    <row r="13" spans="2:5">
      <c r="B13" s="53"/>
      <c r="C13" s="53"/>
      <c r="D13" s="5">
        <v>1.826325581395349E-5</v>
      </c>
      <c r="E13" s="5">
        <v>1.9972093023255814E-5</v>
      </c>
    </row>
    <row r="14" spans="2:5">
      <c r="B14" s="53"/>
      <c r="C14" s="53"/>
      <c r="D14" s="5">
        <v>1.5790677966101695E-5</v>
      </c>
      <c r="E14" s="5">
        <v>1.9042372881355931E-5</v>
      </c>
    </row>
    <row r="15" spans="2:5">
      <c r="B15" s="53"/>
      <c r="C15" s="54"/>
      <c r="D15" s="5">
        <v>1.8877884615384616E-5</v>
      </c>
      <c r="E15" s="5">
        <v>2.2567307692307691E-5</v>
      </c>
    </row>
    <row r="16" spans="2:5">
      <c r="B16" s="53"/>
      <c r="C16" s="52" t="s">
        <v>4</v>
      </c>
      <c r="D16" s="5">
        <v>1.5412799999999999E-5</v>
      </c>
      <c r="E16" s="5">
        <v>2.3151999999999998E-5</v>
      </c>
    </row>
    <row r="17" spans="2:5">
      <c r="B17" s="53"/>
      <c r="C17" s="53"/>
      <c r="D17" s="5">
        <v>1.3663829787234043E-5</v>
      </c>
      <c r="E17" s="5">
        <v>1.9106382978723411E-5</v>
      </c>
    </row>
    <row r="18" spans="2:5">
      <c r="B18" s="53"/>
      <c r="C18" s="53"/>
      <c r="D18" s="5">
        <v>1.7234074074074075E-5</v>
      </c>
      <c r="E18" s="5">
        <v>1.9955555555555564E-5</v>
      </c>
    </row>
    <row r="19" spans="2:5">
      <c r="B19" s="54"/>
      <c r="C19" s="54"/>
      <c r="D19" s="5">
        <v>1.9128104575163399E-5</v>
      </c>
      <c r="E19" s="5">
        <v>2.283660130718954E-5</v>
      </c>
    </row>
    <row r="21" spans="2:5">
      <c r="B21" s="3" t="s">
        <v>134</v>
      </c>
    </row>
    <row r="22" spans="2:5">
      <c r="B22" s="89" t="s">
        <v>259</v>
      </c>
      <c r="C22" s="3"/>
      <c r="D22" s="3"/>
      <c r="E22" s="88" t="s">
        <v>253</v>
      </c>
    </row>
    <row r="23" spans="2:5">
      <c r="B23" s="89" t="s">
        <v>260</v>
      </c>
      <c r="C23" s="3"/>
      <c r="D23" s="3"/>
      <c r="E23" s="88" t="s">
        <v>254</v>
      </c>
    </row>
    <row r="24" spans="2:5">
      <c r="B24" s="3"/>
      <c r="C24" s="3"/>
      <c r="D24" s="3"/>
      <c r="E24" s="3"/>
    </row>
    <row r="25" spans="2:5">
      <c r="B25" s="89" t="s">
        <v>261</v>
      </c>
      <c r="C25" s="3"/>
      <c r="E25" s="88" t="s">
        <v>255</v>
      </c>
    </row>
    <row r="26" spans="2:5">
      <c r="B26" s="89" t="s">
        <v>262</v>
      </c>
      <c r="C26" s="3"/>
      <c r="E26" s="88" t="s">
        <v>256</v>
      </c>
    </row>
    <row r="27" spans="2:5">
      <c r="B27" s="89" t="s">
        <v>263</v>
      </c>
      <c r="C27" s="3"/>
      <c r="E27" s="88" t="s">
        <v>257</v>
      </c>
    </row>
    <row r="28" spans="2:5">
      <c r="B28" s="89" t="s">
        <v>264</v>
      </c>
      <c r="C28" s="3"/>
      <c r="E28" s="88" t="s">
        <v>258</v>
      </c>
    </row>
  </sheetData>
  <mergeCells count="6">
    <mergeCell ref="B4:B11"/>
    <mergeCell ref="C4:C7"/>
    <mergeCell ref="C8:C11"/>
    <mergeCell ref="B12:B19"/>
    <mergeCell ref="C12:C15"/>
    <mergeCell ref="C16:C19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21"/>
  <sheetViews>
    <sheetView workbookViewId="0">
      <selection activeCell="F21" sqref="F21"/>
    </sheetView>
  </sheetViews>
  <sheetFormatPr baseColWidth="10" defaultColWidth="11.5703125" defaultRowHeight="20"/>
  <sheetData>
    <row r="3" spans="2:8">
      <c r="B3" s="3"/>
      <c r="C3" s="3"/>
      <c r="D3" s="3"/>
      <c r="E3" s="3"/>
    </row>
    <row r="4" spans="2:8">
      <c r="B4" s="3"/>
      <c r="C4" s="3"/>
      <c r="D4" s="3"/>
      <c r="E4" s="3"/>
    </row>
    <row r="5" spans="2:8">
      <c r="B5" s="55" t="s">
        <v>3</v>
      </c>
      <c r="C5" s="55"/>
      <c r="D5" s="5" t="s">
        <v>4</v>
      </c>
      <c r="E5" s="5"/>
      <c r="G5" s="56"/>
      <c r="H5" s="56"/>
    </row>
    <row r="6" spans="2:8">
      <c r="B6" s="5" t="s">
        <v>91</v>
      </c>
      <c r="C6" s="3" t="s">
        <v>102</v>
      </c>
      <c r="D6" s="5" t="s">
        <v>91</v>
      </c>
      <c r="E6" s="3" t="s">
        <v>102</v>
      </c>
    </row>
    <row r="7" spans="2:8">
      <c r="B7" s="5">
        <v>1.2670086359549999</v>
      </c>
      <c r="C7" s="48">
        <v>2.1032332018249997</v>
      </c>
      <c r="D7" s="5">
        <v>1.2901567208199998</v>
      </c>
      <c r="E7" s="5">
        <v>2.268163306515</v>
      </c>
    </row>
    <row r="8" spans="2:8">
      <c r="B8" s="5">
        <v>1.3133048056900001</v>
      </c>
      <c r="C8" s="48">
        <v>1.7733729924499999</v>
      </c>
      <c r="D8" s="5">
        <v>1.43483225125</v>
      </c>
      <c r="E8" s="5">
        <v>1.987492777485</v>
      </c>
    </row>
    <row r="9" spans="2:8">
      <c r="B9" s="5">
        <v>0.97476406448999997</v>
      </c>
      <c r="C9" s="48">
        <v>1.9701317138299999</v>
      </c>
      <c r="D9" s="5">
        <v>1.284369699605</v>
      </c>
      <c r="E9" s="5">
        <v>2.1524228821699998</v>
      </c>
    </row>
    <row r="10" spans="2:8">
      <c r="B10" s="5">
        <v>1.489808952815</v>
      </c>
      <c r="C10" s="48">
        <v>2.2652697959050001</v>
      </c>
      <c r="D10" s="5">
        <v>1.4898089528149998</v>
      </c>
      <c r="E10" s="5">
        <v>2.05693703209</v>
      </c>
    </row>
    <row r="11" spans="2:8">
      <c r="B11" s="5">
        <v>1.5071700164649999</v>
      </c>
      <c r="C11" s="48">
        <v>2.2652697959049997</v>
      </c>
      <c r="D11" s="5">
        <v>1.87175235314</v>
      </c>
      <c r="E11" s="5">
        <v>2.3839037308549997</v>
      </c>
    </row>
    <row r="12" spans="2:8">
      <c r="B12" s="5">
        <v>1.5939753347200001</v>
      </c>
      <c r="C12" s="48">
        <v>2.3028854338200002</v>
      </c>
      <c r="D12" s="5">
        <v>1.8804328849699998</v>
      </c>
      <c r="E12" s="5">
        <v>2.3433945823400002</v>
      </c>
    </row>
    <row r="13" spans="2:8">
      <c r="B13" s="3"/>
      <c r="C13" s="3"/>
      <c r="D13" s="5">
        <v>1.61133639837</v>
      </c>
      <c r="E13" s="5">
        <v>2.0453629896550001</v>
      </c>
    </row>
    <row r="14" spans="2:8">
      <c r="B14" s="3"/>
      <c r="C14" s="3"/>
      <c r="D14" s="5">
        <v>1.8977939486199999</v>
      </c>
      <c r="E14" s="5">
        <v>2.5401533037199999</v>
      </c>
    </row>
    <row r="15" spans="2:8">
      <c r="B15" s="3"/>
      <c r="C15" s="3"/>
      <c r="D15" s="5">
        <v>1.8804328849699998</v>
      </c>
      <c r="E15" s="5">
        <v>2.2334411792099997</v>
      </c>
    </row>
    <row r="17" spans="2:6">
      <c r="B17" s="3" t="s">
        <v>143</v>
      </c>
    </row>
    <row r="18" spans="2:6">
      <c r="B18" s="89" t="s">
        <v>150</v>
      </c>
      <c r="C18" s="3"/>
      <c r="D18" s="3"/>
      <c r="E18" s="3"/>
      <c r="F18" s="88" t="s">
        <v>162</v>
      </c>
    </row>
    <row r="19" spans="2:6">
      <c r="B19" s="89" t="s">
        <v>138</v>
      </c>
      <c r="C19" s="3"/>
      <c r="D19" s="3"/>
      <c r="E19" s="3"/>
      <c r="F19" s="88" t="s">
        <v>163</v>
      </c>
    </row>
    <row r="20" spans="2:6">
      <c r="B20" s="89" t="s">
        <v>151</v>
      </c>
      <c r="C20" s="3"/>
      <c r="D20" s="3"/>
      <c r="E20" s="3"/>
      <c r="F20" s="88" t="s">
        <v>164</v>
      </c>
    </row>
    <row r="21" spans="2:6">
      <c r="B21" s="89" t="s">
        <v>152</v>
      </c>
      <c r="C21" s="3"/>
      <c r="D21" s="3"/>
      <c r="E21" s="3"/>
      <c r="F21" s="88" t="s">
        <v>162</v>
      </c>
    </row>
  </sheetData>
  <mergeCells count="2">
    <mergeCell ref="B5:C5"/>
    <mergeCell ref="G5:H5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F25"/>
  <sheetViews>
    <sheetView workbookViewId="0">
      <selection activeCell="E17" sqref="E17"/>
    </sheetView>
  </sheetViews>
  <sheetFormatPr baseColWidth="10" defaultColWidth="11.5703125" defaultRowHeight="20"/>
  <sheetData>
    <row r="4" spans="2:6">
      <c r="B4" s="3"/>
      <c r="C4" s="5" t="s">
        <v>120</v>
      </c>
      <c r="D4" s="5" t="s">
        <v>121</v>
      </c>
      <c r="E4" s="5" t="s">
        <v>122</v>
      </c>
      <c r="F4" s="5" t="s">
        <v>123</v>
      </c>
    </row>
    <row r="5" spans="2:6">
      <c r="B5" s="52" t="s">
        <v>124</v>
      </c>
      <c r="C5" s="5">
        <v>-1.3529494070411934</v>
      </c>
      <c r="D5" s="5">
        <v>-1.2760005226710696</v>
      </c>
      <c r="E5" s="5">
        <v>1.8354590711646972</v>
      </c>
      <c r="F5" s="5">
        <v>0.34510013859425309</v>
      </c>
    </row>
    <row r="6" spans="2:6">
      <c r="B6" s="53"/>
      <c r="C6" s="5">
        <v>-3.9999724269984376</v>
      </c>
      <c r="D6" s="5">
        <v>1.1136286861021536</v>
      </c>
      <c r="E6" s="5">
        <v>0</v>
      </c>
      <c r="F6" s="5">
        <v>3.3408860583064683</v>
      </c>
    </row>
    <row r="7" spans="2:6">
      <c r="B7" s="53"/>
      <c r="C7" s="5">
        <v>2.3333307736179401</v>
      </c>
      <c r="D7" s="5">
        <v>-2.6356560228426029</v>
      </c>
      <c r="E7" s="5">
        <v>7.5555472696777768</v>
      </c>
      <c r="F7" s="5">
        <v>-0.76744101859673219</v>
      </c>
    </row>
    <row r="8" spans="2:6">
      <c r="B8" s="53"/>
      <c r="C8" s="5">
        <v>0.49999507437889701</v>
      </c>
      <c r="D8" s="5">
        <v>0.35999645355280596</v>
      </c>
      <c r="E8" s="5">
        <v>0.26999734016460358</v>
      </c>
      <c r="F8" s="5">
        <v>7.9999211762231501E-2</v>
      </c>
    </row>
    <row r="9" spans="2:6">
      <c r="B9" s="54"/>
      <c r="C9" s="5">
        <v>2.4814806199801582</v>
      </c>
      <c r="D9" s="5">
        <v>6.0599012779937764</v>
      </c>
      <c r="E9" s="5">
        <v>1.216930794435662</v>
      </c>
      <c r="F9" s="5">
        <v>2.3188397748456953</v>
      </c>
    </row>
    <row r="10" spans="2:6">
      <c r="B10" s="52" t="s">
        <v>92</v>
      </c>
      <c r="C10" s="5">
        <v>1</v>
      </c>
      <c r="D10" s="5">
        <v>2.0735008433778126</v>
      </c>
      <c r="E10" s="5">
        <v>8.6528784773809662</v>
      </c>
      <c r="F10" s="5">
        <v>5.6941522881874409</v>
      </c>
    </row>
    <row r="11" spans="2:6">
      <c r="B11" s="53"/>
      <c r="C11" s="5">
        <v>1</v>
      </c>
      <c r="D11" s="5">
        <v>14.477172915488376</v>
      </c>
      <c r="E11" s="5">
        <v>24.090742998207308</v>
      </c>
      <c r="F11" s="5">
        <v>88.53348052496321</v>
      </c>
    </row>
    <row r="12" spans="2:6">
      <c r="B12" s="53"/>
      <c r="C12" s="5">
        <v>1</v>
      </c>
      <c r="D12" s="5">
        <v>3.1007717919552165</v>
      </c>
      <c r="E12" s="5">
        <v>20.222200043171352</v>
      </c>
      <c r="F12" s="5">
        <v>4.6046461124585516</v>
      </c>
    </row>
    <row r="13" spans="2:6">
      <c r="B13" s="53"/>
      <c r="C13" s="5">
        <v>1</v>
      </c>
      <c r="D13" s="5">
        <v>7.1999290689802304</v>
      </c>
      <c r="E13" s="5">
        <v>52.701398030814872</v>
      </c>
      <c r="F13" s="5">
        <v>6.3999369492820257</v>
      </c>
    </row>
    <row r="14" spans="2:6">
      <c r="B14" s="54"/>
      <c r="C14" s="5">
        <v>1</v>
      </c>
      <c r="D14" s="5">
        <v>8.5487893027874069</v>
      </c>
      <c r="E14" s="5">
        <v>8.2539653885168693</v>
      </c>
      <c r="F14" s="5">
        <v>9.6618323945977789</v>
      </c>
    </row>
    <row r="16" spans="2:6">
      <c r="B16" s="3" t="s">
        <v>143</v>
      </c>
    </row>
    <row r="17" spans="2:5">
      <c r="B17" s="89" t="s">
        <v>153</v>
      </c>
      <c r="C17" s="3"/>
      <c r="E17" s="88" t="s">
        <v>165</v>
      </c>
    </row>
    <row r="18" spans="2:5">
      <c r="B18" s="89" t="s">
        <v>154</v>
      </c>
      <c r="C18" s="3"/>
      <c r="E18" s="88" t="s">
        <v>166</v>
      </c>
    </row>
    <row r="19" spans="2:5">
      <c r="B19" s="89" t="s">
        <v>155</v>
      </c>
      <c r="C19" s="3"/>
      <c r="E19" s="88" t="s">
        <v>167</v>
      </c>
    </row>
    <row r="20" spans="2:5">
      <c r="B20" s="89" t="s">
        <v>156</v>
      </c>
      <c r="C20" s="3"/>
      <c r="E20" s="88" t="s">
        <v>168</v>
      </c>
    </row>
    <row r="21" spans="2:5">
      <c r="B21" s="3"/>
      <c r="C21" s="3"/>
      <c r="E21" s="3"/>
    </row>
    <row r="22" spans="2:5">
      <c r="B22" s="89" t="s">
        <v>157</v>
      </c>
      <c r="C22" s="3"/>
      <c r="E22" s="88" t="s">
        <v>169</v>
      </c>
    </row>
    <row r="23" spans="2:5">
      <c r="B23" s="89" t="s">
        <v>158</v>
      </c>
      <c r="C23" s="3"/>
      <c r="E23" s="88" t="s">
        <v>170</v>
      </c>
    </row>
    <row r="24" spans="2:5">
      <c r="B24" s="89" t="s">
        <v>159</v>
      </c>
      <c r="C24" s="3"/>
      <c r="E24" s="88" t="s">
        <v>171</v>
      </c>
    </row>
    <row r="25" spans="2:5">
      <c r="B25" s="89" t="s">
        <v>160</v>
      </c>
      <c r="C25" s="3"/>
      <c r="E25" s="88" t="s">
        <v>172</v>
      </c>
    </row>
  </sheetData>
  <mergeCells count="2">
    <mergeCell ref="B5:B9"/>
    <mergeCell ref="B10:B14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4"/>
  <sheetViews>
    <sheetView workbookViewId="0">
      <selection activeCell="E24" sqref="E24"/>
    </sheetView>
  </sheetViews>
  <sheetFormatPr baseColWidth="10" defaultColWidth="10.7109375" defaultRowHeight="16"/>
  <cols>
    <col min="1" max="1" width="10.7109375" style="3"/>
    <col min="2" max="2" width="13.42578125" style="3" customWidth="1"/>
    <col min="3" max="3" width="10.7109375" style="3"/>
    <col min="4" max="4" width="16.28515625" style="3" customWidth="1"/>
    <col min="5" max="16384" width="10.7109375" style="3"/>
  </cols>
  <sheetData>
    <row r="2" spans="2:4">
      <c r="D2" s="5" t="s">
        <v>12</v>
      </c>
    </row>
    <row r="3" spans="2:4">
      <c r="B3" s="57" t="s">
        <v>3</v>
      </c>
      <c r="C3" s="58" t="s">
        <v>8</v>
      </c>
      <c r="D3" s="5">
        <v>2.6741595498487765E-3</v>
      </c>
    </row>
    <row r="4" spans="2:4">
      <c r="B4" s="57"/>
      <c r="C4" s="59"/>
      <c r="D4" s="5">
        <v>2.3334741777639866E-3</v>
      </c>
    </row>
    <row r="5" spans="2:4">
      <c r="B5" s="57"/>
      <c r="C5" s="59"/>
      <c r="D5" s="5">
        <v>2.9566411924424095E-3</v>
      </c>
    </row>
    <row r="6" spans="2:4">
      <c r="B6" s="57"/>
      <c r="C6" s="60"/>
      <c r="D6" s="5">
        <v>3.3387121218869781E-3</v>
      </c>
    </row>
    <row r="7" spans="2:4">
      <c r="B7" s="57"/>
      <c r="C7" s="58" t="s">
        <v>9</v>
      </c>
      <c r="D7" s="5">
        <v>3.785891745956828E-3</v>
      </c>
    </row>
    <row r="8" spans="2:4">
      <c r="B8" s="57"/>
      <c r="C8" s="59"/>
      <c r="D8" s="5">
        <v>6.3903875937725545E-3</v>
      </c>
    </row>
    <row r="9" spans="2:4">
      <c r="B9" s="57"/>
      <c r="C9" s="59"/>
      <c r="D9" s="5">
        <v>5.6044622510126371E-3</v>
      </c>
    </row>
    <row r="10" spans="2:4">
      <c r="B10" s="57"/>
      <c r="C10" s="60"/>
      <c r="D10" s="5">
        <v>5.2082146666838428E-3</v>
      </c>
    </row>
    <row r="11" spans="2:4">
      <c r="B11" s="57" t="s">
        <v>4</v>
      </c>
      <c r="C11" s="58" t="s">
        <v>8</v>
      </c>
      <c r="D11" s="5">
        <v>2.6397898617065356E-3</v>
      </c>
    </row>
    <row r="12" spans="2:4">
      <c r="B12" s="57"/>
      <c r="C12" s="59"/>
      <c r="D12" s="5">
        <v>2.7288376936587281E-3</v>
      </c>
    </row>
    <row r="13" spans="2:4">
      <c r="B13" s="57"/>
      <c r="C13" s="59"/>
      <c r="D13" s="5">
        <v>3.6647046173142179E-3</v>
      </c>
    </row>
    <row r="14" spans="2:4">
      <c r="B14" s="57"/>
      <c r="C14" s="60"/>
      <c r="D14" s="5">
        <v>2.4555135862634608E-3</v>
      </c>
    </row>
    <row r="15" spans="2:4">
      <c r="B15" s="57"/>
      <c r="C15" s="58" t="s">
        <v>9</v>
      </c>
      <c r="D15" s="5">
        <v>6.0550977887266835E-3</v>
      </c>
    </row>
    <row r="16" spans="2:4">
      <c r="B16" s="57"/>
      <c r="C16" s="59"/>
      <c r="D16" s="5">
        <v>7.3132512043950016E-3</v>
      </c>
    </row>
    <row r="17" spans="2:5">
      <c r="B17" s="57"/>
      <c r="C17" s="59"/>
      <c r="D17" s="5">
        <v>7.3549147327172772E-3</v>
      </c>
    </row>
    <row r="18" spans="2:5">
      <c r="B18" s="57"/>
      <c r="C18" s="60"/>
      <c r="D18" s="5">
        <v>6.8545803971619577E-3</v>
      </c>
    </row>
    <row r="20" spans="2:5">
      <c r="B20" s="3" t="s">
        <v>143</v>
      </c>
    </row>
    <row r="21" spans="2:5">
      <c r="B21" s="89" t="s">
        <v>136</v>
      </c>
      <c r="E21" s="3" t="s">
        <v>173</v>
      </c>
    </row>
    <row r="22" spans="2:5">
      <c r="B22" s="89" t="s">
        <v>138</v>
      </c>
      <c r="E22" s="88" t="s">
        <v>174</v>
      </c>
    </row>
    <row r="23" spans="2:5">
      <c r="B23" s="89" t="s">
        <v>139</v>
      </c>
      <c r="E23" s="88" t="s">
        <v>175</v>
      </c>
    </row>
    <row r="24" spans="2:5">
      <c r="B24" s="89" t="s">
        <v>141</v>
      </c>
      <c r="E24" s="88" t="s">
        <v>162</v>
      </c>
    </row>
  </sheetData>
  <mergeCells count="6">
    <mergeCell ref="B3:B10"/>
    <mergeCell ref="C3:C6"/>
    <mergeCell ref="C7:C10"/>
    <mergeCell ref="B11:B18"/>
    <mergeCell ref="C11:C14"/>
    <mergeCell ref="C15:C1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D14"/>
  <sheetViews>
    <sheetView workbookViewId="0">
      <selection activeCell="D15" sqref="D15"/>
    </sheetView>
  </sheetViews>
  <sheetFormatPr baseColWidth="10" defaultColWidth="11.5703125" defaultRowHeight="20"/>
  <sheetData>
    <row r="2" spans="2:4">
      <c r="B2" s="3"/>
      <c r="C2" s="3"/>
      <c r="D2" s="5" t="s">
        <v>81</v>
      </c>
    </row>
    <row r="3" spans="2:4">
      <c r="B3" s="55" t="s">
        <v>6</v>
      </c>
      <c r="C3" s="5">
        <v>79</v>
      </c>
      <c r="D3" s="5">
        <v>1.0014381876113287</v>
      </c>
    </row>
    <row r="4" spans="2:4">
      <c r="B4" s="55"/>
      <c r="C4" s="5">
        <v>80</v>
      </c>
      <c r="D4" s="5">
        <v>0.96355453682899495</v>
      </c>
    </row>
    <row r="5" spans="2:4">
      <c r="B5" s="55"/>
      <c r="C5" s="5">
        <v>81</v>
      </c>
      <c r="D5" s="5">
        <v>0.81738127018366813</v>
      </c>
    </row>
    <row r="6" spans="2:4">
      <c r="B6" s="55"/>
      <c r="C6" s="5">
        <v>82</v>
      </c>
      <c r="D6" s="5">
        <v>1.0242935511707387</v>
      </c>
    </row>
    <row r="7" spans="2:4">
      <c r="B7" s="52"/>
      <c r="C7" s="5">
        <v>83</v>
      </c>
      <c r="D7" s="5">
        <v>0.85669442345560975</v>
      </c>
    </row>
    <row r="8" spans="2:4">
      <c r="B8" s="52" t="s">
        <v>1</v>
      </c>
      <c r="C8" s="5">
        <v>84</v>
      </c>
      <c r="D8" s="5">
        <v>0.66602811765557213</v>
      </c>
    </row>
    <row r="9" spans="2:4">
      <c r="B9" s="53"/>
      <c r="C9" s="5">
        <v>85</v>
      </c>
      <c r="D9" s="5">
        <v>0.55853844649217266</v>
      </c>
    </row>
    <row r="10" spans="2:4">
      <c r="B10" s="53"/>
      <c r="C10" s="5">
        <v>86</v>
      </c>
      <c r="D10" s="5">
        <v>0.52791456447759355</v>
      </c>
    </row>
    <row r="11" spans="2:4">
      <c r="B11" s="53"/>
      <c r="C11" s="5">
        <v>87</v>
      </c>
      <c r="D11" s="5">
        <v>0.51231445022395716</v>
      </c>
    </row>
    <row r="12" spans="2:4">
      <c r="B12" s="54"/>
      <c r="C12" s="5">
        <v>88</v>
      </c>
      <c r="D12" s="5">
        <v>0.84924600252855564</v>
      </c>
    </row>
    <row r="13" spans="2:4">
      <c r="B13" s="3"/>
      <c r="C13" s="3"/>
      <c r="D13" s="3"/>
    </row>
    <row r="14" spans="2:4">
      <c r="B14" s="3" t="s">
        <v>176</v>
      </c>
      <c r="C14" s="3"/>
      <c r="D14" s="3" t="s">
        <v>194</v>
      </c>
    </row>
  </sheetData>
  <mergeCells count="2">
    <mergeCell ref="B3:B7"/>
    <mergeCell ref="B8:B1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J107"/>
  <sheetViews>
    <sheetView topLeftCell="A4" zoomScale="50" zoomScaleNormal="50" workbookViewId="0">
      <selection activeCell="AK76" sqref="AK76"/>
    </sheetView>
  </sheetViews>
  <sheetFormatPr baseColWidth="10" defaultColWidth="10.7109375" defaultRowHeight="16"/>
  <cols>
    <col min="1" max="2" width="10.7109375" style="3"/>
    <col min="3" max="3" width="15.7109375" style="3" customWidth="1"/>
    <col min="4" max="4" width="16" style="3" customWidth="1"/>
    <col min="5" max="16384" width="10.7109375" style="3"/>
  </cols>
  <sheetData>
    <row r="2" spans="2:34">
      <c r="F2" s="4" t="s">
        <v>1</v>
      </c>
    </row>
    <row r="3" spans="2:34">
      <c r="D3" s="5">
        <v>4</v>
      </c>
      <c r="E3" s="6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8">
        <v>15</v>
      </c>
      <c r="P3" s="8">
        <v>16</v>
      </c>
      <c r="Q3" s="8">
        <v>17</v>
      </c>
      <c r="R3" s="8">
        <v>18</v>
      </c>
      <c r="V3" s="25">
        <v>6</v>
      </c>
      <c r="W3" s="25">
        <v>7</v>
      </c>
      <c r="X3" s="25">
        <v>8</v>
      </c>
      <c r="Y3" s="25">
        <v>9</v>
      </c>
      <c r="Z3" s="25">
        <v>10</v>
      </c>
      <c r="AA3" s="25">
        <v>11</v>
      </c>
      <c r="AB3" s="25">
        <v>12</v>
      </c>
      <c r="AC3" s="25">
        <v>13</v>
      </c>
      <c r="AD3" s="25">
        <v>14</v>
      </c>
      <c r="AE3" s="25">
        <v>15</v>
      </c>
      <c r="AF3" s="25">
        <v>16</v>
      </c>
      <c r="AG3" s="25">
        <v>17</v>
      </c>
      <c r="AH3" s="25">
        <v>18</v>
      </c>
    </row>
    <row r="4" spans="2:34">
      <c r="B4" s="9">
        <v>91</v>
      </c>
      <c r="C4" s="10" t="s">
        <v>3</v>
      </c>
      <c r="D4" s="3">
        <v>14</v>
      </c>
      <c r="E4" s="3">
        <v>15.6</v>
      </c>
      <c r="F4" s="3">
        <v>17.8</v>
      </c>
      <c r="G4" s="3">
        <v>19.899999999999999</v>
      </c>
      <c r="H4" s="3">
        <v>21.1</v>
      </c>
      <c r="I4" s="3">
        <v>22</v>
      </c>
      <c r="J4" s="3">
        <v>22.9</v>
      </c>
      <c r="K4" s="3" t="s">
        <v>0</v>
      </c>
      <c r="L4" s="3" t="s">
        <v>0</v>
      </c>
      <c r="M4" s="3" t="s">
        <v>0</v>
      </c>
      <c r="N4" s="3" t="s">
        <v>0</v>
      </c>
      <c r="O4" s="3" t="s">
        <v>0</v>
      </c>
      <c r="P4" s="3" t="s">
        <v>0</v>
      </c>
      <c r="Q4" s="3" t="s">
        <v>0</v>
      </c>
      <c r="R4" s="3" t="s">
        <v>0</v>
      </c>
      <c r="U4" s="52" t="s">
        <v>3</v>
      </c>
      <c r="V4" s="5">
        <f>F4-17.8</f>
        <v>0</v>
      </c>
      <c r="W4" s="5">
        <f t="shared" ref="W4:Z4" si="0">G4-17.8</f>
        <v>2.0999999999999979</v>
      </c>
      <c r="X4" s="5">
        <f>H4-17.8</f>
        <v>3.3000000000000007</v>
      </c>
      <c r="Y4" s="5">
        <f t="shared" si="0"/>
        <v>4.1999999999999993</v>
      </c>
      <c r="Z4" s="5">
        <f t="shared" si="0"/>
        <v>5.0999999999999979</v>
      </c>
      <c r="AA4" s="5" t="s">
        <v>0</v>
      </c>
      <c r="AB4" s="5" t="s">
        <v>0</v>
      </c>
      <c r="AC4" s="5" t="s">
        <v>0</v>
      </c>
      <c r="AD4" s="5" t="s">
        <v>0</v>
      </c>
      <c r="AE4" s="5" t="s">
        <v>0</v>
      </c>
      <c r="AF4" s="5" t="s">
        <v>0</v>
      </c>
      <c r="AG4" s="5" t="s">
        <v>0</v>
      </c>
      <c r="AH4" s="5" t="s">
        <v>0</v>
      </c>
    </row>
    <row r="5" spans="2:34">
      <c r="B5" s="9">
        <v>92</v>
      </c>
      <c r="C5" s="10" t="s">
        <v>3</v>
      </c>
      <c r="D5" s="3">
        <v>15.1</v>
      </c>
      <c r="E5" s="3">
        <v>17.8</v>
      </c>
      <c r="F5" s="3">
        <v>20.8</v>
      </c>
      <c r="G5" s="3">
        <v>22.3</v>
      </c>
      <c r="H5" s="3">
        <v>22.8</v>
      </c>
      <c r="I5" s="3">
        <v>24.1</v>
      </c>
      <c r="J5" s="3">
        <v>24.7</v>
      </c>
      <c r="K5" s="3" t="s">
        <v>0</v>
      </c>
      <c r="L5" s="3" t="s">
        <v>0</v>
      </c>
      <c r="M5" s="3" t="s">
        <v>0</v>
      </c>
      <c r="N5" s="3" t="s">
        <v>0</v>
      </c>
      <c r="O5" s="3" t="s">
        <v>0</v>
      </c>
      <c r="P5" s="3" t="s">
        <v>0</v>
      </c>
      <c r="Q5" s="3" t="s">
        <v>0</v>
      </c>
      <c r="R5" s="3" t="s">
        <v>0</v>
      </c>
      <c r="U5" s="53"/>
      <c r="V5" s="5">
        <f>F5-20.8</f>
        <v>0</v>
      </c>
      <c r="W5" s="5">
        <f t="shared" ref="W5:Z5" si="1">G5-20.8</f>
        <v>1.5</v>
      </c>
      <c r="X5" s="5">
        <f t="shared" si="1"/>
        <v>2</v>
      </c>
      <c r="Y5" s="5">
        <f t="shared" si="1"/>
        <v>3.3000000000000007</v>
      </c>
      <c r="Z5" s="5">
        <f t="shared" si="1"/>
        <v>3.8999999999999986</v>
      </c>
      <c r="AA5" s="5" t="s">
        <v>0</v>
      </c>
      <c r="AB5" s="5" t="s">
        <v>0</v>
      </c>
      <c r="AC5" s="5" t="s">
        <v>0</v>
      </c>
      <c r="AD5" s="5" t="s">
        <v>0</v>
      </c>
      <c r="AE5" s="5" t="s">
        <v>0</v>
      </c>
      <c r="AF5" s="5" t="s">
        <v>0</v>
      </c>
      <c r="AG5" s="5" t="s">
        <v>0</v>
      </c>
      <c r="AH5" s="5" t="s">
        <v>0</v>
      </c>
    </row>
    <row r="6" spans="2:34">
      <c r="B6" s="9">
        <v>94</v>
      </c>
      <c r="C6" s="10" t="s">
        <v>3</v>
      </c>
      <c r="D6" s="3">
        <v>15.5</v>
      </c>
      <c r="E6" s="3">
        <v>17.5</v>
      </c>
      <c r="F6" s="3">
        <v>21.1</v>
      </c>
      <c r="G6" s="3">
        <v>22.8</v>
      </c>
      <c r="H6" s="3">
        <v>23.4</v>
      </c>
      <c r="I6" s="3">
        <v>24.3</v>
      </c>
      <c r="J6" s="3">
        <v>24.9</v>
      </c>
      <c r="K6" s="3" t="s">
        <v>0</v>
      </c>
      <c r="L6" s="3" t="s">
        <v>0</v>
      </c>
      <c r="M6" s="3" t="s">
        <v>0</v>
      </c>
      <c r="N6" s="3" t="s">
        <v>0</v>
      </c>
      <c r="O6" s="3" t="s">
        <v>0</v>
      </c>
      <c r="P6" s="3" t="s">
        <v>0</v>
      </c>
      <c r="Q6" s="3" t="s">
        <v>0</v>
      </c>
      <c r="R6" s="3" t="s">
        <v>0</v>
      </c>
      <c r="U6" s="53"/>
      <c r="V6" s="5">
        <f>F6-21.1</f>
        <v>0</v>
      </c>
      <c r="W6" s="5">
        <f t="shared" ref="W6:Z6" si="2">G6-21.1</f>
        <v>1.6999999999999993</v>
      </c>
      <c r="X6" s="5">
        <f t="shared" si="2"/>
        <v>2.2999999999999972</v>
      </c>
      <c r="Y6" s="5">
        <f t="shared" si="2"/>
        <v>3.1999999999999993</v>
      </c>
      <c r="Z6" s="5">
        <f t="shared" si="2"/>
        <v>3.7999999999999972</v>
      </c>
      <c r="AA6" s="5" t="s">
        <v>0</v>
      </c>
      <c r="AB6" s="5" t="s">
        <v>0</v>
      </c>
      <c r="AC6" s="5" t="s">
        <v>0</v>
      </c>
      <c r="AD6" s="5" t="s">
        <v>0</v>
      </c>
      <c r="AE6" s="5" t="s">
        <v>0</v>
      </c>
      <c r="AF6" s="5" t="s">
        <v>0</v>
      </c>
      <c r="AG6" s="5" t="s">
        <v>0</v>
      </c>
      <c r="AH6" s="5" t="s">
        <v>0</v>
      </c>
    </row>
    <row r="7" spans="2:34">
      <c r="B7" s="9">
        <v>102</v>
      </c>
      <c r="C7" s="10" t="s">
        <v>3</v>
      </c>
      <c r="D7" s="3" t="s">
        <v>0</v>
      </c>
      <c r="E7" s="3">
        <v>19.600000000000001</v>
      </c>
      <c r="F7" s="3">
        <v>21.7</v>
      </c>
      <c r="G7" s="3">
        <v>23.4</v>
      </c>
      <c r="H7" s="3">
        <v>23.3</v>
      </c>
      <c r="I7" s="3">
        <v>22.6</v>
      </c>
      <c r="J7" s="3">
        <v>24.2</v>
      </c>
      <c r="K7" s="3" t="s">
        <v>0</v>
      </c>
      <c r="L7" s="3" t="s">
        <v>0</v>
      </c>
      <c r="M7" s="3" t="s">
        <v>0</v>
      </c>
      <c r="N7" s="3" t="s">
        <v>0</v>
      </c>
      <c r="O7" s="3" t="s">
        <v>0</v>
      </c>
      <c r="P7" s="3" t="s">
        <v>0</v>
      </c>
      <c r="Q7" s="3" t="s">
        <v>0</v>
      </c>
      <c r="R7" s="3" t="s">
        <v>0</v>
      </c>
      <c r="U7" s="53"/>
      <c r="V7" s="5">
        <f>F7-21.7</f>
        <v>0</v>
      </c>
      <c r="W7" s="5">
        <f t="shared" ref="W7:Z7" si="3">G7-21.7</f>
        <v>1.6999999999999993</v>
      </c>
      <c r="X7" s="5">
        <f t="shared" si="3"/>
        <v>1.6000000000000014</v>
      </c>
      <c r="Y7" s="5">
        <f t="shared" si="3"/>
        <v>0.90000000000000213</v>
      </c>
      <c r="Z7" s="5">
        <f t="shared" si="3"/>
        <v>2.5</v>
      </c>
      <c r="AA7" s="5" t="s">
        <v>0</v>
      </c>
      <c r="AB7" s="5" t="s">
        <v>0</v>
      </c>
      <c r="AC7" s="5" t="s">
        <v>0</v>
      </c>
      <c r="AD7" s="5" t="s">
        <v>0</v>
      </c>
      <c r="AE7" s="5" t="s">
        <v>0</v>
      </c>
      <c r="AF7" s="5" t="s">
        <v>0</v>
      </c>
      <c r="AG7" s="5" t="s">
        <v>0</v>
      </c>
      <c r="AH7" s="5" t="s">
        <v>0</v>
      </c>
    </row>
    <row r="8" spans="2:34">
      <c r="B8" s="9">
        <v>269</v>
      </c>
      <c r="C8" s="10" t="s">
        <v>3</v>
      </c>
      <c r="D8" s="3" t="s">
        <v>0</v>
      </c>
      <c r="E8" s="3">
        <v>17.2</v>
      </c>
      <c r="F8" s="3">
        <v>17.399999999999999</v>
      </c>
      <c r="G8" s="3">
        <v>19.3</v>
      </c>
      <c r="H8" s="3">
        <v>20.399999999999999</v>
      </c>
      <c r="I8" s="3">
        <v>21.6</v>
      </c>
      <c r="J8" s="3">
        <v>23.4</v>
      </c>
      <c r="K8" s="3" t="s">
        <v>0</v>
      </c>
      <c r="L8" s="3" t="s">
        <v>0</v>
      </c>
      <c r="M8" s="3" t="s">
        <v>0</v>
      </c>
      <c r="N8" s="3" t="s">
        <v>0</v>
      </c>
      <c r="O8" s="3" t="s">
        <v>0</v>
      </c>
      <c r="P8" s="3" t="s">
        <v>0</v>
      </c>
      <c r="Q8" s="3" t="s">
        <v>0</v>
      </c>
      <c r="R8" s="3" t="s">
        <v>0</v>
      </c>
      <c r="U8" s="53"/>
      <c r="V8" s="5">
        <f>F8-17.4</f>
        <v>0</v>
      </c>
      <c r="W8" s="5">
        <f t="shared" ref="W8:Z8" si="4">G8-17.4</f>
        <v>1.9000000000000021</v>
      </c>
      <c r="X8" s="5">
        <f t="shared" si="4"/>
        <v>3</v>
      </c>
      <c r="Y8" s="5">
        <f t="shared" si="4"/>
        <v>4.2000000000000028</v>
      </c>
      <c r="Z8" s="5">
        <f t="shared" si="4"/>
        <v>6</v>
      </c>
      <c r="AA8" s="5" t="s">
        <v>0</v>
      </c>
      <c r="AB8" s="5" t="s">
        <v>0</v>
      </c>
      <c r="AC8" s="5" t="s">
        <v>0</v>
      </c>
      <c r="AD8" s="5" t="s">
        <v>0</v>
      </c>
      <c r="AE8" s="5" t="s">
        <v>0</v>
      </c>
      <c r="AF8" s="5" t="s">
        <v>0</v>
      </c>
      <c r="AG8" s="5" t="s">
        <v>0</v>
      </c>
      <c r="AH8" s="5" t="s">
        <v>0</v>
      </c>
    </row>
    <row r="9" spans="2:34">
      <c r="B9" s="9">
        <v>271</v>
      </c>
      <c r="C9" s="10" t="s">
        <v>3</v>
      </c>
      <c r="D9" s="3" t="s">
        <v>0</v>
      </c>
      <c r="E9" s="3">
        <v>18.3</v>
      </c>
      <c r="F9" s="3">
        <v>20.2</v>
      </c>
      <c r="G9" s="3">
        <v>21.2</v>
      </c>
      <c r="H9" s="3">
        <v>22.5</v>
      </c>
      <c r="I9" s="3">
        <v>22.6</v>
      </c>
      <c r="J9" s="3">
        <v>23.7</v>
      </c>
      <c r="K9" s="3" t="s">
        <v>0</v>
      </c>
      <c r="L9" s="3" t="s">
        <v>0</v>
      </c>
      <c r="M9" s="3" t="s">
        <v>0</v>
      </c>
      <c r="N9" s="3" t="s">
        <v>0</v>
      </c>
      <c r="O9" s="3" t="s">
        <v>0</v>
      </c>
      <c r="P9" s="3" t="s">
        <v>0</v>
      </c>
      <c r="Q9" s="3" t="s">
        <v>0</v>
      </c>
      <c r="R9" s="3" t="s">
        <v>0</v>
      </c>
      <c r="U9" s="53"/>
      <c r="V9" s="5">
        <f>F9-20.2</f>
        <v>0</v>
      </c>
      <c r="W9" s="5">
        <f t="shared" ref="W9:Z9" si="5">G9-20.2</f>
        <v>1</v>
      </c>
      <c r="X9" s="5">
        <f t="shared" si="5"/>
        <v>2.3000000000000007</v>
      </c>
      <c r="Y9" s="5">
        <f t="shared" si="5"/>
        <v>2.4000000000000021</v>
      </c>
      <c r="Z9" s="5">
        <f t="shared" si="5"/>
        <v>3.5</v>
      </c>
      <c r="AA9" s="5" t="s">
        <v>0</v>
      </c>
      <c r="AB9" s="5" t="s">
        <v>0</v>
      </c>
      <c r="AC9" s="5" t="s">
        <v>0</v>
      </c>
      <c r="AD9" s="5" t="s">
        <v>0</v>
      </c>
      <c r="AE9" s="5" t="s">
        <v>0</v>
      </c>
      <c r="AF9" s="5" t="s">
        <v>0</v>
      </c>
      <c r="AG9" s="5" t="s">
        <v>0</v>
      </c>
      <c r="AH9" s="5" t="s">
        <v>0</v>
      </c>
    </row>
    <row r="10" spans="2:34">
      <c r="B10" s="9">
        <v>305</v>
      </c>
      <c r="C10" s="10" t="s">
        <v>3</v>
      </c>
      <c r="D10" s="3">
        <v>18.899999999999999</v>
      </c>
      <c r="E10" s="3">
        <v>22.1</v>
      </c>
      <c r="F10" s="3">
        <v>24.8</v>
      </c>
      <c r="G10" s="3">
        <v>27.2</v>
      </c>
      <c r="H10" s="3">
        <v>28.9</v>
      </c>
      <c r="I10" s="3">
        <v>30.2</v>
      </c>
      <c r="J10" s="3" t="s">
        <v>0</v>
      </c>
      <c r="K10" s="3" t="s">
        <v>0</v>
      </c>
      <c r="L10" s="3" t="s">
        <v>0</v>
      </c>
      <c r="M10" s="3" t="s">
        <v>0</v>
      </c>
      <c r="N10" s="3" t="s">
        <v>0</v>
      </c>
      <c r="O10" s="3" t="s">
        <v>0</v>
      </c>
      <c r="P10" s="3" t="s">
        <v>0</v>
      </c>
      <c r="Q10" s="3" t="s">
        <v>0</v>
      </c>
      <c r="R10" s="3" t="s">
        <v>0</v>
      </c>
      <c r="U10" s="53"/>
      <c r="V10" s="5">
        <f>F10-24.8</f>
        <v>0</v>
      </c>
      <c r="W10" s="5">
        <f t="shared" ref="W10:Y10" si="6">G10-24.8</f>
        <v>2.3999999999999986</v>
      </c>
      <c r="X10" s="5">
        <f t="shared" si="6"/>
        <v>4.0999999999999979</v>
      </c>
      <c r="Y10" s="5">
        <f t="shared" si="6"/>
        <v>5.3999999999999986</v>
      </c>
      <c r="Z10" s="5" t="s">
        <v>0</v>
      </c>
      <c r="AA10" s="5" t="s">
        <v>0</v>
      </c>
      <c r="AB10" s="5" t="s">
        <v>0</v>
      </c>
      <c r="AC10" s="5" t="s">
        <v>0</v>
      </c>
      <c r="AD10" s="5" t="s">
        <v>0</v>
      </c>
      <c r="AE10" s="5" t="s">
        <v>0</v>
      </c>
      <c r="AF10" s="5" t="s">
        <v>0</v>
      </c>
      <c r="AG10" s="5" t="s">
        <v>0</v>
      </c>
      <c r="AH10" s="5" t="s">
        <v>0</v>
      </c>
    </row>
    <row r="11" spans="2:34">
      <c r="B11" s="9">
        <v>306</v>
      </c>
      <c r="C11" s="10" t="s">
        <v>3</v>
      </c>
      <c r="D11" s="3">
        <v>18.2</v>
      </c>
      <c r="E11" s="3">
        <v>21.2</v>
      </c>
      <c r="F11" s="3">
        <v>23.9</v>
      </c>
      <c r="G11" s="3">
        <v>25.5</v>
      </c>
      <c r="H11" s="3">
        <v>27.1</v>
      </c>
      <c r="I11" s="3">
        <v>27.7</v>
      </c>
      <c r="J11" s="3" t="s">
        <v>0</v>
      </c>
      <c r="K11" s="3" t="s">
        <v>0</v>
      </c>
      <c r="L11" s="3" t="s">
        <v>0</v>
      </c>
      <c r="M11" s="3" t="s">
        <v>0</v>
      </c>
      <c r="N11" s="3" t="s">
        <v>0</v>
      </c>
      <c r="O11" s="3" t="s">
        <v>0</v>
      </c>
      <c r="P11" s="3" t="s">
        <v>0</v>
      </c>
      <c r="Q11" s="3" t="s">
        <v>0</v>
      </c>
      <c r="R11" s="3" t="s">
        <v>0</v>
      </c>
      <c r="U11" s="53"/>
      <c r="V11" s="5">
        <f>F11-23.9</f>
        <v>0</v>
      </c>
      <c r="W11" s="5">
        <f t="shared" ref="W11:Y11" si="7">G11-23.9</f>
        <v>1.6000000000000014</v>
      </c>
      <c r="X11" s="5">
        <f t="shared" si="7"/>
        <v>3.2000000000000028</v>
      </c>
      <c r="Y11" s="5">
        <f t="shared" si="7"/>
        <v>3.8000000000000007</v>
      </c>
      <c r="Z11" s="5" t="s">
        <v>0</v>
      </c>
      <c r="AA11" s="5" t="s">
        <v>0</v>
      </c>
      <c r="AB11" s="5" t="s">
        <v>0</v>
      </c>
      <c r="AC11" s="5" t="s">
        <v>0</v>
      </c>
      <c r="AD11" s="5" t="s">
        <v>0</v>
      </c>
      <c r="AE11" s="5" t="s">
        <v>0</v>
      </c>
      <c r="AF11" s="5" t="s">
        <v>0</v>
      </c>
      <c r="AG11" s="5" t="s">
        <v>0</v>
      </c>
      <c r="AH11" s="5" t="s">
        <v>0</v>
      </c>
    </row>
    <row r="12" spans="2:34">
      <c r="B12" s="9">
        <v>289</v>
      </c>
      <c r="C12" s="10" t="s">
        <v>3</v>
      </c>
      <c r="D12" s="3" t="s">
        <v>0</v>
      </c>
      <c r="E12" s="3">
        <v>14.9</v>
      </c>
      <c r="F12" s="3">
        <v>17.600000000000001</v>
      </c>
      <c r="G12" s="3">
        <v>19.2</v>
      </c>
      <c r="H12" s="3">
        <v>20.6</v>
      </c>
      <c r="I12" s="3">
        <v>21.7</v>
      </c>
      <c r="J12" s="3">
        <v>22.5</v>
      </c>
      <c r="K12" s="3" t="s">
        <v>0</v>
      </c>
      <c r="L12" s="3" t="s">
        <v>0</v>
      </c>
      <c r="M12" s="3" t="s">
        <v>0</v>
      </c>
      <c r="N12" s="3" t="s">
        <v>0</v>
      </c>
      <c r="O12" s="3" t="s">
        <v>0</v>
      </c>
      <c r="P12" s="3" t="s">
        <v>0</v>
      </c>
      <c r="Q12" s="3" t="s">
        <v>0</v>
      </c>
      <c r="R12" s="3" t="s">
        <v>0</v>
      </c>
      <c r="U12" s="53"/>
      <c r="V12" s="5">
        <f>F12-17.6</f>
        <v>0</v>
      </c>
      <c r="W12" s="5">
        <f t="shared" ref="W12:Z12" si="8">G12-17.6</f>
        <v>1.5999999999999979</v>
      </c>
      <c r="X12" s="5">
        <f t="shared" si="8"/>
        <v>3</v>
      </c>
      <c r="Y12" s="5">
        <f t="shared" si="8"/>
        <v>4.0999999999999979</v>
      </c>
      <c r="Z12" s="5">
        <f t="shared" si="8"/>
        <v>4.8999999999999986</v>
      </c>
      <c r="AA12" s="5" t="s">
        <v>0</v>
      </c>
      <c r="AB12" s="5" t="s">
        <v>0</v>
      </c>
      <c r="AC12" s="5" t="s">
        <v>0</v>
      </c>
      <c r="AD12" s="5" t="s">
        <v>0</v>
      </c>
      <c r="AE12" s="5" t="s">
        <v>0</v>
      </c>
      <c r="AF12" s="5" t="s">
        <v>0</v>
      </c>
      <c r="AG12" s="5" t="s">
        <v>0</v>
      </c>
      <c r="AH12" s="5" t="s">
        <v>0</v>
      </c>
    </row>
    <row r="13" spans="2:34">
      <c r="B13" s="9">
        <v>290</v>
      </c>
      <c r="C13" s="10" t="s">
        <v>3</v>
      </c>
      <c r="D13" s="3" t="s">
        <v>0</v>
      </c>
      <c r="E13" s="3">
        <v>15.4</v>
      </c>
      <c r="F13" s="3">
        <v>17.899999999999999</v>
      </c>
      <c r="G13" s="3">
        <v>19</v>
      </c>
      <c r="H13" s="3">
        <v>20.2</v>
      </c>
      <c r="I13" s="3">
        <v>20.8</v>
      </c>
      <c r="J13" s="3">
        <v>21.9</v>
      </c>
      <c r="K13" s="3" t="s">
        <v>0</v>
      </c>
      <c r="L13" s="3" t="s">
        <v>0</v>
      </c>
      <c r="M13" s="3" t="s">
        <v>0</v>
      </c>
      <c r="N13" s="3" t="s">
        <v>0</v>
      </c>
      <c r="O13" s="3" t="s">
        <v>0</v>
      </c>
      <c r="P13" s="3" t="s">
        <v>0</v>
      </c>
      <c r="Q13" s="3" t="s">
        <v>0</v>
      </c>
      <c r="R13" s="3" t="s">
        <v>0</v>
      </c>
      <c r="U13" s="53"/>
      <c r="V13" s="5">
        <f>F13-17.9</f>
        <v>0</v>
      </c>
      <c r="W13" s="5">
        <f t="shared" ref="W13:Z13" si="9">G13-17.9</f>
        <v>1.1000000000000014</v>
      </c>
      <c r="X13" s="5">
        <f t="shared" si="9"/>
        <v>2.3000000000000007</v>
      </c>
      <c r="Y13" s="5">
        <f t="shared" si="9"/>
        <v>2.9000000000000021</v>
      </c>
      <c r="Z13" s="5">
        <f t="shared" si="9"/>
        <v>4</v>
      </c>
      <c r="AA13" s="5" t="s">
        <v>0</v>
      </c>
      <c r="AB13" s="5" t="s">
        <v>0</v>
      </c>
      <c r="AC13" s="5" t="s">
        <v>0</v>
      </c>
      <c r="AD13" s="5" t="s">
        <v>0</v>
      </c>
      <c r="AE13" s="5" t="s">
        <v>0</v>
      </c>
      <c r="AF13" s="5" t="s">
        <v>0</v>
      </c>
      <c r="AG13" s="5" t="s">
        <v>0</v>
      </c>
      <c r="AH13" s="5" t="s">
        <v>0</v>
      </c>
    </row>
    <row r="14" spans="2:34">
      <c r="B14" s="9">
        <v>293</v>
      </c>
      <c r="C14" s="10" t="s">
        <v>3</v>
      </c>
      <c r="D14" s="3" t="s">
        <v>0</v>
      </c>
      <c r="E14" s="3">
        <v>14.7</v>
      </c>
      <c r="F14" s="3">
        <v>17.399999999999999</v>
      </c>
      <c r="G14" s="3">
        <v>18.100000000000001</v>
      </c>
      <c r="H14" s="3">
        <v>19.5</v>
      </c>
      <c r="I14" s="3">
        <v>20.8</v>
      </c>
      <c r="J14" s="3">
        <v>22.1</v>
      </c>
      <c r="K14" s="3" t="s">
        <v>0</v>
      </c>
      <c r="L14" s="3" t="s">
        <v>0</v>
      </c>
      <c r="M14" s="3" t="s">
        <v>0</v>
      </c>
      <c r="N14" s="3" t="s">
        <v>0</v>
      </c>
      <c r="O14" s="3" t="s">
        <v>0</v>
      </c>
      <c r="P14" s="3" t="s">
        <v>0</v>
      </c>
      <c r="Q14" s="3" t="s">
        <v>0</v>
      </c>
      <c r="R14" s="3" t="s">
        <v>0</v>
      </c>
      <c r="U14" s="53"/>
      <c r="V14" s="5">
        <f>F14-17.4</f>
        <v>0</v>
      </c>
      <c r="W14" s="5">
        <f t="shared" ref="W14:Z14" si="10">G14-17.4</f>
        <v>0.70000000000000284</v>
      </c>
      <c r="X14" s="5">
        <f t="shared" si="10"/>
        <v>2.1000000000000014</v>
      </c>
      <c r="Y14" s="5">
        <f t="shared" si="10"/>
        <v>3.4000000000000021</v>
      </c>
      <c r="Z14" s="5">
        <f t="shared" si="10"/>
        <v>4.7000000000000028</v>
      </c>
      <c r="AA14" s="5" t="s">
        <v>0</v>
      </c>
      <c r="AB14" s="5" t="s">
        <v>0</v>
      </c>
      <c r="AC14" s="5" t="s">
        <v>0</v>
      </c>
      <c r="AD14" s="5" t="s">
        <v>0</v>
      </c>
      <c r="AE14" s="5" t="s">
        <v>0</v>
      </c>
      <c r="AF14" s="5" t="s">
        <v>0</v>
      </c>
      <c r="AG14" s="5" t="s">
        <v>0</v>
      </c>
      <c r="AH14" s="5" t="s">
        <v>0</v>
      </c>
    </row>
    <row r="15" spans="2:34">
      <c r="B15" s="9">
        <v>294</v>
      </c>
      <c r="C15" s="10" t="s">
        <v>3</v>
      </c>
      <c r="D15" s="3" t="s">
        <v>0</v>
      </c>
      <c r="E15" s="3">
        <v>15</v>
      </c>
      <c r="F15" s="3">
        <v>17.399999999999999</v>
      </c>
      <c r="G15" s="3">
        <v>18.899999999999999</v>
      </c>
      <c r="H15" s="3">
        <v>20.399999999999999</v>
      </c>
      <c r="I15" s="3">
        <v>21.4</v>
      </c>
      <c r="J15" s="3">
        <v>22.3</v>
      </c>
      <c r="K15" s="3" t="s">
        <v>0</v>
      </c>
      <c r="L15" s="3" t="s">
        <v>0</v>
      </c>
      <c r="M15" s="3" t="s">
        <v>0</v>
      </c>
      <c r="N15" s="3" t="s">
        <v>0</v>
      </c>
      <c r="O15" s="3" t="s">
        <v>0</v>
      </c>
      <c r="P15" s="3" t="s">
        <v>0</v>
      </c>
      <c r="Q15" s="3" t="s">
        <v>0</v>
      </c>
      <c r="R15" s="3" t="s">
        <v>0</v>
      </c>
      <c r="U15" s="53"/>
      <c r="V15" s="5">
        <f>F15-17.4</f>
        <v>0</v>
      </c>
      <c r="W15" s="5">
        <f t="shared" ref="W15:Z15" si="11">G15-17.4</f>
        <v>1.5</v>
      </c>
      <c r="X15" s="5">
        <f t="shared" si="11"/>
        <v>3</v>
      </c>
      <c r="Y15" s="5">
        <f t="shared" si="11"/>
        <v>4</v>
      </c>
      <c r="Z15" s="5">
        <f t="shared" si="11"/>
        <v>4.9000000000000021</v>
      </c>
      <c r="AA15" s="5" t="s">
        <v>0</v>
      </c>
      <c r="AB15" s="5" t="s">
        <v>0</v>
      </c>
      <c r="AC15" s="5" t="s">
        <v>0</v>
      </c>
      <c r="AD15" s="5" t="s">
        <v>0</v>
      </c>
      <c r="AE15" s="5" t="s">
        <v>0</v>
      </c>
      <c r="AF15" s="5" t="s">
        <v>0</v>
      </c>
      <c r="AG15" s="5" t="s">
        <v>0</v>
      </c>
      <c r="AH15" s="5" t="s">
        <v>0</v>
      </c>
    </row>
    <row r="16" spans="2:34">
      <c r="B16" s="9">
        <v>296</v>
      </c>
      <c r="C16" s="10" t="s">
        <v>3</v>
      </c>
      <c r="D16" s="3" t="s">
        <v>0</v>
      </c>
      <c r="E16" s="3">
        <v>17.100000000000001</v>
      </c>
      <c r="F16" s="3">
        <v>20.2</v>
      </c>
      <c r="G16" s="3">
        <v>22.3</v>
      </c>
      <c r="H16" s="3">
        <v>23.6</v>
      </c>
      <c r="I16" s="3">
        <v>24.6</v>
      </c>
      <c r="J16" s="3">
        <v>25.8</v>
      </c>
      <c r="K16" s="3" t="s">
        <v>0</v>
      </c>
      <c r="L16" s="3" t="s">
        <v>0</v>
      </c>
      <c r="M16" s="3" t="s">
        <v>0</v>
      </c>
      <c r="N16" s="3" t="s">
        <v>0</v>
      </c>
      <c r="O16" s="3" t="s">
        <v>0</v>
      </c>
      <c r="P16" s="3" t="s">
        <v>0</v>
      </c>
      <c r="Q16" s="3" t="s">
        <v>0</v>
      </c>
      <c r="R16" s="3" t="s">
        <v>0</v>
      </c>
      <c r="U16" s="53"/>
      <c r="V16" s="5">
        <f>F16-20.2</f>
        <v>0</v>
      </c>
      <c r="W16" s="5">
        <f>G16-20.2</f>
        <v>2.1000000000000014</v>
      </c>
      <c r="X16" s="5">
        <f>H16-20.2</f>
        <v>3.4000000000000021</v>
      </c>
      <c r="Y16" s="5">
        <f>I16-20.2</f>
        <v>4.4000000000000021</v>
      </c>
      <c r="Z16" s="5">
        <f>J16-20.2</f>
        <v>5.6000000000000014</v>
      </c>
      <c r="AA16" s="5" t="s">
        <v>0</v>
      </c>
      <c r="AB16" s="5" t="s">
        <v>0</v>
      </c>
      <c r="AC16" s="5" t="s">
        <v>0</v>
      </c>
      <c r="AD16" s="5" t="s">
        <v>0</v>
      </c>
      <c r="AE16" s="5" t="s">
        <v>0</v>
      </c>
      <c r="AF16" s="5" t="s">
        <v>0</v>
      </c>
      <c r="AG16" s="5" t="s">
        <v>0</v>
      </c>
      <c r="AH16" s="5" t="s">
        <v>0</v>
      </c>
    </row>
    <row r="17" spans="2:36">
      <c r="B17" s="9">
        <v>297</v>
      </c>
      <c r="C17" s="10" t="s">
        <v>3</v>
      </c>
      <c r="D17" s="3" t="s">
        <v>0</v>
      </c>
      <c r="E17" s="3">
        <v>18</v>
      </c>
      <c r="F17" s="3">
        <v>20.6</v>
      </c>
      <c r="G17" s="3">
        <v>22.1</v>
      </c>
      <c r="H17" s="3">
        <v>23.8</v>
      </c>
      <c r="I17" s="3">
        <v>24.4</v>
      </c>
      <c r="J17" s="3">
        <v>25.7</v>
      </c>
      <c r="K17" s="3" t="s">
        <v>0</v>
      </c>
      <c r="L17" s="3" t="s">
        <v>0</v>
      </c>
      <c r="M17" s="3" t="s">
        <v>0</v>
      </c>
      <c r="N17" s="3" t="s">
        <v>0</v>
      </c>
      <c r="O17" s="3" t="s">
        <v>0</v>
      </c>
      <c r="P17" s="3" t="s">
        <v>0</v>
      </c>
      <c r="Q17" s="3" t="s">
        <v>0</v>
      </c>
      <c r="R17" s="3" t="s">
        <v>0</v>
      </c>
      <c r="U17" s="53"/>
      <c r="V17" s="5">
        <f>F17-20.6</f>
        <v>0</v>
      </c>
      <c r="W17" s="5">
        <f>G17-20.6</f>
        <v>1.5</v>
      </c>
      <c r="X17" s="5">
        <f>H17-20.6</f>
        <v>3.1999999999999993</v>
      </c>
      <c r="Y17" s="5">
        <f>I17-20.6</f>
        <v>3.7999999999999972</v>
      </c>
      <c r="Z17" s="5">
        <f>J17-20.6</f>
        <v>5.0999999999999979</v>
      </c>
      <c r="AA17" s="5" t="s">
        <v>0</v>
      </c>
      <c r="AB17" s="5" t="s">
        <v>0</v>
      </c>
      <c r="AC17" s="5" t="s">
        <v>0</v>
      </c>
      <c r="AD17" s="5" t="s">
        <v>0</v>
      </c>
      <c r="AE17" s="5" t="s">
        <v>0</v>
      </c>
      <c r="AF17" s="5" t="s">
        <v>0</v>
      </c>
      <c r="AG17" s="5" t="s">
        <v>0</v>
      </c>
      <c r="AH17" s="5" t="s">
        <v>0</v>
      </c>
    </row>
    <row r="18" spans="2:36">
      <c r="B18" s="9">
        <v>493</v>
      </c>
      <c r="C18" s="10" t="s">
        <v>3</v>
      </c>
      <c r="D18" s="3">
        <v>15.5</v>
      </c>
      <c r="E18" s="3">
        <v>18.100000000000001</v>
      </c>
      <c r="F18" s="3">
        <v>19.399999999999999</v>
      </c>
      <c r="G18" s="3">
        <v>20.6</v>
      </c>
      <c r="H18" s="3">
        <v>21</v>
      </c>
      <c r="I18" s="3">
        <v>22.4</v>
      </c>
      <c r="J18" s="3">
        <v>22.6</v>
      </c>
      <c r="K18" s="3">
        <v>23.3</v>
      </c>
      <c r="L18" s="3">
        <v>23.5</v>
      </c>
      <c r="M18" s="3">
        <v>24</v>
      </c>
      <c r="N18" s="3">
        <v>24.4</v>
      </c>
      <c r="O18" s="3">
        <v>24.3</v>
      </c>
      <c r="P18" s="3">
        <v>26</v>
      </c>
      <c r="Q18" s="3">
        <v>26.9</v>
      </c>
      <c r="R18" s="3" t="s">
        <v>0</v>
      </c>
      <c r="U18" s="53"/>
      <c r="V18" s="5">
        <f t="shared" ref="V18:AG18" si="12">F18-19.4</f>
        <v>0</v>
      </c>
      <c r="W18" s="5">
        <f t="shared" si="12"/>
        <v>1.2000000000000028</v>
      </c>
      <c r="X18" s="5">
        <f t="shared" si="12"/>
        <v>1.6000000000000014</v>
      </c>
      <c r="Y18" s="5">
        <f t="shared" si="12"/>
        <v>3</v>
      </c>
      <c r="Z18" s="5">
        <f t="shared" si="12"/>
        <v>3.2000000000000028</v>
      </c>
      <c r="AA18" s="5">
        <f t="shared" si="12"/>
        <v>3.9000000000000021</v>
      </c>
      <c r="AB18" s="5">
        <f t="shared" si="12"/>
        <v>4.1000000000000014</v>
      </c>
      <c r="AC18" s="5">
        <f t="shared" si="12"/>
        <v>4.6000000000000014</v>
      </c>
      <c r="AD18" s="5">
        <f t="shared" si="12"/>
        <v>5</v>
      </c>
      <c r="AE18" s="5">
        <f t="shared" si="12"/>
        <v>4.9000000000000021</v>
      </c>
      <c r="AF18" s="5">
        <f t="shared" si="12"/>
        <v>6.6000000000000014</v>
      </c>
      <c r="AG18" s="5">
        <f t="shared" si="12"/>
        <v>7.5</v>
      </c>
      <c r="AH18" s="5" t="s">
        <v>0</v>
      </c>
    </row>
    <row r="19" spans="2:36">
      <c r="B19" s="9">
        <v>495</v>
      </c>
      <c r="C19" s="10" t="s">
        <v>3</v>
      </c>
      <c r="D19" s="3">
        <v>17.399999999999999</v>
      </c>
      <c r="E19" s="3">
        <v>21.6</v>
      </c>
      <c r="F19" s="3">
        <v>23.3</v>
      </c>
      <c r="G19" s="3">
        <v>24.6</v>
      </c>
      <c r="H19" s="3">
        <v>26</v>
      </c>
      <c r="I19" s="3">
        <v>27.4</v>
      </c>
      <c r="J19" s="3">
        <v>27.8</v>
      </c>
      <c r="K19" s="3">
        <v>28.9</v>
      </c>
      <c r="L19" s="3">
        <v>29.9</v>
      </c>
      <c r="M19" s="3">
        <v>31.1</v>
      </c>
      <c r="N19" s="3">
        <v>33.299999999999997</v>
      </c>
      <c r="O19" s="3">
        <v>33.9</v>
      </c>
      <c r="P19" s="3">
        <v>32</v>
      </c>
      <c r="Q19" s="3">
        <v>31.6</v>
      </c>
      <c r="R19" s="3">
        <v>31.8</v>
      </c>
      <c r="U19" s="53"/>
      <c r="V19" s="5">
        <f t="shared" ref="V19:AH19" si="13">F19-23.3</f>
        <v>0</v>
      </c>
      <c r="W19" s="5">
        <f t="shared" si="13"/>
        <v>1.3000000000000007</v>
      </c>
      <c r="X19" s="5">
        <f t="shared" si="13"/>
        <v>2.6999999999999993</v>
      </c>
      <c r="Y19" s="5">
        <f t="shared" si="13"/>
        <v>4.0999999999999979</v>
      </c>
      <c r="Z19" s="5">
        <f t="shared" si="13"/>
        <v>4.5</v>
      </c>
      <c r="AA19" s="5">
        <f t="shared" si="13"/>
        <v>5.5999999999999979</v>
      </c>
      <c r="AB19" s="5">
        <f t="shared" si="13"/>
        <v>6.5999999999999979</v>
      </c>
      <c r="AC19" s="5">
        <f t="shared" si="13"/>
        <v>7.8000000000000007</v>
      </c>
      <c r="AD19" s="5">
        <f t="shared" si="13"/>
        <v>9.9999999999999964</v>
      </c>
      <c r="AE19" s="5">
        <f t="shared" si="13"/>
        <v>10.599999999999998</v>
      </c>
      <c r="AF19" s="5">
        <f t="shared" si="13"/>
        <v>8.6999999999999993</v>
      </c>
      <c r="AG19" s="5">
        <f t="shared" si="13"/>
        <v>8.3000000000000007</v>
      </c>
      <c r="AH19" s="5">
        <f t="shared" si="13"/>
        <v>8.5</v>
      </c>
    </row>
    <row r="20" spans="2:36">
      <c r="B20" s="9">
        <v>496</v>
      </c>
      <c r="C20" s="10" t="s">
        <v>3</v>
      </c>
      <c r="D20" s="3">
        <v>15.1</v>
      </c>
      <c r="E20" s="3">
        <v>18.399999999999999</v>
      </c>
      <c r="F20" s="3">
        <v>19.399999999999999</v>
      </c>
      <c r="G20" s="3">
        <v>20</v>
      </c>
      <c r="H20" s="3">
        <v>20.6</v>
      </c>
      <c r="I20" s="3">
        <v>21.9</v>
      </c>
      <c r="J20" s="3">
        <v>22.1</v>
      </c>
      <c r="K20" s="3">
        <v>22.8</v>
      </c>
      <c r="L20" s="3">
        <v>23.6</v>
      </c>
      <c r="M20" s="3">
        <v>24.2</v>
      </c>
      <c r="N20" s="3">
        <v>24.9</v>
      </c>
      <c r="O20" s="3">
        <v>24.9</v>
      </c>
      <c r="P20" s="3">
        <v>25.1</v>
      </c>
      <c r="Q20" s="3">
        <v>25.7</v>
      </c>
      <c r="R20" s="3">
        <v>25.9</v>
      </c>
      <c r="U20" s="53"/>
      <c r="V20" s="5">
        <f t="shared" ref="V20:AH20" si="14">F20-19.4</f>
        <v>0</v>
      </c>
      <c r="W20" s="5">
        <f t="shared" si="14"/>
        <v>0.60000000000000142</v>
      </c>
      <c r="X20" s="5">
        <f t="shared" si="14"/>
        <v>1.2000000000000028</v>
      </c>
      <c r="Y20" s="5">
        <f t="shared" si="14"/>
        <v>2.5</v>
      </c>
      <c r="Z20" s="5">
        <f t="shared" si="14"/>
        <v>2.7000000000000028</v>
      </c>
      <c r="AA20" s="5">
        <f t="shared" si="14"/>
        <v>3.4000000000000021</v>
      </c>
      <c r="AB20" s="5">
        <f t="shared" si="14"/>
        <v>4.2000000000000028</v>
      </c>
      <c r="AC20" s="5">
        <f t="shared" si="14"/>
        <v>4.8000000000000007</v>
      </c>
      <c r="AD20" s="5">
        <f t="shared" si="14"/>
        <v>5.5</v>
      </c>
      <c r="AE20" s="5">
        <f t="shared" si="14"/>
        <v>5.5</v>
      </c>
      <c r="AF20" s="5">
        <f t="shared" si="14"/>
        <v>5.7000000000000028</v>
      </c>
      <c r="AG20" s="5">
        <f t="shared" si="14"/>
        <v>6.3000000000000007</v>
      </c>
      <c r="AH20" s="5">
        <f t="shared" si="14"/>
        <v>6.5</v>
      </c>
    </row>
    <row r="21" spans="2:36">
      <c r="B21" s="9">
        <v>498</v>
      </c>
      <c r="C21" s="10" t="s">
        <v>3</v>
      </c>
      <c r="D21" s="3">
        <v>16.399999999999999</v>
      </c>
      <c r="E21" s="3">
        <v>19.100000000000001</v>
      </c>
      <c r="F21" s="3">
        <v>20.399999999999999</v>
      </c>
      <c r="G21" s="3">
        <v>21.5</v>
      </c>
      <c r="H21" s="3">
        <v>22.7</v>
      </c>
      <c r="I21" s="3">
        <v>23.9</v>
      </c>
      <c r="J21" s="3">
        <v>24</v>
      </c>
      <c r="K21" s="3">
        <v>25</v>
      </c>
      <c r="L21" s="3">
        <v>24.9</v>
      </c>
      <c r="M21" s="3">
        <v>25.3</v>
      </c>
      <c r="N21" s="3">
        <v>26.3</v>
      </c>
      <c r="O21" s="3">
        <v>27.1</v>
      </c>
      <c r="P21" s="3">
        <v>27.8</v>
      </c>
      <c r="Q21" s="3">
        <v>28.2</v>
      </c>
      <c r="R21" s="3">
        <v>27.4</v>
      </c>
      <c r="U21" s="53"/>
      <c r="V21" s="5">
        <f t="shared" ref="V21:AH21" si="15">F21-20.4</f>
        <v>0</v>
      </c>
      <c r="W21" s="5">
        <f t="shared" si="15"/>
        <v>1.1000000000000014</v>
      </c>
      <c r="X21" s="5">
        <f t="shared" si="15"/>
        <v>2.3000000000000007</v>
      </c>
      <c r="Y21" s="5">
        <f t="shared" si="15"/>
        <v>3.5</v>
      </c>
      <c r="Z21" s="5">
        <f t="shared" si="15"/>
        <v>3.6000000000000014</v>
      </c>
      <c r="AA21" s="5">
        <f t="shared" si="15"/>
        <v>4.6000000000000014</v>
      </c>
      <c r="AB21" s="5">
        <f t="shared" si="15"/>
        <v>4.5</v>
      </c>
      <c r="AC21" s="5">
        <f t="shared" si="15"/>
        <v>4.9000000000000021</v>
      </c>
      <c r="AD21" s="5">
        <f t="shared" si="15"/>
        <v>5.9000000000000021</v>
      </c>
      <c r="AE21" s="5">
        <f t="shared" si="15"/>
        <v>6.7000000000000028</v>
      </c>
      <c r="AF21" s="5">
        <f t="shared" si="15"/>
        <v>7.4000000000000021</v>
      </c>
      <c r="AG21" s="5">
        <f t="shared" si="15"/>
        <v>7.8000000000000007</v>
      </c>
      <c r="AH21" s="5">
        <f t="shared" si="15"/>
        <v>7</v>
      </c>
    </row>
    <row r="22" spans="2:36">
      <c r="B22" s="9">
        <v>505</v>
      </c>
      <c r="C22" s="10" t="s">
        <v>3</v>
      </c>
      <c r="D22" s="3">
        <v>17</v>
      </c>
      <c r="E22" s="3">
        <v>19.899999999999999</v>
      </c>
      <c r="F22" s="3">
        <v>21.4</v>
      </c>
      <c r="G22" s="3">
        <v>22.3</v>
      </c>
      <c r="H22" s="3">
        <v>23.7</v>
      </c>
      <c r="I22" s="3">
        <v>24.7</v>
      </c>
      <c r="J22" s="3">
        <v>25.4</v>
      </c>
      <c r="K22" s="3">
        <v>25.8</v>
      </c>
      <c r="L22" s="3">
        <v>26.2</v>
      </c>
      <c r="M22" s="3">
        <v>26.1</v>
      </c>
      <c r="N22" s="3">
        <v>26.5</v>
      </c>
      <c r="O22" s="3">
        <v>27</v>
      </c>
      <c r="P22" s="3">
        <v>28.7</v>
      </c>
      <c r="Q22" s="3">
        <v>32.1</v>
      </c>
      <c r="R22" s="3">
        <v>29.2</v>
      </c>
      <c r="U22" s="53"/>
      <c r="V22" s="5">
        <f t="shared" ref="V22:AH22" si="16">F22-21.4</f>
        <v>0</v>
      </c>
      <c r="W22" s="5">
        <f t="shared" si="16"/>
        <v>0.90000000000000213</v>
      </c>
      <c r="X22" s="5">
        <f t="shared" si="16"/>
        <v>2.3000000000000007</v>
      </c>
      <c r="Y22" s="5">
        <f t="shared" si="16"/>
        <v>3.3000000000000007</v>
      </c>
      <c r="Z22" s="5">
        <f t="shared" si="16"/>
        <v>4</v>
      </c>
      <c r="AA22" s="5">
        <f t="shared" si="16"/>
        <v>4.4000000000000021</v>
      </c>
      <c r="AB22" s="5">
        <f t="shared" si="16"/>
        <v>4.8000000000000007</v>
      </c>
      <c r="AC22" s="5">
        <f t="shared" si="16"/>
        <v>4.7000000000000028</v>
      </c>
      <c r="AD22" s="5">
        <f t="shared" si="16"/>
        <v>5.1000000000000014</v>
      </c>
      <c r="AE22" s="5">
        <f t="shared" si="16"/>
        <v>5.6000000000000014</v>
      </c>
      <c r="AF22" s="5">
        <f t="shared" si="16"/>
        <v>7.3000000000000007</v>
      </c>
      <c r="AG22" s="5">
        <f t="shared" si="16"/>
        <v>10.700000000000003</v>
      </c>
      <c r="AH22" s="5">
        <f t="shared" si="16"/>
        <v>7.8000000000000007</v>
      </c>
    </row>
    <row r="23" spans="2:36">
      <c r="B23" s="9">
        <v>511</v>
      </c>
      <c r="C23" s="10" t="s">
        <v>3</v>
      </c>
      <c r="D23" s="3">
        <v>16.7</v>
      </c>
      <c r="E23" s="3">
        <v>21.8</v>
      </c>
      <c r="F23" s="3">
        <v>23.8</v>
      </c>
      <c r="G23" s="3">
        <v>25.1</v>
      </c>
      <c r="H23" s="3">
        <v>25.5</v>
      </c>
      <c r="I23" s="3">
        <v>27.7</v>
      </c>
      <c r="J23" s="3">
        <v>28.2</v>
      </c>
      <c r="K23" s="3">
        <v>28.8</v>
      </c>
      <c r="L23" s="3">
        <v>29.7</v>
      </c>
      <c r="M23" s="3">
        <v>29.4</v>
      </c>
      <c r="N23" s="3">
        <v>29.9</v>
      </c>
      <c r="O23" s="3">
        <v>30.5</v>
      </c>
      <c r="P23" s="3">
        <v>30.2</v>
      </c>
      <c r="Q23" s="3">
        <v>31.6</v>
      </c>
      <c r="R23" s="3">
        <v>32.299999999999997</v>
      </c>
      <c r="U23" s="53"/>
      <c r="V23" s="5">
        <f>F23-23.8</f>
        <v>0</v>
      </c>
      <c r="W23" s="5">
        <f t="shared" ref="W23:AH23" si="17">G23-23.8</f>
        <v>1.3000000000000007</v>
      </c>
      <c r="X23" s="5">
        <f t="shared" si="17"/>
        <v>1.6999999999999993</v>
      </c>
      <c r="Y23" s="5">
        <f t="shared" si="17"/>
        <v>3.8999999999999986</v>
      </c>
      <c r="Z23" s="5">
        <f t="shared" si="17"/>
        <v>4.3999999999999986</v>
      </c>
      <c r="AA23" s="5">
        <f t="shared" si="17"/>
        <v>5</v>
      </c>
      <c r="AB23" s="5">
        <f t="shared" si="17"/>
        <v>5.8999999999999986</v>
      </c>
      <c r="AC23" s="5">
        <f t="shared" si="17"/>
        <v>5.5999999999999979</v>
      </c>
      <c r="AD23" s="5">
        <f t="shared" si="17"/>
        <v>6.0999999999999979</v>
      </c>
      <c r="AE23" s="5">
        <f t="shared" si="17"/>
        <v>6.6999999999999993</v>
      </c>
      <c r="AF23" s="5">
        <f t="shared" si="17"/>
        <v>6.3999999999999986</v>
      </c>
      <c r="AG23" s="5">
        <f t="shared" si="17"/>
        <v>7.8000000000000007</v>
      </c>
      <c r="AH23" s="5">
        <f t="shared" si="17"/>
        <v>8.4999999999999964</v>
      </c>
    </row>
    <row r="24" spans="2:36">
      <c r="B24" s="9">
        <v>514</v>
      </c>
      <c r="C24" s="10" t="s">
        <v>3</v>
      </c>
      <c r="D24" s="3">
        <v>16.3</v>
      </c>
      <c r="E24" s="3">
        <v>20.2</v>
      </c>
      <c r="F24" s="3">
        <v>22</v>
      </c>
      <c r="G24" s="3">
        <v>23.5</v>
      </c>
      <c r="H24" s="3">
        <v>24.5</v>
      </c>
      <c r="I24" s="3">
        <v>24.9</v>
      </c>
      <c r="J24" s="3">
        <v>25.7</v>
      </c>
      <c r="K24" s="3">
        <v>26.9</v>
      </c>
      <c r="L24" s="3">
        <v>27</v>
      </c>
      <c r="M24" s="3">
        <v>26.8</v>
      </c>
      <c r="N24" s="3">
        <v>27.1</v>
      </c>
      <c r="O24" s="3">
        <v>27.2</v>
      </c>
      <c r="P24" s="3">
        <v>27.3</v>
      </c>
      <c r="Q24" s="3">
        <v>27.9</v>
      </c>
      <c r="R24" s="3">
        <v>28.4</v>
      </c>
      <c r="U24" s="53"/>
      <c r="V24" s="5">
        <f>F24-22</f>
        <v>0</v>
      </c>
      <c r="W24" s="5">
        <f t="shared" ref="W24:AH24" si="18">G24-22</f>
        <v>1.5</v>
      </c>
      <c r="X24" s="5">
        <f t="shared" si="18"/>
        <v>2.5</v>
      </c>
      <c r="Y24" s="5">
        <f t="shared" si="18"/>
        <v>2.8999999999999986</v>
      </c>
      <c r="Z24" s="5">
        <f t="shared" si="18"/>
        <v>3.6999999999999993</v>
      </c>
      <c r="AA24" s="5">
        <f t="shared" si="18"/>
        <v>4.8999999999999986</v>
      </c>
      <c r="AB24" s="5">
        <f t="shared" si="18"/>
        <v>5</v>
      </c>
      <c r="AC24" s="5">
        <f t="shared" si="18"/>
        <v>4.8000000000000007</v>
      </c>
      <c r="AD24" s="5">
        <f t="shared" si="18"/>
        <v>5.1000000000000014</v>
      </c>
      <c r="AE24" s="5">
        <f t="shared" si="18"/>
        <v>5.1999999999999993</v>
      </c>
      <c r="AF24" s="5">
        <f t="shared" si="18"/>
        <v>5.3000000000000007</v>
      </c>
      <c r="AG24" s="5">
        <f t="shared" si="18"/>
        <v>5.8999999999999986</v>
      </c>
      <c r="AH24" s="5">
        <f t="shared" si="18"/>
        <v>6.3999999999999986</v>
      </c>
    </row>
    <row r="25" spans="2:36">
      <c r="B25" s="9">
        <v>515</v>
      </c>
      <c r="C25" s="10" t="s">
        <v>3</v>
      </c>
      <c r="D25" s="3">
        <v>16.7</v>
      </c>
      <c r="E25" s="3">
        <v>20.6</v>
      </c>
      <c r="F25" s="3">
        <v>22.8</v>
      </c>
      <c r="G25" s="3">
        <v>24.1</v>
      </c>
      <c r="H25" s="3">
        <v>24.9</v>
      </c>
      <c r="I25" s="3">
        <v>26.1</v>
      </c>
      <c r="J25" s="3">
        <v>26</v>
      </c>
      <c r="K25" s="3">
        <v>26.8</v>
      </c>
      <c r="L25" s="3">
        <v>26</v>
      </c>
      <c r="M25" s="3">
        <v>26.7</v>
      </c>
      <c r="N25" s="3">
        <v>26.9</v>
      </c>
      <c r="O25" s="3">
        <v>27.1</v>
      </c>
      <c r="P25" s="3">
        <v>28.5</v>
      </c>
      <c r="Q25" s="3">
        <v>28.5</v>
      </c>
      <c r="R25" s="3">
        <v>28.8</v>
      </c>
      <c r="U25" s="53"/>
      <c r="V25" s="5">
        <f>F25-22.8</f>
        <v>0</v>
      </c>
      <c r="W25" s="5">
        <f t="shared" ref="W25:AH25" si="19">G25-22.8</f>
        <v>1.3000000000000007</v>
      </c>
      <c r="X25" s="5">
        <f t="shared" si="19"/>
        <v>2.0999999999999979</v>
      </c>
      <c r="Y25" s="5">
        <f t="shared" si="19"/>
        <v>3.3000000000000007</v>
      </c>
      <c r="Z25" s="5">
        <f t="shared" si="19"/>
        <v>3.1999999999999993</v>
      </c>
      <c r="AA25" s="5">
        <f t="shared" si="19"/>
        <v>4</v>
      </c>
      <c r="AB25" s="5">
        <f t="shared" si="19"/>
        <v>3.1999999999999993</v>
      </c>
      <c r="AC25" s="5">
        <f t="shared" si="19"/>
        <v>3.8999999999999986</v>
      </c>
      <c r="AD25" s="5">
        <f t="shared" si="19"/>
        <v>4.0999999999999979</v>
      </c>
      <c r="AE25" s="5">
        <f t="shared" si="19"/>
        <v>4.3000000000000007</v>
      </c>
      <c r="AF25" s="5">
        <f t="shared" si="19"/>
        <v>5.6999999999999993</v>
      </c>
      <c r="AG25" s="5">
        <f t="shared" si="19"/>
        <v>5.6999999999999993</v>
      </c>
      <c r="AH25" s="5">
        <f t="shared" si="19"/>
        <v>6</v>
      </c>
    </row>
    <row r="26" spans="2:36">
      <c r="B26" s="9">
        <v>516</v>
      </c>
      <c r="C26" s="10" t="s">
        <v>3</v>
      </c>
      <c r="D26" s="3">
        <v>17.399999999999999</v>
      </c>
      <c r="E26" s="3">
        <v>20.6</v>
      </c>
      <c r="F26" s="3">
        <v>22.2</v>
      </c>
      <c r="G26" s="3">
        <v>22.8</v>
      </c>
      <c r="H26" s="3">
        <v>24.7</v>
      </c>
      <c r="I26" s="3">
        <v>25.7</v>
      </c>
      <c r="J26" s="3">
        <v>26.6</v>
      </c>
      <c r="K26" s="3">
        <v>27.1</v>
      </c>
      <c r="L26" s="3">
        <v>27.2</v>
      </c>
      <c r="M26" s="3">
        <v>26.7</v>
      </c>
      <c r="N26" s="3">
        <v>27.9</v>
      </c>
      <c r="O26" s="3">
        <v>27.9</v>
      </c>
      <c r="P26" s="3">
        <v>28.5</v>
      </c>
      <c r="Q26" s="3">
        <v>28.6</v>
      </c>
      <c r="R26" s="3">
        <v>28.9</v>
      </c>
      <c r="U26" s="54"/>
      <c r="V26" s="5">
        <f>F26-22.2</f>
        <v>0</v>
      </c>
      <c r="W26" s="5">
        <f t="shared" ref="W26:AH26" si="20">G26-22.2</f>
        <v>0.60000000000000142</v>
      </c>
      <c r="X26" s="5">
        <f t="shared" si="20"/>
        <v>2.5</v>
      </c>
      <c r="Y26" s="5">
        <f t="shared" si="20"/>
        <v>3.5</v>
      </c>
      <c r="Z26" s="5">
        <f t="shared" si="20"/>
        <v>4.4000000000000021</v>
      </c>
      <c r="AA26" s="5">
        <f t="shared" si="20"/>
        <v>4.9000000000000021</v>
      </c>
      <c r="AB26" s="5">
        <f t="shared" si="20"/>
        <v>5</v>
      </c>
      <c r="AC26" s="5">
        <f t="shared" si="20"/>
        <v>4.5</v>
      </c>
      <c r="AD26" s="5">
        <f t="shared" si="20"/>
        <v>5.6999999999999993</v>
      </c>
      <c r="AE26" s="5">
        <f t="shared" si="20"/>
        <v>5.6999999999999993</v>
      </c>
      <c r="AF26" s="5">
        <f t="shared" si="20"/>
        <v>6.3000000000000007</v>
      </c>
      <c r="AG26" s="5">
        <f t="shared" si="20"/>
        <v>6.4000000000000021</v>
      </c>
      <c r="AH26" s="5">
        <f t="shared" si="20"/>
        <v>6.6999999999999993</v>
      </c>
    </row>
    <row r="27" spans="2:36">
      <c r="C27" s="11" t="s">
        <v>2</v>
      </c>
      <c r="D27" s="12">
        <f>AVERAGE(D4:D26)</f>
        <v>16.442857142857143</v>
      </c>
      <c r="E27" s="12">
        <f>AVERAGE(E4:E26)</f>
        <v>18.46521739130435</v>
      </c>
      <c r="F27" s="12">
        <f>AVERAGE(F4:F26)</f>
        <v>20.586956521739129</v>
      </c>
      <c r="G27" s="12">
        <f>AVERAGE(G4:G26)</f>
        <v>21.986956521739135</v>
      </c>
      <c r="H27" s="12">
        <f>AVERAGE(H4:H26)</f>
        <v>23.095652173913045</v>
      </c>
      <c r="I27" s="12">
        <f t="shared" ref="I27:Q27" si="21">AVERAGE(I4:I26)</f>
        <v>24.065217391304344</v>
      </c>
      <c r="J27" s="12">
        <f>AVERAGE(J4:J26)</f>
        <v>24.404761904761905</v>
      </c>
      <c r="K27" s="12">
        <f t="shared" si="21"/>
        <v>26.155555555555555</v>
      </c>
      <c r="L27" s="12">
        <f>AVERAGE(L4:L26)</f>
        <v>26.444444444444443</v>
      </c>
      <c r="M27" s="12">
        <f t="shared" si="21"/>
        <v>26.7</v>
      </c>
      <c r="N27" s="12">
        <f t="shared" si="21"/>
        <v>27.466666666666665</v>
      </c>
      <c r="O27" s="12">
        <f t="shared" si="21"/>
        <v>27.766666666666666</v>
      </c>
      <c r="P27" s="12">
        <f t="shared" si="21"/>
        <v>28.233333333333334</v>
      </c>
      <c r="Q27" s="12">
        <f t="shared" si="21"/>
        <v>29.011111111111113</v>
      </c>
      <c r="R27" s="12">
        <f>AVERAGE(R4:R26)</f>
        <v>29.087500000000002</v>
      </c>
      <c r="U27" s="43" t="s">
        <v>2</v>
      </c>
      <c r="V27" s="5">
        <f t="shared" ref="V27:AG27" si="22">AVERAGE(V4:V26)</f>
        <v>0</v>
      </c>
      <c r="W27" s="5">
        <f t="shared" si="22"/>
        <v>1.4000000000000008</v>
      </c>
      <c r="X27" s="5">
        <f t="shared" si="22"/>
        <v>2.508695652173913</v>
      </c>
      <c r="Y27" s="5">
        <f t="shared" si="22"/>
        <v>3.4782608695652182</v>
      </c>
      <c r="Z27" s="5">
        <f t="shared" si="22"/>
        <v>4.1761904761904773</v>
      </c>
      <c r="AA27" s="5">
        <f t="shared" si="22"/>
        <v>4.5222222222222221</v>
      </c>
      <c r="AB27" s="5">
        <f t="shared" si="22"/>
        <v>4.8111111111111109</v>
      </c>
      <c r="AC27" s="5">
        <f t="shared" si="22"/>
        <v>5.0666666666666664</v>
      </c>
      <c r="AD27" s="5">
        <f t="shared" si="22"/>
        <v>5.833333333333333</v>
      </c>
      <c r="AE27" s="5">
        <f t="shared" si="22"/>
        <v>6.1333333333333337</v>
      </c>
      <c r="AF27" s="5">
        <f t="shared" si="22"/>
        <v>6.6000000000000005</v>
      </c>
      <c r="AG27" s="5">
        <f t="shared" si="22"/>
        <v>7.3777777777777782</v>
      </c>
      <c r="AH27" s="5">
        <f>AVERAGE(AH4:AH26)</f>
        <v>7.1749999999999989</v>
      </c>
      <c r="AI27" s="12"/>
      <c r="AJ27" s="12"/>
    </row>
    <row r="28" spans="2:36">
      <c r="C28" s="11" t="s">
        <v>5</v>
      </c>
      <c r="D28" s="12">
        <f>STDEV(D4:D26)/SQRT(COUNT(D4:D26))</f>
        <v>0.35374205007403453</v>
      </c>
      <c r="E28" s="12">
        <f t="shared" ref="E28:R28" si="23">STDEV(E4:E26)/SQRT(COUNT(E4:E26))</f>
        <v>0.48542425499559438</v>
      </c>
      <c r="F28" s="12">
        <f t="shared" si="23"/>
        <v>0.47806859232275223</v>
      </c>
      <c r="G28" s="12">
        <f t="shared" si="23"/>
        <v>0.49910213248316304</v>
      </c>
      <c r="H28" s="12">
        <f t="shared" si="23"/>
        <v>0.50739504691236892</v>
      </c>
      <c r="I28" s="12">
        <f t="shared" si="23"/>
        <v>0.52542505645119675</v>
      </c>
      <c r="J28" s="12">
        <f t="shared" si="23"/>
        <v>0.41435412680897499</v>
      </c>
      <c r="K28" s="12">
        <f t="shared" si="23"/>
        <v>0.71939618027727292</v>
      </c>
      <c r="L28" s="12">
        <f t="shared" si="23"/>
        <v>0.77120236411706677</v>
      </c>
      <c r="M28" s="12">
        <f t="shared" si="23"/>
        <v>0.7684761255599003</v>
      </c>
      <c r="N28" s="12">
        <f t="shared" si="23"/>
        <v>0.90431066441670216</v>
      </c>
      <c r="O28" s="12">
        <f t="shared" si="23"/>
        <v>0.96566039579139817</v>
      </c>
      <c r="P28" s="12">
        <f t="shared" si="23"/>
        <v>0.69000805148281474</v>
      </c>
      <c r="Q28" s="12">
        <f t="shared" si="23"/>
        <v>0.75174693666826731</v>
      </c>
      <c r="R28" s="12">
        <f t="shared" si="23"/>
        <v>0.74748088843222493</v>
      </c>
      <c r="U28" s="44" t="s">
        <v>5</v>
      </c>
      <c r="V28" s="5">
        <f>STDEV(V4:V26)/SQRT(COUNT(V4:V26))</f>
        <v>0</v>
      </c>
      <c r="W28" s="5">
        <f t="shared" ref="W28:AH28" si="24">STDEV(W4:W26)/SQRT(COUNT(W4:W26))</f>
        <v>9.9006926734960948E-2</v>
      </c>
      <c r="X28" s="5">
        <f t="shared" si="24"/>
        <v>0.14404010249101787</v>
      </c>
      <c r="Y28" s="5">
        <f t="shared" si="24"/>
        <v>0.18253339309406302</v>
      </c>
      <c r="Z28" s="5">
        <f t="shared" si="24"/>
        <v>0.19986957198380295</v>
      </c>
      <c r="AA28" s="5">
        <f t="shared" si="24"/>
        <v>0.22408937811220839</v>
      </c>
      <c r="AB28" s="5">
        <f t="shared" si="24"/>
        <v>0.33393464282552854</v>
      </c>
      <c r="AC28" s="5">
        <f t="shared" si="24"/>
        <v>0.37193189340702398</v>
      </c>
      <c r="AD28" s="5">
        <f t="shared" si="24"/>
        <v>0.55702583223561308</v>
      </c>
      <c r="AE28" s="5">
        <f t="shared" si="24"/>
        <v>0.6148622248565575</v>
      </c>
      <c r="AF28" s="5">
        <f t="shared" si="24"/>
        <v>0.35316033500695188</v>
      </c>
      <c r="AG28" s="5">
        <f t="shared" si="24"/>
        <v>0.51875325374556003</v>
      </c>
      <c r="AH28" s="5">
        <f t="shared" si="24"/>
        <v>0.34317321740319073</v>
      </c>
      <c r="AI28" s="12"/>
      <c r="AJ28" s="12"/>
    </row>
    <row r="30" spans="2:36">
      <c r="F30" s="4" t="s">
        <v>1</v>
      </c>
    </row>
    <row r="31" spans="2:36">
      <c r="D31" s="5">
        <v>4</v>
      </c>
      <c r="E31" s="6">
        <v>5</v>
      </c>
      <c r="F31" s="7">
        <v>6</v>
      </c>
      <c r="G31" s="7">
        <v>7</v>
      </c>
      <c r="H31" s="7">
        <v>8</v>
      </c>
      <c r="I31" s="7">
        <v>9</v>
      </c>
      <c r="J31" s="7">
        <v>10</v>
      </c>
      <c r="K31" s="7">
        <v>11</v>
      </c>
      <c r="L31" s="7">
        <v>12</v>
      </c>
      <c r="M31" s="7">
        <v>13</v>
      </c>
      <c r="N31" s="7">
        <v>14</v>
      </c>
      <c r="O31" s="8">
        <v>15</v>
      </c>
      <c r="P31" s="8">
        <v>16</v>
      </c>
      <c r="Q31" s="8">
        <v>17</v>
      </c>
      <c r="R31" s="8">
        <v>18</v>
      </c>
      <c r="V31" s="25">
        <v>6</v>
      </c>
      <c r="W31" s="25">
        <v>7</v>
      </c>
      <c r="X31" s="25">
        <v>8</v>
      </c>
      <c r="Y31" s="25">
        <v>9</v>
      </c>
      <c r="Z31" s="25">
        <v>10</v>
      </c>
      <c r="AA31" s="25">
        <v>11</v>
      </c>
      <c r="AB31" s="25">
        <v>12</v>
      </c>
      <c r="AC31" s="25">
        <v>13</v>
      </c>
      <c r="AD31" s="25">
        <v>14</v>
      </c>
      <c r="AE31" s="25">
        <v>15</v>
      </c>
      <c r="AF31" s="25">
        <v>16</v>
      </c>
      <c r="AG31" s="25">
        <v>17</v>
      </c>
      <c r="AH31" s="25">
        <v>18</v>
      </c>
    </row>
    <row r="32" spans="2:36">
      <c r="B32" s="9">
        <v>90</v>
      </c>
      <c r="C32" s="10" t="s">
        <v>4</v>
      </c>
      <c r="D32" s="3">
        <v>15.8</v>
      </c>
      <c r="E32" s="3">
        <v>19</v>
      </c>
      <c r="F32" s="3">
        <v>20.6</v>
      </c>
      <c r="G32" s="3">
        <v>22.8</v>
      </c>
      <c r="H32" s="3">
        <v>24.5</v>
      </c>
      <c r="I32" s="3">
        <v>25.8</v>
      </c>
      <c r="J32" s="3">
        <v>26</v>
      </c>
      <c r="K32" s="3" t="s">
        <v>0</v>
      </c>
      <c r="L32" s="3" t="s">
        <v>0</v>
      </c>
      <c r="M32" s="3" t="s">
        <v>0</v>
      </c>
      <c r="N32" s="3" t="s">
        <v>0</v>
      </c>
      <c r="O32" s="3" t="s">
        <v>0</v>
      </c>
      <c r="P32" s="3" t="s">
        <v>0</v>
      </c>
      <c r="Q32" s="3" t="s">
        <v>0</v>
      </c>
      <c r="R32" s="3" t="s">
        <v>0</v>
      </c>
      <c r="U32" s="52" t="s">
        <v>125</v>
      </c>
      <c r="V32" s="5">
        <f>F32-20.6</f>
        <v>0</v>
      </c>
      <c r="W32" s="5">
        <f>G32-20.6</f>
        <v>2.1999999999999993</v>
      </c>
      <c r="X32" s="5">
        <f t="shared" ref="X32:Z32" si="25">H32-20.6</f>
        <v>3.8999999999999986</v>
      </c>
      <c r="Y32" s="5">
        <f t="shared" si="25"/>
        <v>5.1999999999999993</v>
      </c>
      <c r="Z32" s="5">
        <f t="shared" si="25"/>
        <v>5.3999999999999986</v>
      </c>
      <c r="AA32" s="5" t="s">
        <v>0</v>
      </c>
      <c r="AB32" s="5" t="s">
        <v>0</v>
      </c>
      <c r="AC32" s="5" t="s">
        <v>0</v>
      </c>
      <c r="AD32" s="5" t="s">
        <v>0</v>
      </c>
      <c r="AE32" s="5" t="s">
        <v>0</v>
      </c>
      <c r="AF32" s="5" t="s">
        <v>0</v>
      </c>
      <c r="AG32" s="5" t="s">
        <v>0</v>
      </c>
      <c r="AH32" s="5" t="s">
        <v>0</v>
      </c>
    </row>
    <row r="33" spans="2:34">
      <c r="B33" s="9">
        <v>93</v>
      </c>
      <c r="C33" s="10" t="s">
        <v>4</v>
      </c>
      <c r="D33" s="3">
        <v>16</v>
      </c>
      <c r="E33" s="3">
        <v>17.399999999999999</v>
      </c>
      <c r="F33" s="3">
        <v>20.7</v>
      </c>
      <c r="G33" s="3">
        <v>21.9</v>
      </c>
      <c r="H33" s="3">
        <v>22.5</v>
      </c>
      <c r="I33" s="3">
        <v>23.8</v>
      </c>
      <c r="J33" s="3">
        <v>25</v>
      </c>
      <c r="K33" s="3" t="s">
        <v>0</v>
      </c>
      <c r="L33" s="3" t="s">
        <v>0</v>
      </c>
      <c r="M33" s="3" t="s">
        <v>0</v>
      </c>
      <c r="N33" s="3" t="s">
        <v>0</v>
      </c>
      <c r="O33" s="3" t="s">
        <v>0</v>
      </c>
      <c r="P33" s="3" t="s">
        <v>0</v>
      </c>
      <c r="Q33" s="3" t="s">
        <v>0</v>
      </c>
      <c r="R33" s="3" t="s">
        <v>0</v>
      </c>
      <c r="U33" s="53"/>
      <c r="V33" s="5">
        <f>F33-20.7</f>
        <v>0</v>
      </c>
      <c r="W33" s="5">
        <f>G33-20.7</f>
        <v>1.1999999999999993</v>
      </c>
      <c r="X33" s="5">
        <f t="shared" ref="X33:Z33" si="26">H33-20.7</f>
        <v>1.8000000000000007</v>
      </c>
      <c r="Y33" s="5">
        <f t="shared" si="26"/>
        <v>3.1000000000000014</v>
      </c>
      <c r="Z33" s="5">
        <f t="shared" si="26"/>
        <v>4.3000000000000007</v>
      </c>
      <c r="AA33" s="5" t="s">
        <v>0</v>
      </c>
      <c r="AB33" s="5" t="s">
        <v>0</v>
      </c>
      <c r="AC33" s="5" t="s">
        <v>0</v>
      </c>
      <c r="AD33" s="5" t="s">
        <v>0</v>
      </c>
      <c r="AE33" s="5" t="s">
        <v>0</v>
      </c>
      <c r="AF33" s="5" t="s">
        <v>0</v>
      </c>
      <c r="AG33" s="5" t="s">
        <v>0</v>
      </c>
      <c r="AH33" s="5" t="s">
        <v>0</v>
      </c>
    </row>
    <row r="34" spans="2:34">
      <c r="B34" s="9">
        <v>101</v>
      </c>
      <c r="C34" s="10" t="s">
        <v>4</v>
      </c>
      <c r="D34" s="3" t="s">
        <v>0</v>
      </c>
      <c r="E34" s="3">
        <v>19.399999999999999</v>
      </c>
      <c r="F34" s="3">
        <v>21.4</v>
      </c>
      <c r="G34" s="3">
        <v>22.6</v>
      </c>
      <c r="H34" s="3">
        <v>23.4</v>
      </c>
      <c r="I34" s="3">
        <v>21.9</v>
      </c>
      <c r="J34" s="3">
        <v>24.7</v>
      </c>
      <c r="K34" s="3" t="s">
        <v>0</v>
      </c>
      <c r="L34" s="3" t="s">
        <v>0</v>
      </c>
      <c r="M34" s="3" t="s">
        <v>0</v>
      </c>
      <c r="N34" s="3" t="s">
        <v>0</v>
      </c>
      <c r="O34" s="3" t="s">
        <v>0</v>
      </c>
      <c r="P34" s="3" t="s">
        <v>0</v>
      </c>
      <c r="Q34" s="3" t="s">
        <v>0</v>
      </c>
      <c r="R34" s="3" t="s">
        <v>0</v>
      </c>
      <c r="U34" s="53"/>
      <c r="V34" s="5">
        <f>F34-21.4</f>
        <v>0</v>
      </c>
      <c r="W34" s="5">
        <f>G34-21.4</f>
        <v>1.2000000000000028</v>
      </c>
      <c r="X34" s="5">
        <f t="shared" ref="X34:Z34" si="27">H34-21.4</f>
        <v>2</v>
      </c>
      <c r="Y34" s="5">
        <f t="shared" si="27"/>
        <v>0.5</v>
      </c>
      <c r="Z34" s="5">
        <f t="shared" si="27"/>
        <v>3.3000000000000007</v>
      </c>
      <c r="AA34" s="5" t="s">
        <v>0</v>
      </c>
      <c r="AB34" s="5" t="s">
        <v>0</v>
      </c>
      <c r="AC34" s="5" t="s">
        <v>0</v>
      </c>
      <c r="AD34" s="5" t="s">
        <v>0</v>
      </c>
      <c r="AE34" s="5" t="s">
        <v>0</v>
      </c>
      <c r="AF34" s="5" t="s">
        <v>0</v>
      </c>
      <c r="AG34" s="5" t="s">
        <v>0</v>
      </c>
      <c r="AH34" s="5" t="s">
        <v>0</v>
      </c>
    </row>
    <row r="35" spans="2:34">
      <c r="B35" s="9">
        <v>103</v>
      </c>
      <c r="C35" s="10" t="s">
        <v>4</v>
      </c>
      <c r="D35" s="3" t="s">
        <v>0</v>
      </c>
      <c r="E35" s="3">
        <v>20.3</v>
      </c>
      <c r="F35" s="3">
        <v>22</v>
      </c>
      <c r="G35" s="3">
        <v>24</v>
      </c>
      <c r="H35" s="3">
        <v>24.4</v>
      </c>
      <c r="I35" s="3">
        <v>23.5</v>
      </c>
      <c r="J35" s="3">
        <v>26</v>
      </c>
      <c r="K35" s="3" t="s">
        <v>0</v>
      </c>
      <c r="L35" s="3" t="s">
        <v>0</v>
      </c>
      <c r="M35" s="3" t="s">
        <v>0</v>
      </c>
      <c r="N35" s="3" t="s">
        <v>0</v>
      </c>
      <c r="O35" s="3" t="s">
        <v>0</v>
      </c>
      <c r="P35" s="3" t="s">
        <v>0</v>
      </c>
      <c r="Q35" s="3" t="s">
        <v>0</v>
      </c>
      <c r="R35" s="3" t="s">
        <v>0</v>
      </c>
      <c r="U35" s="53"/>
      <c r="V35" s="5">
        <f>F35-22</f>
        <v>0</v>
      </c>
      <c r="W35" s="5">
        <f t="shared" ref="W35:Z35" si="28">G35-22</f>
        <v>2</v>
      </c>
      <c r="X35" s="5">
        <f t="shared" si="28"/>
        <v>2.3999999999999986</v>
      </c>
      <c r="Y35" s="5">
        <f t="shared" si="28"/>
        <v>1.5</v>
      </c>
      <c r="Z35" s="5">
        <f t="shared" si="28"/>
        <v>4</v>
      </c>
      <c r="AA35" s="5" t="s">
        <v>0</v>
      </c>
      <c r="AB35" s="5" t="s">
        <v>0</v>
      </c>
      <c r="AC35" s="5" t="s">
        <v>0</v>
      </c>
      <c r="AD35" s="5" t="s">
        <v>0</v>
      </c>
      <c r="AE35" s="5" t="s">
        <v>0</v>
      </c>
      <c r="AF35" s="5" t="s">
        <v>0</v>
      </c>
      <c r="AG35" s="5" t="s">
        <v>0</v>
      </c>
      <c r="AH35" s="5" t="s">
        <v>0</v>
      </c>
    </row>
    <row r="36" spans="2:34">
      <c r="B36" s="9">
        <v>268</v>
      </c>
      <c r="C36" s="10" t="s">
        <v>4</v>
      </c>
      <c r="D36" s="3" t="s">
        <v>0</v>
      </c>
      <c r="E36" s="3">
        <v>15.1</v>
      </c>
      <c r="F36" s="3">
        <v>17.399999999999999</v>
      </c>
      <c r="G36" s="3">
        <v>20.8</v>
      </c>
      <c r="H36" s="3">
        <v>23.4</v>
      </c>
      <c r="I36" s="3">
        <v>25</v>
      </c>
      <c r="J36" s="3">
        <v>26.2</v>
      </c>
      <c r="K36" s="3" t="s">
        <v>0</v>
      </c>
      <c r="L36" s="3" t="s">
        <v>0</v>
      </c>
      <c r="M36" s="3" t="s">
        <v>0</v>
      </c>
      <c r="N36" s="3" t="s">
        <v>0</v>
      </c>
      <c r="O36" s="3" t="s">
        <v>0</v>
      </c>
      <c r="P36" s="3" t="s">
        <v>0</v>
      </c>
      <c r="Q36" s="3" t="s">
        <v>0</v>
      </c>
      <c r="R36" s="3" t="s">
        <v>0</v>
      </c>
      <c r="U36" s="53"/>
      <c r="V36" s="5">
        <f>F36-17.4</f>
        <v>0</v>
      </c>
      <c r="W36" s="5">
        <f t="shared" ref="W36:Z36" si="29">G36-17.4</f>
        <v>3.4000000000000021</v>
      </c>
      <c r="X36" s="5">
        <f t="shared" si="29"/>
        <v>6</v>
      </c>
      <c r="Y36" s="5">
        <f t="shared" si="29"/>
        <v>7.6000000000000014</v>
      </c>
      <c r="Z36" s="5">
        <f t="shared" si="29"/>
        <v>8.8000000000000007</v>
      </c>
      <c r="AA36" s="5" t="s">
        <v>0</v>
      </c>
      <c r="AB36" s="5" t="s">
        <v>0</v>
      </c>
      <c r="AC36" s="5" t="s">
        <v>0</v>
      </c>
      <c r="AD36" s="5" t="s">
        <v>0</v>
      </c>
      <c r="AE36" s="5" t="s">
        <v>0</v>
      </c>
      <c r="AF36" s="5" t="s">
        <v>0</v>
      </c>
      <c r="AG36" s="5" t="s">
        <v>0</v>
      </c>
      <c r="AH36" s="5" t="s">
        <v>0</v>
      </c>
    </row>
    <row r="37" spans="2:34">
      <c r="B37" s="9">
        <v>270</v>
      </c>
      <c r="C37" s="10" t="s">
        <v>4</v>
      </c>
      <c r="D37" s="3" t="s">
        <v>0</v>
      </c>
      <c r="E37" s="3">
        <v>19.3</v>
      </c>
      <c r="F37" s="3">
        <v>21.3</v>
      </c>
      <c r="G37" s="3">
        <v>23.8</v>
      </c>
      <c r="H37" s="3">
        <v>25.1</v>
      </c>
      <c r="I37" s="3">
        <v>26.3</v>
      </c>
      <c r="J37" s="3">
        <v>27.6</v>
      </c>
      <c r="K37" s="3" t="s">
        <v>0</v>
      </c>
      <c r="L37" s="3" t="s">
        <v>0</v>
      </c>
      <c r="M37" s="3" t="s">
        <v>0</v>
      </c>
      <c r="N37" s="3" t="s">
        <v>0</v>
      </c>
      <c r="O37" s="3" t="s">
        <v>0</v>
      </c>
      <c r="P37" s="3" t="s">
        <v>0</v>
      </c>
      <c r="Q37" s="3" t="s">
        <v>0</v>
      </c>
      <c r="R37" s="3" t="s">
        <v>0</v>
      </c>
      <c r="U37" s="53"/>
      <c r="V37" s="5">
        <f>F37-21.3</f>
        <v>0</v>
      </c>
      <c r="W37" s="5">
        <f t="shared" ref="W37:Z37" si="30">G37-21.3</f>
        <v>2.5</v>
      </c>
      <c r="X37" s="5">
        <f t="shared" si="30"/>
        <v>3.8000000000000007</v>
      </c>
      <c r="Y37" s="5">
        <f t="shared" si="30"/>
        <v>5</v>
      </c>
      <c r="Z37" s="5">
        <f t="shared" si="30"/>
        <v>6.3000000000000007</v>
      </c>
      <c r="AA37" s="5" t="s">
        <v>0</v>
      </c>
      <c r="AB37" s="5" t="s">
        <v>0</v>
      </c>
      <c r="AC37" s="5" t="s">
        <v>0</v>
      </c>
      <c r="AD37" s="5" t="s">
        <v>0</v>
      </c>
      <c r="AE37" s="5" t="s">
        <v>0</v>
      </c>
      <c r="AF37" s="5" t="s">
        <v>0</v>
      </c>
      <c r="AG37" s="5" t="s">
        <v>0</v>
      </c>
      <c r="AH37" s="5" t="s">
        <v>0</v>
      </c>
    </row>
    <row r="38" spans="2:34">
      <c r="B38" s="13">
        <v>272</v>
      </c>
      <c r="C38" s="10" t="s">
        <v>4</v>
      </c>
      <c r="D38" s="3" t="s">
        <v>0</v>
      </c>
      <c r="E38" s="3">
        <v>17.3</v>
      </c>
      <c r="F38" s="3">
        <v>19.399999999999999</v>
      </c>
      <c r="G38" s="3">
        <v>20.6</v>
      </c>
      <c r="H38" s="3">
        <v>21.1</v>
      </c>
      <c r="I38" s="3">
        <v>21.5</v>
      </c>
      <c r="J38" s="3">
        <v>21.8</v>
      </c>
      <c r="K38" s="3" t="s">
        <v>0</v>
      </c>
      <c r="L38" s="3" t="s">
        <v>0</v>
      </c>
      <c r="M38" s="3" t="s">
        <v>0</v>
      </c>
      <c r="N38" s="3" t="s">
        <v>0</v>
      </c>
      <c r="O38" s="3" t="s">
        <v>0</v>
      </c>
      <c r="P38" s="3" t="s">
        <v>0</v>
      </c>
      <c r="Q38" s="3" t="s">
        <v>0</v>
      </c>
      <c r="R38" s="3" t="s">
        <v>0</v>
      </c>
      <c r="U38" s="53"/>
      <c r="V38" s="5">
        <f>F38-19.4</f>
        <v>0</v>
      </c>
      <c r="W38" s="5">
        <f t="shared" ref="W38:Z38" si="31">G38-19.4</f>
        <v>1.2000000000000028</v>
      </c>
      <c r="X38" s="5">
        <f t="shared" si="31"/>
        <v>1.7000000000000028</v>
      </c>
      <c r="Y38" s="5">
        <f t="shared" si="31"/>
        <v>2.1000000000000014</v>
      </c>
      <c r="Z38" s="5">
        <f t="shared" si="31"/>
        <v>2.4000000000000021</v>
      </c>
      <c r="AA38" s="5" t="s">
        <v>0</v>
      </c>
      <c r="AB38" s="5" t="s">
        <v>0</v>
      </c>
      <c r="AC38" s="5" t="s">
        <v>0</v>
      </c>
      <c r="AD38" s="5" t="s">
        <v>0</v>
      </c>
      <c r="AE38" s="5" t="s">
        <v>0</v>
      </c>
      <c r="AF38" s="5" t="s">
        <v>0</v>
      </c>
      <c r="AG38" s="5" t="s">
        <v>0</v>
      </c>
      <c r="AH38" s="5" t="s">
        <v>0</v>
      </c>
    </row>
    <row r="39" spans="2:34">
      <c r="B39" s="9">
        <v>307</v>
      </c>
      <c r="C39" s="10" t="s">
        <v>4</v>
      </c>
      <c r="D39" s="3">
        <v>15.4</v>
      </c>
      <c r="E39" s="3">
        <v>19.600000000000001</v>
      </c>
      <c r="F39" s="3">
        <v>20.8</v>
      </c>
      <c r="G39" s="3">
        <v>22.4</v>
      </c>
      <c r="H39" s="3">
        <v>23.5</v>
      </c>
      <c r="I39" s="3">
        <v>24.1</v>
      </c>
      <c r="J39" s="3" t="s">
        <v>0</v>
      </c>
      <c r="K39" s="3" t="s">
        <v>0</v>
      </c>
      <c r="L39" s="3" t="s">
        <v>0</v>
      </c>
      <c r="M39" s="3" t="s">
        <v>0</v>
      </c>
      <c r="N39" s="3" t="s">
        <v>0</v>
      </c>
      <c r="O39" s="3" t="s">
        <v>0</v>
      </c>
      <c r="P39" s="3" t="s">
        <v>0</v>
      </c>
      <c r="Q39" s="3" t="s">
        <v>0</v>
      </c>
      <c r="R39" s="3" t="s">
        <v>0</v>
      </c>
      <c r="U39" s="53"/>
      <c r="V39" s="5">
        <f>F39-20.8</f>
        <v>0</v>
      </c>
      <c r="W39" s="5">
        <f t="shared" ref="W39:Y39" si="32">G39-20.8</f>
        <v>1.5999999999999979</v>
      </c>
      <c r="X39" s="5">
        <f t="shared" si="32"/>
        <v>2.6999999999999993</v>
      </c>
      <c r="Y39" s="5">
        <f t="shared" si="32"/>
        <v>3.3000000000000007</v>
      </c>
      <c r="Z39" s="5" t="s">
        <v>0</v>
      </c>
      <c r="AA39" s="5" t="s">
        <v>0</v>
      </c>
      <c r="AB39" s="5" t="s">
        <v>0</v>
      </c>
      <c r="AC39" s="5" t="s">
        <v>0</v>
      </c>
      <c r="AD39" s="5" t="s">
        <v>0</v>
      </c>
      <c r="AE39" s="5" t="s">
        <v>0</v>
      </c>
      <c r="AF39" s="5" t="s">
        <v>0</v>
      </c>
      <c r="AG39" s="5" t="s">
        <v>0</v>
      </c>
      <c r="AH39" s="5" t="s">
        <v>0</v>
      </c>
    </row>
    <row r="40" spans="2:34">
      <c r="B40" s="9">
        <v>308</v>
      </c>
      <c r="C40" s="10" t="s">
        <v>4</v>
      </c>
      <c r="D40" s="3">
        <v>20.5</v>
      </c>
      <c r="E40" s="3">
        <v>22.8</v>
      </c>
      <c r="F40" s="3">
        <v>24</v>
      </c>
      <c r="G40" s="3">
        <v>25.1</v>
      </c>
      <c r="H40" s="3">
        <v>26.1</v>
      </c>
      <c r="I40" s="3">
        <v>26.4</v>
      </c>
      <c r="J40" s="3" t="s">
        <v>0</v>
      </c>
      <c r="K40" s="3" t="s">
        <v>0</v>
      </c>
      <c r="L40" s="3" t="s">
        <v>0</v>
      </c>
      <c r="M40" s="3" t="s">
        <v>0</v>
      </c>
      <c r="N40" s="3" t="s">
        <v>0</v>
      </c>
      <c r="O40" s="3" t="s">
        <v>0</v>
      </c>
      <c r="P40" s="3" t="s">
        <v>0</v>
      </c>
      <c r="Q40" s="3" t="s">
        <v>0</v>
      </c>
      <c r="R40" s="3" t="s">
        <v>0</v>
      </c>
      <c r="U40" s="53"/>
      <c r="V40" s="5">
        <f>F40-24</f>
        <v>0</v>
      </c>
      <c r="W40" s="5">
        <f t="shared" ref="W40:Y40" si="33">G40-24</f>
        <v>1.1000000000000014</v>
      </c>
      <c r="X40" s="5">
        <f t="shared" si="33"/>
        <v>2.1000000000000014</v>
      </c>
      <c r="Y40" s="5">
        <f t="shared" si="33"/>
        <v>2.3999999999999986</v>
      </c>
      <c r="Z40" s="5" t="s">
        <v>0</v>
      </c>
      <c r="AA40" s="5" t="s">
        <v>0</v>
      </c>
      <c r="AB40" s="5" t="s">
        <v>0</v>
      </c>
      <c r="AC40" s="5" t="s">
        <v>0</v>
      </c>
      <c r="AD40" s="5" t="s">
        <v>0</v>
      </c>
      <c r="AE40" s="5" t="s">
        <v>0</v>
      </c>
      <c r="AF40" s="5" t="s">
        <v>0</v>
      </c>
      <c r="AG40" s="5" t="s">
        <v>0</v>
      </c>
      <c r="AH40" s="5" t="s">
        <v>0</v>
      </c>
    </row>
    <row r="41" spans="2:34">
      <c r="B41" s="9">
        <v>291</v>
      </c>
      <c r="C41" s="10" t="s">
        <v>4</v>
      </c>
      <c r="D41" s="3" t="s">
        <v>0</v>
      </c>
      <c r="E41" s="3">
        <v>18</v>
      </c>
      <c r="F41" s="3">
        <v>19.899999999999999</v>
      </c>
      <c r="G41" s="3">
        <v>21.2</v>
      </c>
      <c r="H41" s="3">
        <v>22.4</v>
      </c>
      <c r="I41" s="3">
        <v>22.9</v>
      </c>
      <c r="J41" s="3">
        <v>24.1</v>
      </c>
      <c r="K41" s="3" t="s">
        <v>0</v>
      </c>
      <c r="L41" s="3" t="s">
        <v>0</v>
      </c>
      <c r="M41" s="3" t="s">
        <v>0</v>
      </c>
      <c r="N41" s="3" t="s">
        <v>0</v>
      </c>
      <c r="O41" s="3" t="s">
        <v>0</v>
      </c>
      <c r="P41" s="3" t="s">
        <v>0</v>
      </c>
      <c r="Q41" s="3" t="s">
        <v>0</v>
      </c>
      <c r="R41" s="3" t="s">
        <v>0</v>
      </c>
      <c r="U41" s="53"/>
      <c r="V41" s="5">
        <f>F41-19.9</f>
        <v>0</v>
      </c>
      <c r="W41" s="5">
        <f t="shared" ref="W41:Z41" si="34">G41-19.9</f>
        <v>1.3000000000000007</v>
      </c>
      <c r="X41" s="5">
        <f t="shared" si="34"/>
        <v>2.5</v>
      </c>
      <c r="Y41" s="5">
        <f t="shared" si="34"/>
        <v>3</v>
      </c>
      <c r="Z41" s="5">
        <f t="shared" si="34"/>
        <v>4.2000000000000028</v>
      </c>
      <c r="AA41" s="5" t="s">
        <v>0</v>
      </c>
      <c r="AB41" s="5" t="s">
        <v>0</v>
      </c>
      <c r="AC41" s="5" t="s">
        <v>0</v>
      </c>
      <c r="AD41" s="5" t="s">
        <v>0</v>
      </c>
      <c r="AE41" s="5" t="s">
        <v>0</v>
      </c>
      <c r="AF41" s="5" t="s">
        <v>0</v>
      </c>
      <c r="AG41" s="5" t="s">
        <v>0</v>
      </c>
      <c r="AH41" s="5" t="s">
        <v>0</v>
      </c>
    </row>
    <row r="42" spans="2:34">
      <c r="B42" s="9">
        <v>292</v>
      </c>
      <c r="C42" s="10" t="s">
        <v>4</v>
      </c>
      <c r="D42" s="3" t="s">
        <v>0</v>
      </c>
      <c r="E42" s="3">
        <v>19.8</v>
      </c>
      <c r="F42" s="3">
        <v>20.7</v>
      </c>
      <c r="G42" s="3">
        <v>21.7</v>
      </c>
      <c r="H42" s="3">
        <v>22.7</v>
      </c>
      <c r="I42" s="3">
        <v>23.5</v>
      </c>
      <c r="J42" s="3">
        <v>24.5</v>
      </c>
      <c r="K42" s="3" t="s">
        <v>0</v>
      </c>
      <c r="L42" s="3" t="s">
        <v>0</v>
      </c>
      <c r="M42" s="3" t="s">
        <v>0</v>
      </c>
      <c r="N42" s="3" t="s">
        <v>0</v>
      </c>
      <c r="O42" s="3" t="s">
        <v>0</v>
      </c>
      <c r="P42" s="3" t="s">
        <v>0</v>
      </c>
      <c r="Q42" s="3" t="s">
        <v>0</v>
      </c>
      <c r="R42" s="3" t="s">
        <v>0</v>
      </c>
      <c r="U42" s="53"/>
      <c r="V42" s="5">
        <f>F42-20.7</f>
        <v>0</v>
      </c>
      <c r="W42" s="5">
        <f t="shared" ref="W42:Z42" si="35">G42-20.7</f>
        <v>1</v>
      </c>
      <c r="X42" s="5">
        <f t="shared" si="35"/>
        <v>2</v>
      </c>
      <c r="Y42" s="5">
        <f t="shared" si="35"/>
        <v>2.8000000000000007</v>
      </c>
      <c r="Z42" s="5">
        <f t="shared" si="35"/>
        <v>3.8000000000000007</v>
      </c>
      <c r="AA42" s="5" t="s">
        <v>0</v>
      </c>
      <c r="AB42" s="5" t="s">
        <v>0</v>
      </c>
      <c r="AC42" s="5" t="s">
        <v>0</v>
      </c>
      <c r="AD42" s="5" t="s">
        <v>0</v>
      </c>
      <c r="AE42" s="5" t="s">
        <v>0</v>
      </c>
      <c r="AF42" s="5" t="s">
        <v>0</v>
      </c>
      <c r="AG42" s="5" t="s">
        <v>0</v>
      </c>
      <c r="AH42" s="5" t="s">
        <v>0</v>
      </c>
    </row>
    <row r="43" spans="2:34">
      <c r="B43" s="9">
        <v>295</v>
      </c>
      <c r="C43" s="10" t="s">
        <v>4</v>
      </c>
      <c r="D43" s="3" t="s">
        <v>0</v>
      </c>
      <c r="E43" s="3">
        <v>15.6</v>
      </c>
      <c r="F43" s="3">
        <v>17.3</v>
      </c>
      <c r="G43" s="3">
        <v>18.8</v>
      </c>
      <c r="H43" s="3">
        <v>20.3</v>
      </c>
      <c r="I43" s="3">
        <v>21.8</v>
      </c>
      <c r="J43" s="3">
        <v>22.4</v>
      </c>
      <c r="K43" s="3" t="s">
        <v>0</v>
      </c>
      <c r="L43" s="3" t="s">
        <v>0</v>
      </c>
      <c r="M43" s="3" t="s">
        <v>0</v>
      </c>
      <c r="N43" s="3" t="s">
        <v>0</v>
      </c>
      <c r="O43" s="3" t="s">
        <v>0</v>
      </c>
      <c r="P43" s="3" t="s">
        <v>0</v>
      </c>
      <c r="Q43" s="3" t="s">
        <v>0</v>
      </c>
      <c r="R43" s="3" t="s">
        <v>0</v>
      </c>
      <c r="U43" s="53"/>
      <c r="V43" s="5">
        <f>F43-17.3</f>
        <v>0</v>
      </c>
      <c r="W43" s="5">
        <f t="shared" ref="W43:Z43" si="36">G43-17.3</f>
        <v>1.5</v>
      </c>
      <c r="X43" s="5">
        <f t="shared" si="36"/>
        <v>3</v>
      </c>
      <c r="Y43" s="5">
        <f t="shared" si="36"/>
        <v>4.5</v>
      </c>
      <c r="Z43" s="5">
        <f t="shared" si="36"/>
        <v>5.0999999999999979</v>
      </c>
      <c r="AA43" s="5" t="s">
        <v>0</v>
      </c>
      <c r="AB43" s="5" t="s">
        <v>0</v>
      </c>
      <c r="AC43" s="5" t="s">
        <v>0</v>
      </c>
      <c r="AD43" s="5" t="s">
        <v>0</v>
      </c>
      <c r="AE43" s="5" t="s">
        <v>0</v>
      </c>
      <c r="AF43" s="5" t="s">
        <v>0</v>
      </c>
      <c r="AG43" s="5" t="s">
        <v>0</v>
      </c>
      <c r="AH43" s="5" t="s">
        <v>0</v>
      </c>
    </row>
    <row r="44" spans="2:34">
      <c r="B44" s="9">
        <v>494</v>
      </c>
      <c r="C44" s="10" t="s">
        <v>4</v>
      </c>
      <c r="D44" s="3">
        <v>15.7</v>
      </c>
      <c r="E44" s="3">
        <v>18.3</v>
      </c>
      <c r="F44" s="3">
        <v>19.899999999999999</v>
      </c>
      <c r="G44" s="3">
        <v>20.9</v>
      </c>
      <c r="H44" s="3">
        <v>21.8</v>
      </c>
      <c r="I44" s="3">
        <v>23.3</v>
      </c>
      <c r="J44" s="3">
        <v>23.7</v>
      </c>
      <c r="K44" s="3">
        <v>25.3</v>
      </c>
      <c r="L44" s="3">
        <v>25.7</v>
      </c>
      <c r="M44" s="3">
        <v>25.4</v>
      </c>
      <c r="N44" s="3">
        <v>26.5</v>
      </c>
      <c r="O44" s="3">
        <v>26.5</v>
      </c>
      <c r="P44" s="3">
        <v>27.8</v>
      </c>
      <c r="Q44" s="3">
        <v>28.2</v>
      </c>
      <c r="R44" s="3">
        <v>27.7</v>
      </c>
      <c r="U44" s="53"/>
      <c r="V44" s="5">
        <f>F44-19.9</f>
        <v>0</v>
      </c>
      <c r="W44" s="5">
        <f t="shared" ref="W44:AH44" si="37">G44-19.9</f>
        <v>1</v>
      </c>
      <c r="X44" s="5">
        <f t="shared" si="37"/>
        <v>1.9000000000000021</v>
      </c>
      <c r="Y44" s="5">
        <f t="shared" si="37"/>
        <v>3.4000000000000021</v>
      </c>
      <c r="Z44" s="5">
        <f t="shared" si="37"/>
        <v>3.8000000000000007</v>
      </c>
      <c r="AA44" s="5">
        <f t="shared" si="37"/>
        <v>5.4000000000000021</v>
      </c>
      <c r="AB44" s="5">
        <f t="shared" si="37"/>
        <v>5.8000000000000007</v>
      </c>
      <c r="AC44" s="5">
        <f t="shared" si="37"/>
        <v>5.5</v>
      </c>
      <c r="AD44" s="5">
        <f t="shared" si="37"/>
        <v>6.6000000000000014</v>
      </c>
      <c r="AE44" s="5">
        <f t="shared" si="37"/>
        <v>6.6000000000000014</v>
      </c>
      <c r="AF44" s="5">
        <f t="shared" si="37"/>
        <v>7.9000000000000021</v>
      </c>
      <c r="AG44" s="5">
        <f t="shared" si="37"/>
        <v>8.3000000000000007</v>
      </c>
      <c r="AH44" s="5">
        <f t="shared" si="37"/>
        <v>7.8000000000000007</v>
      </c>
    </row>
    <row r="45" spans="2:34">
      <c r="B45" s="9">
        <v>497</v>
      </c>
      <c r="C45" s="10" t="s">
        <v>4</v>
      </c>
      <c r="D45" s="3">
        <v>14.8</v>
      </c>
      <c r="E45" s="3">
        <v>17.600000000000001</v>
      </c>
      <c r="F45" s="3">
        <v>20.100000000000001</v>
      </c>
      <c r="G45" s="3">
        <v>20.7</v>
      </c>
      <c r="H45" s="3">
        <v>22</v>
      </c>
      <c r="I45" s="3">
        <v>23.1</v>
      </c>
      <c r="J45" s="3">
        <v>23.5</v>
      </c>
      <c r="K45" s="3">
        <v>24</v>
      </c>
      <c r="L45" s="3">
        <v>24.5</v>
      </c>
      <c r="M45" s="3">
        <v>24.6</v>
      </c>
      <c r="N45" s="3">
        <v>25.8</v>
      </c>
      <c r="O45" s="3">
        <v>26.4</v>
      </c>
      <c r="P45" s="3">
        <v>27.7</v>
      </c>
      <c r="Q45" s="3">
        <v>28.2</v>
      </c>
      <c r="R45" s="3">
        <v>28.6</v>
      </c>
      <c r="U45" s="53"/>
      <c r="V45" s="5">
        <f>F45-20.1</f>
        <v>0</v>
      </c>
      <c r="W45" s="5">
        <f t="shared" ref="W45:AH45" si="38">G45-20.1</f>
        <v>0.59999999999999787</v>
      </c>
      <c r="X45" s="5">
        <f t="shared" si="38"/>
        <v>1.8999999999999986</v>
      </c>
      <c r="Y45" s="5">
        <f t="shared" si="38"/>
        <v>3</v>
      </c>
      <c r="Z45" s="5">
        <f t="shared" si="38"/>
        <v>3.3999999999999986</v>
      </c>
      <c r="AA45" s="5">
        <f t="shared" si="38"/>
        <v>3.8999999999999986</v>
      </c>
      <c r="AB45" s="5">
        <f t="shared" si="38"/>
        <v>4.3999999999999986</v>
      </c>
      <c r="AC45" s="5">
        <f t="shared" si="38"/>
        <v>4.5</v>
      </c>
      <c r="AD45" s="5">
        <f t="shared" si="38"/>
        <v>5.6999999999999993</v>
      </c>
      <c r="AE45" s="5">
        <f t="shared" si="38"/>
        <v>6.2999999999999972</v>
      </c>
      <c r="AF45" s="5">
        <f t="shared" si="38"/>
        <v>7.5999999999999979</v>
      </c>
      <c r="AG45" s="5">
        <f t="shared" si="38"/>
        <v>8.0999999999999979</v>
      </c>
      <c r="AH45" s="5">
        <f t="shared" si="38"/>
        <v>8.5</v>
      </c>
    </row>
    <row r="46" spans="2:34">
      <c r="B46" s="9">
        <v>502</v>
      </c>
      <c r="C46" s="10" t="s">
        <v>4</v>
      </c>
      <c r="D46" s="3">
        <v>17.100000000000001</v>
      </c>
      <c r="E46" s="3">
        <v>20</v>
      </c>
      <c r="F46" s="3">
        <v>22.4</v>
      </c>
      <c r="G46" s="3">
        <v>24.2</v>
      </c>
      <c r="H46" s="3">
        <v>25.2</v>
      </c>
      <c r="I46" s="3">
        <v>27.1</v>
      </c>
      <c r="J46" s="3">
        <v>28.2</v>
      </c>
      <c r="K46" s="3">
        <v>28.4</v>
      </c>
      <c r="L46" s="3">
        <v>28.4</v>
      </c>
      <c r="M46" s="3">
        <v>29.6</v>
      </c>
      <c r="N46" s="3">
        <v>29.9</v>
      </c>
      <c r="O46" s="3">
        <v>31.1</v>
      </c>
      <c r="P46" s="3">
        <v>31.5</v>
      </c>
      <c r="Q46" s="3">
        <v>28.8</v>
      </c>
      <c r="R46" s="3">
        <v>32.6</v>
      </c>
      <c r="U46" s="53"/>
      <c r="V46" s="5">
        <f>F46-22.4</f>
        <v>0</v>
      </c>
      <c r="W46" s="5">
        <f t="shared" ref="W46:AH46" si="39">G46-22.4</f>
        <v>1.8000000000000007</v>
      </c>
      <c r="X46" s="5">
        <f t="shared" si="39"/>
        <v>2.8000000000000007</v>
      </c>
      <c r="Y46" s="5">
        <f t="shared" si="39"/>
        <v>4.7000000000000028</v>
      </c>
      <c r="Z46" s="5">
        <f t="shared" si="39"/>
        <v>5.8000000000000007</v>
      </c>
      <c r="AA46" s="5">
        <f t="shared" si="39"/>
        <v>6</v>
      </c>
      <c r="AB46" s="5">
        <f t="shared" si="39"/>
        <v>6</v>
      </c>
      <c r="AC46" s="5">
        <f t="shared" si="39"/>
        <v>7.2000000000000028</v>
      </c>
      <c r="AD46" s="5">
        <f t="shared" si="39"/>
        <v>7.5</v>
      </c>
      <c r="AE46" s="5">
        <f t="shared" si="39"/>
        <v>8.7000000000000028</v>
      </c>
      <c r="AF46" s="5">
        <f t="shared" si="39"/>
        <v>9.1000000000000014</v>
      </c>
      <c r="AG46" s="5">
        <f t="shared" si="39"/>
        <v>6.4000000000000021</v>
      </c>
      <c r="AH46" s="5">
        <f t="shared" si="39"/>
        <v>10.200000000000003</v>
      </c>
    </row>
    <row r="47" spans="2:34">
      <c r="B47" s="9">
        <v>503</v>
      </c>
      <c r="C47" s="10" t="s">
        <v>4</v>
      </c>
      <c r="D47" s="3">
        <v>18.899999999999999</v>
      </c>
      <c r="E47" s="3">
        <v>21.3</v>
      </c>
      <c r="F47" s="3">
        <v>23.4</v>
      </c>
      <c r="G47" s="3">
        <v>24.3</v>
      </c>
      <c r="H47" s="3">
        <v>25.6</v>
      </c>
      <c r="I47" s="3">
        <v>27</v>
      </c>
      <c r="J47" s="3">
        <v>27.6</v>
      </c>
      <c r="K47" s="3">
        <v>28.2</v>
      </c>
      <c r="L47" s="3">
        <v>29.4</v>
      </c>
      <c r="M47" s="3">
        <v>30</v>
      </c>
      <c r="N47" s="3">
        <v>31.2</v>
      </c>
      <c r="O47" s="3">
        <v>31.5</v>
      </c>
      <c r="P47" s="3">
        <v>31.2</v>
      </c>
      <c r="Q47" s="3">
        <v>32.1</v>
      </c>
      <c r="R47" s="3">
        <v>32.4</v>
      </c>
      <c r="U47" s="53"/>
      <c r="V47" s="5">
        <f>F47-23.4</f>
        <v>0</v>
      </c>
      <c r="W47" s="5">
        <f t="shared" ref="W47:AH47" si="40">G47-23.4</f>
        <v>0.90000000000000213</v>
      </c>
      <c r="X47" s="5">
        <f t="shared" si="40"/>
        <v>2.2000000000000028</v>
      </c>
      <c r="Y47" s="5">
        <f t="shared" si="40"/>
        <v>3.6000000000000014</v>
      </c>
      <c r="Z47" s="5">
        <f t="shared" si="40"/>
        <v>4.2000000000000028</v>
      </c>
      <c r="AA47" s="5">
        <f t="shared" si="40"/>
        <v>4.8000000000000007</v>
      </c>
      <c r="AB47" s="5">
        <f t="shared" si="40"/>
        <v>6</v>
      </c>
      <c r="AC47" s="5">
        <f t="shared" si="40"/>
        <v>6.6000000000000014</v>
      </c>
      <c r="AD47" s="5">
        <f t="shared" si="40"/>
        <v>7.8000000000000007</v>
      </c>
      <c r="AE47" s="5">
        <f t="shared" si="40"/>
        <v>8.1000000000000014</v>
      </c>
      <c r="AF47" s="5">
        <f t="shared" si="40"/>
        <v>7.8000000000000007</v>
      </c>
      <c r="AG47" s="5">
        <f t="shared" si="40"/>
        <v>8.7000000000000028</v>
      </c>
      <c r="AH47" s="5">
        <f t="shared" si="40"/>
        <v>9</v>
      </c>
    </row>
    <row r="48" spans="2:34">
      <c r="B48" s="9">
        <v>504</v>
      </c>
      <c r="C48" s="10" t="s">
        <v>4</v>
      </c>
      <c r="D48" s="3">
        <v>17.8</v>
      </c>
      <c r="E48" s="3">
        <v>21.1</v>
      </c>
      <c r="F48" s="3">
        <v>22.9</v>
      </c>
      <c r="G48" s="3">
        <v>23.8</v>
      </c>
      <c r="H48" s="3">
        <v>25.9</v>
      </c>
      <c r="I48" s="3">
        <v>27</v>
      </c>
      <c r="J48" s="3">
        <v>28.2</v>
      </c>
      <c r="K48" s="3">
        <v>28.7</v>
      </c>
      <c r="L48" s="3">
        <v>29.7</v>
      </c>
      <c r="M48" s="3">
        <v>30.1</v>
      </c>
      <c r="N48" s="3">
        <v>31.1</v>
      </c>
      <c r="O48" s="3">
        <v>31.6</v>
      </c>
      <c r="P48" s="3">
        <v>32.299999999999997</v>
      </c>
      <c r="Q48" s="3">
        <v>32.200000000000003</v>
      </c>
      <c r="R48" s="3">
        <v>33.5</v>
      </c>
      <c r="U48" s="53"/>
      <c r="V48" s="5">
        <f>F48-22.9</f>
        <v>0</v>
      </c>
      <c r="W48" s="5">
        <f t="shared" ref="W48:AH48" si="41">G48-22.9</f>
        <v>0.90000000000000213</v>
      </c>
      <c r="X48" s="5">
        <f t="shared" si="41"/>
        <v>3</v>
      </c>
      <c r="Y48" s="5">
        <f t="shared" si="41"/>
        <v>4.1000000000000014</v>
      </c>
      <c r="Z48" s="5">
        <f t="shared" si="41"/>
        <v>5.3000000000000007</v>
      </c>
      <c r="AA48" s="5">
        <f t="shared" si="41"/>
        <v>5.8000000000000007</v>
      </c>
      <c r="AB48" s="5">
        <f t="shared" si="41"/>
        <v>6.8000000000000007</v>
      </c>
      <c r="AC48" s="5">
        <f t="shared" si="41"/>
        <v>7.2000000000000028</v>
      </c>
      <c r="AD48" s="5">
        <f t="shared" si="41"/>
        <v>8.2000000000000028</v>
      </c>
      <c r="AE48" s="5">
        <f t="shared" si="41"/>
        <v>8.7000000000000028</v>
      </c>
      <c r="AF48" s="5">
        <f t="shared" si="41"/>
        <v>9.3999999999999986</v>
      </c>
      <c r="AG48" s="5">
        <f t="shared" si="41"/>
        <v>9.3000000000000043</v>
      </c>
      <c r="AH48" s="5">
        <f t="shared" si="41"/>
        <v>10.600000000000001</v>
      </c>
    </row>
    <row r="49" spans="2:34">
      <c r="B49" s="9">
        <v>512</v>
      </c>
      <c r="C49" s="10" t="s">
        <v>4</v>
      </c>
      <c r="D49" s="3">
        <v>14.2</v>
      </c>
      <c r="E49" s="3">
        <v>18.2</v>
      </c>
      <c r="F49" s="3">
        <v>20.399999999999999</v>
      </c>
      <c r="G49" s="3">
        <v>21.3</v>
      </c>
      <c r="H49" s="3">
        <v>22.8</v>
      </c>
      <c r="I49" s="3">
        <v>24.6</v>
      </c>
      <c r="J49" s="3">
        <v>25.4</v>
      </c>
      <c r="K49" s="3">
        <v>26</v>
      </c>
      <c r="L49" s="3">
        <v>26</v>
      </c>
      <c r="M49" s="3">
        <v>26</v>
      </c>
      <c r="N49" s="3">
        <v>26.7</v>
      </c>
      <c r="O49" s="3">
        <v>27.3</v>
      </c>
      <c r="P49" s="3">
        <v>27.6</v>
      </c>
      <c r="Q49" s="3">
        <v>27.4</v>
      </c>
      <c r="R49" s="3">
        <v>27.8</v>
      </c>
      <c r="U49" s="53"/>
      <c r="V49" s="5">
        <f>F49-20.4</f>
        <v>0</v>
      </c>
      <c r="W49" s="5">
        <f t="shared" ref="W49:AH49" si="42">G49-20.4</f>
        <v>0.90000000000000213</v>
      </c>
      <c r="X49" s="5">
        <f t="shared" si="42"/>
        <v>2.4000000000000021</v>
      </c>
      <c r="Y49" s="5">
        <f t="shared" si="42"/>
        <v>4.2000000000000028</v>
      </c>
      <c r="Z49" s="5">
        <f t="shared" si="42"/>
        <v>5</v>
      </c>
      <c r="AA49" s="5">
        <f t="shared" si="42"/>
        <v>5.6000000000000014</v>
      </c>
      <c r="AB49" s="5">
        <f t="shared" si="42"/>
        <v>5.6000000000000014</v>
      </c>
      <c r="AC49" s="5">
        <f t="shared" si="42"/>
        <v>5.6000000000000014</v>
      </c>
      <c r="AD49" s="5">
        <f t="shared" si="42"/>
        <v>6.3000000000000007</v>
      </c>
      <c r="AE49" s="5">
        <f t="shared" si="42"/>
        <v>6.9000000000000021</v>
      </c>
      <c r="AF49" s="5">
        <f t="shared" si="42"/>
        <v>7.2000000000000028</v>
      </c>
      <c r="AG49" s="5">
        <f t="shared" si="42"/>
        <v>7</v>
      </c>
      <c r="AH49" s="5">
        <f t="shared" si="42"/>
        <v>7.4000000000000021</v>
      </c>
    </row>
    <row r="50" spans="2:34">
      <c r="B50" s="9">
        <v>513</v>
      </c>
      <c r="C50" s="10" t="s">
        <v>4</v>
      </c>
      <c r="D50" s="3">
        <v>14.4</v>
      </c>
      <c r="E50" s="3">
        <v>17.7</v>
      </c>
      <c r="F50" s="3">
        <v>20.3</v>
      </c>
      <c r="G50" s="3">
        <v>21.3</v>
      </c>
      <c r="H50" s="3">
        <v>22.5</v>
      </c>
      <c r="I50" s="3">
        <v>23.6</v>
      </c>
      <c r="J50" s="3">
        <v>24.3</v>
      </c>
      <c r="K50" s="3">
        <v>25</v>
      </c>
      <c r="L50" s="3">
        <v>25.4</v>
      </c>
      <c r="M50" s="3">
        <v>25.2</v>
      </c>
      <c r="N50" s="3">
        <v>25.8</v>
      </c>
      <c r="O50" s="3">
        <v>26.4</v>
      </c>
      <c r="P50" s="3">
        <v>26.5</v>
      </c>
      <c r="Q50" s="3">
        <v>26.5</v>
      </c>
      <c r="R50" s="3">
        <v>25.2</v>
      </c>
      <c r="U50" s="54"/>
      <c r="V50" s="5">
        <f>F50-20.3</f>
        <v>0</v>
      </c>
      <c r="W50" s="5">
        <f t="shared" ref="W50:AH50" si="43">G50-20.3</f>
        <v>1</v>
      </c>
      <c r="X50" s="5">
        <f t="shared" si="43"/>
        <v>2.1999999999999993</v>
      </c>
      <c r="Y50" s="5">
        <f t="shared" si="43"/>
        <v>3.3000000000000007</v>
      </c>
      <c r="Z50" s="5">
        <f t="shared" si="43"/>
        <v>4</v>
      </c>
      <c r="AA50" s="5">
        <f t="shared" si="43"/>
        <v>4.6999999999999993</v>
      </c>
      <c r="AB50" s="5">
        <f t="shared" si="43"/>
        <v>5.0999999999999979</v>
      </c>
      <c r="AC50" s="5">
        <f t="shared" si="43"/>
        <v>4.8999999999999986</v>
      </c>
      <c r="AD50" s="5">
        <f t="shared" si="43"/>
        <v>5.5</v>
      </c>
      <c r="AE50" s="5">
        <f t="shared" si="43"/>
        <v>6.0999999999999979</v>
      </c>
      <c r="AF50" s="5">
        <f t="shared" si="43"/>
        <v>6.1999999999999993</v>
      </c>
      <c r="AG50" s="5">
        <f t="shared" si="43"/>
        <v>6.1999999999999993</v>
      </c>
      <c r="AH50" s="5">
        <f t="shared" si="43"/>
        <v>4.8999999999999986</v>
      </c>
    </row>
    <row r="51" spans="2:34">
      <c r="C51" s="11" t="s">
        <v>2</v>
      </c>
      <c r="D51" s="12">
        <f>AVERAGE(D32:D50)</f>
        <v>16.418181818181822</v>
      </c>
      <c r="E51" s="12">
        <f t="shared" ref="E51" si="44">AVERAGE(E32:E50)</f>
        <v>18.831578947368421</v>
      </c>
      <c r="F51" s="12">
        <f>AVERAGE(F32:F50)</f>
        <v>20.784210526315785</v>
      </c>
      <c r="G51" s="12">
        <f>AVERAGE(G32:G50)</f>
        <v>22.221052631578946</v>
      </c>
      <c r="H51" s="12">
        <f t="shared" ref="H51:Q51" si="45">AVERAGE(H32:H50)</f>
        <v>23.431578947368422</v>
      </c>
      <c r="I51" s="12">
        <f t="shared" si="45"/>
        <v>24.326315789473693</v>
      </c>
      <c r="J51" s="12">
        <f>AVERAGE(J32:J50)</f>
        <v>25.247058823529411</v>
      </c>
      <c r="K51" s="12">
        <f t="shared" si="45"/>
        <v>26.514285714285712</v>
      </c>
      <c r="L51" s="12">
        <f>AVERAGE(L32:L50)</f>
        <v>27.014285714285712</v>
      </c>
      <c r="M51" s="12">
        <f t="shared" si="45"/>
        <v>27.271428571428569</v>
      </c>
      <c r="N51" s="12">
        <f t="shared" si="45"/>
        <v>28.142857142857142</v>
      </c>
      <c r="O51" s="12">
        <f t="shared" si="45"/>
        <v>28.685714285714287</v>
      </c>
      <c r="P51" s="12">
        <f t="shared" si="45"/>
        <v>29.228571428571428</v>
      </c>
      <c r="Q51" s="12">
        <f t="shared" si="45"/>
        <v>29.057142857142857</v>
      </c>
      <c r="R51" s="12">
        <f>AVERAGE(R32:R50)</f>
        <v>29.685714285714287</v>
      </c>
      <c r="U51" s="43" t="s">
        <v>2</v>
      </c>
      <c r="V51" s="5">
        <f>AVERAGE(V34:V50)</f>
        <v>0</v>
      </c>
      <c r="W51" s="5">
        <f>AVERAGE(W32:W50)</f>
        <v>1.4368421052631586</v>
      </c>
      <c r="X51" s="5">
        <f t="shared" ref="X51:AG51" si="46">AVERAGE(X32:X50)</f>
        <v>2.6473684210526329</v>
      </c>
      <c r="Y51" s="5">
        <f t="shared" si="46"/>
        <v>3.5421052631578953</v>
      </c>
      <c r="Z51" s="5">
        <f t="shared" si="46"/>
        <v>4.6529411764705877</v>
      </c>
      <c r="AA51" s="5">
        <f t="shared" si="46"/>
        <v>5.1714285714285717</v>
      </c>
      <c r="AB51" s="5">
        <f t="shared" si="46"/>
        <v>5.6714285714285717</v>
      </c>
      <c r="AC51" s="5">
        <f t="shared" si="46"/>
        <v>5.9285714285714297</v>
      </c>
      <c r="AD51" s="5">
        <f t="shared" si="46"/>
        <v>6.8000000000000016</v>
      </c>
      <c r="AE51" s="5">
        <f t="shared" si="46"/>
        <v>7.3428571428571434</v>
      </c>
      <c r="AF51" s="5">
        <f t="shared" si="46"/>
        <v>7.8857142857142861</v>
      </c>
      <c r="AG51" s="5">
        <f t="shared" si="46"/>
        <v>7.7142857142857162</v>
      </c>
      <c r="AH51" s="5">
        <f>AVERAGE(AH32:AH50)</f>
        <v>8.3428571428571434</v>
      </c>
    </row>
    <row r="52" spans="2:34">
      <c r="C52" s="11" t="s">
        <v>5</v>
      </c>
      <c r="D52" s="12">
        <f>STDEV(D32:D50)/SQRT(COUNT(D32:D50))</f>
        <v>0.5947983893446035</v>
      </c>
      <c r="E52" s="12">
        <f t="shared" ref="E52:R52" si="47">STDEV(E32:E50)/SQRT(COUNT(E32:E50))</f>
        <v>0.43776763787504747</v>
      </c>
      <c r="F52" s="12">
        <f t="shared" si="47"/>
        <v>0.39870133906424493</v>
      </c>
      <c r="G52" s="12">
        <f t="shared" si="47"/>
        <v>0.37740100342999378</v>
      </c>
      <c r="H52" s="12">
        <f t="shared" si="47"/>
        <v>0.38083108806424365</v>
      </c>
      <c r="I52" s="12">
        <f t="shared" si="47"/>
        <v>0.41870324075239607</v>
      </c>
      <c r="J52" s="12">
        <f t="shared" si="47"/>
        <v>0.46629938999238085</v>
      </c>
      <c r="K52" s="12">
        <f t="shared" si="47"/>
        <v>0.71595044103178329</v>
      </c>
      <c r="L52" s="12">
        <f t="shared" si="47"/>
        <v>0.79445356225838248</v>
      </c>
      <c r="M52" s="12">
        <f t="shared" si="47"/>
        <v>0.94383066623765333</v>
      </c>
      <c r="N52" s="12">
        <f t="shared" si="47"/>
        <v>0.9377930381021844</v>
      </c>
      <c r="O52" s="12">
        <f t="shared" si="47"/>
        <v>0.96841268540416237</v>
      </c>
      <c r="P52" s="12">
        <f t="shared" si="47"/>
        <v>0.88579108730001088</v>
      </c>
      <c r="Q52" s="12">
        <f t="shared" si="47"/>
        <v>0.84455035736328332</v>
      </c>
      <c r="R52" s="12">
        <f t="shared" si="47"/>
        <v>1.1873196246826139</v>
      </c>
      <c r="U52" s="44" t="s">
        <v>5</v>
      </c>
      <c r="V52" s="5">
        <f>STDEV(V32:V50)/SQRT(COUNT(V32:V50))</f>
        <v>0</v>
      </c>
      <c r="W52" s="5">
        <f t="shared" ref="W52:AG52" si="48">STDEV(W32:W50)/SQRT(COUNT(W32:W50))</f>
        <v>0.15750439078921707</v>
      </c>
      <c r="X52" s="5">
        <f t="shared" si="48"/>
        <v>0.23462903668744572</v>
      </c>
      <c r="Y52" s="5">
        <f t="shared" si="48"/>
        <v>0.35304157016082249</v>
      </c>
      <c r="Z52" s="5">
        <f t="shared" si="48"/>
        <v>0.35273278161366572</v>
      </c>
      <c r="AA52" s="5">
        <f t="shared" si="48"/>
        <v>0.28006316100062084</v>
      </c>
      <c r="AB52" s="5">
        <f t="shared" si="48"/>
        <v>0.2867837128554957</v>
      </c>
      <c r="AC52" s="5">
        <f t="shared" si="48"/>
        <v>0.41040878907457495</v>
      </c>
      <c r="AD52" s="5">
        <f t="shared" si="48"/>
        <v>0.39761191895519982</v>
      </c>
      <c r="AE52" s="5">
        <f t="shared" si="48"/>
        <v>0.42642318733141027</v>
      </c>
      <c r="AF52" s="5">
        <f t="shared" si="48"/>
        <v>0.41313469003321762</v>
      </c>
      <c r="AG52" s="5">
        <f t="shared" si="48"/>
        <v>0.4500944723206497</v>
      </c>
      <c r="AH52" s="5">
        <f>STDEV(AH32:AH50)/SQRT(COUNT(AH32:AH50))</f>
        <v>0.72435756194784262</v>
      </c>
    </row>
    <row r="54" spans="2:34">
      <c r="C54" s="3" t="s">
        <v>161</v>
      </c>
      <c r="D54" s="3" t="s">
        <v>177</v>
      </c>
      <c r="E54" s="3">
        <v>0.58548626661710401</v>
      </c>
      <c r="F54" s="3">
        <v>0.75920750567475603</v>
      </c>
      <c r="G54" s="3">
        <v>0.71980488850493762</v>
      </c>
      <c r="H54" s="3">
        <v>0.61216855546984317</v>
      </c>
      <c r="I54" s="3">
        <v>0.70818213004590591</v>
      </c>
      <c r="J54" s="3">
        <v>0.18477982406559179</v>
      </c>
      <c r="K54" s="3">
        <v>0.73348296754909592</v>
      </c>
      <c r="L54" s="3">
        <v>0.6192817180242236</v>
      </c>
      <c r="M54" s="3">
        <v>0.64243420164327558</v>
      </c>
      <c r="N54" s="3">
        <v>0.61602716970699167</v>
      </c>
      <c r="O54" s="3">
        <v>0.51926875540482031</v>
      </c>
      <c r="P54" s="3">
        <v>0.38274014292060354</v>
      </c>
      <c r="Q54" s="3">
        <v>0.96813961524040293</v>
      </c>
      <c r="R54" s="3">
        <v>0.66851545967055737</v>
      </c>
      <c r="U54" s="3" t="s">
        <v>161</v>
      </c>
      <c r="W54" s="3" t="s">
        <v>179</v>
      </c>
      <c r="X54" s="3">
        <v>0.60426463300234534</v>
      </c>
      <c r="Y54" s="3">
        <v>0.86674663003280683</v>
      </c>
      <c r="Z54" s="3">
        <v>0.22581925222136326</v>
      </c>
      <c r="AA54" s="3">
        <v>8.8044965588878948E-2</v>
      </c>
      <c r="AB54" s="3">
        <v>8.0363791564072834E-2</v>
      </c>
      <c r="AC54" s="3">
        <v>0.14332782207156319</v>
      </c>
      <c r="AD54" s="3">
        <v>0.20374866002941003</v>
      </c>
      <c r="AE54" s="3">
        <v>0.15050886925558141</v>
      </c>
      <c r="AF54" s="3">
        <v>3.2351307129624141E-2</v>
      </c>
      <c r="AG54" s="3">
        <v>0.64340461150757688</v>
      </c>
      <c r="AH54" s="3">
        <v>0.15233216870069008</v>
      </c>
    </row>
    <row r="57" spans="2:34" ht="16" customHeight="1">
      <c r="F57" s="4" t="s">
        <v>6</v>
      </c>
      <c r="R57" s="14"/>
    </row>
    <row r="58" spans="2:34">
      <c r="D58" s="5">
        <v>4</v>
      </c>
      <c r="E58" s="6">
        <v>5</v>
      </c>
      <c r="F58" s="7">
        <v>6</v>
      </c>
      <c r="G58" s="7">
        <v>7</v>
      </c>
      <c r="H58" s="7">
        <v>8</v>
      </c>
      <c r="I58" s="7">
        <v>9</v>
      </c>
      <c r="J58" s="7">
        <v>10</v>
      </c>
      <c r="K58" s="7">
        <v>11</v>
      </c>
      <c r="L58" s="7">
        <v>12</v>
      </c>
      <c r="M58" s="7">
        <v>13</v>
      </c>
      <c r="N58" s="7">
        <v>14</v>
      </c>
      <c r="O58" s="8">
        <v>15</v>
      </c>
      <c r="P58" s="8">
        <v>16</v>
      </c>
      <c r="Q58" s="8">
        <v>17</v>
      </c>
      <c r="R58" s="8">
        <v>18</v>
      </c>
      <c r="V58" s="25">
        <v>6</v>
      </c>
      <c r="W58" s="25">
        <v>7</v>
      </c>
      <c r="X58" s="25">
        <v>8</v>
      </c>
      <c r="Y58" s="25">
        <v>9</v>
      </c>
      <c r="Z58" s="25">
        <v>10</v>
      </c>
      <c r="AA58" s="25">
        <v>11</v>
      </c>
      <c r="AB58" s="25">
        <v>12</v>
      </c>
      <c r="AC58" s="25">
        <v>13</v>
      </c>
      <c r="AD58" s="25">
        <v>14</v>
      </c>
      <c r="AE58" s="25">
        <v>15</v>
      </c>
      <c r="AF58" s="25">
        <v>16</v>
      </c>
      <c r="AG58" s="25">
        <v>17</v>
      </c>
      <c r="AH58" s="25">
        <v>18</v>
      </c>
    </row>
    <row r="59" spans="2:34" ht="34" customHeight="1">
      <c r="B59" s="9">
        <v>893</v>
      </c>
      <c r="C59" s="10" t="s">
        <v>3</v>
      </c>
      <c r="D59" s="3">
        <v>14.5</v>
      </c>
      <c r="E59" s="3">
        <v>18.7</v>
      </c>
      <c r="F59" s="3">
        <v>20.8</v>
      </c>
      <c r="G59" s="3">
        <v>24.4</v>
      </c>
      <c r="H59" s="3">
        <v>26.9</v>
      </c>
      <c r="I59" s="3">
        <v>28.7</v>
      </c>
      <c r="J59" s="3">
        <v>30</v>
      </c>
      <c r="K59" s="3">
        <v>31.9</v>
      </c>
      <c r="L59" s="3">
        <v>33.200000000000003</v>
      </c>
      <c r="M59" s="3">
        <v>34.299999999999997</v>
      </c>
      <c r="N59" s="3">
        <v>35.5</v>
      </c>
      <c r="O59" s="3">
        <v>35.799999999999997</v>
      </c>
      <c r="P59" s="3">
        <v>37.700000000000003</v>
      </c>
      <c r="Q59" s="3">
        <v>39.200000000000003</v>
      </c>
      <c r="R59" s="3">
        <v>40.700000000000003</v>
      </c>
      <c r="U59" s="61" t="s">
        <v>126</v>
      </c>
      <c r="V59" s="42">
        <v>0</v>
      </c>
      <c r="W59" s="5">
        <f t="shared" ref="W59:AH59" si="49">G59-20.8</f>
        <v>3.5999999999999979</v>
      </c>
      <c r="X59" s="5">
        <f t="shared" si="49"/>
        <v>6.0999999999999979</v>
      </c>
      <c r="Y59" s="5">
        <f t="shared" si="49"/>
        <v>7.8999999999999986</v>
      </c>
      <c r="Z59" s="5">
        <f t="shared" si="49"/>
        <v>9.1999999999999993</v>
      </c>
      <c r="AA59" s="5">
        <f t="shared" si="49"/>
        <v>11.099999999999998</v>
      </c>
      <c r="AB59" s="5">
        <f t="shared" si="49"/>
        <v>12.400000000000002</v>
      </c>
      <c r="AC59" s="5">
        <f t="shared" si="49"/>
        <v>13.499999999999996</v>
      </c>
      <c r="AD59" s="5">
        <f t="shared" si="49"/>
        <v>14.7</v>
      </c>
      <c r="AE59" s="5">
        <f t="shared" si="49"/>
        <v>14.999999999999996</v>
      </c>
      <c r="AF59" s="5">
        <f t="shared" si="49"/>
        <v>16.900000000000002</v>
      </c>
      <c r="AG59" s="5">
        <f t="shared" si="49"/>
        <v>18.400000000000002</v>
      </c>
      <c r="AH59" s="5">
        <f t="shared" si="49"/>
        <v>19.900000000000002</v>
      </c>
    </row>
    <row r="60" spans="2:34">
      <c r="B60" s="9">
        <v>894</v>
      </c>
      <c r="C60" s="10" t="s">
        <v>3</v>
      </c>
      <c r="D60" s="3">
        <v>15.5</v>
      </c>
      <c r="E60" s="3">
        <v>18</v>
      </c>
      <c r="F60" s="3">
        <v>20.100000000000001</v>
      </c>
      <c r="G60" s="3">
        <v>24.8</v>
      </c>
      <c r="H60" s="3">
        <v>27.6</v>
      </c>
      <c r="I60" s="3">
        <v>29.7</v>
      </c>
      <c r="J60" s="3">
        <v>31.4</v>
      </c>
      <c r="K60" s="3">
        <v>35</v>
      </c>
      <c r="L60" s="3">
        <v>36</v>
      </c>
      <c r="M60" s="3">
        <v>37.299999999999997</v>
      </c>
      <c r="N60" s="3">
        <v>38.4</v>
      </c>
      <c r="O60" s="3">
        <v>37.5</v>
      </c>
      <c r="P60" s="3">
        <v>38.6</v>
      </c>
      <c r="Q60" s="3">
        <v>39.9</v>
      </c>
      <c r="R60" s="3">
        <v>41.5</v>
      </c>
      <c r="U60" s="62"/>
      <c r="V60" s="42">
        <v>0</v>
      </c>
      <c r="W60" s="5">
        <f t="shared" ref="W60:AH60" si="50">G60-20.1</f>
        <v>4.6999999999999993</v>
      </c>
      <c r="X60" s="5">
        <f t="shared" si="50"/>
        <v>7.5</v>
      </c>
      <c r="Y60" s="5">
        <f t="shared" si="50"/>
        <v>9.5999999999999979</v>
      </c>
      <c r="Z60" s="5">
        <f t="shared" si="50"/>
        <v>11.299999999999997</v>
      </c>
      <c r="AA60" s="5">
        <f t="shared" si="50"/>
        <v>14.899999999999999</v>
      </c>
      <c r="AB60" s="5">
        <f t="shared" si="50"/>
        <v>15.899999999999999</v>
      </c>
      <c r="AC60" s="5">
        <f t="shared" si="50"/>
        <v>17.199999999999996</v>
      </c>
      <c r="AD60" s="5">
        <f t="shared" si="50"/>
        <v>18.299999999999997</v>
      </c>
      <c r="AE60" s="5">
        <f t="shared" si="50"/>
        <v>17.399999999999999</v>
      </c>
      <c r="AF60" s="5">
        <f t="shared" si="50"/>
        <v>18.5</v>
      </c>
      <c r="AG60" s="5">
        <f t="shared" si="50"/>
        <v>19.799999999999997</v>
      </c>
      <c r="AH60" s="5">
        <f t="shared" si="50"/>
        <v>21.4</v>
      </c>
    </row>
    <row r="61" spans="2:34">
      <c r="B61" s="9">
        <v>903</v>
      </c>
      <c r="C61" s="10" t="s">
        <v>3</v>
      </c>
      <c r="D61" s="3">
        <v>15.7</v>
      </c>
      <c r="E61" s="3">
        <v>18.3</v>
      </c>
      <c r="F61" s="3">
        <v>19.899999999999999</v>
      </c>
      <c r="G61" s="3">
        <v>21.7</v>
      </c>
      <c r="H61" s="3">
        <v>23.2</v>
      </c>
      <c r="I61" s="3">
        <v>24.5</v>
      </c>
      <c r="J61" s="3">
        <v>25.7</v>
      </c>
      <c r="K61" s="3">
        <v>27.2</v>
      </c>
      <c r="L61" s="3">
        <v>27.9</v>
      </c>
      <c r="M61" s="3">
        <v>29</v>
      </c>
      <c r="N61" s="3">
        <v>30.9</v>
      </c>
      <c r="O61" s="3">
        <v>31.5</v>
      </c>
      <c r="P61" s="3">
        <v>32.299999999999997</v>
      </c>
      <c r="Q61" s="3">
        <v>33.1</v>
      </c>
      <c r="R61" s="3">
        <v>34.4</v>
      </c>
      <c r="U61" s="62"/>
      <c r="V61" s="42">
        <f t="shared" ref="V61:AH61" si="51">F61-19.9</f>
        <v>0</v>
      </c>
      <c r="W61" s="5">
        <f t="shared" si="51"/>
        <v>1.8000000000000007</v>
      </c>
      <c r="X61" s="5">
        <f t="shared" si="51"/>
        <v>3.3000000000000007</v>
      </c>
      <c r="Y61" s="5">
        <f t="shared" si="51"/>
        <v>4.6000000000000014</v>
      </c>
      <c r="Z61" s="5">
        <f t="shared" si="51"/>
        <v>5.8000000000000007</v>
      </c>
      <c r="AA61" s="5">
        <f t="shared" si="51"/>
        <v>7.3000000000000007</v>
      </c>
      <c r="AB61" s="5">
        <f t="shared" si="51"/>
        <v>8</v>
      </c>
      <c r="AC61" s="5">
        <f t="shared" si="51"/>
        <v>9.1000000000000014</v>
      </c>
      <c r="AD61" s="5">
        <f t="shared" si="51"/>
        <v>11</v>
      </c>
      <c r="AE61" s="5">
        <f t="shared" si="51"/>
        <v>11.600000000000001</v>
      </c>
      <c r="AF61" s="5">
        <f t="shared" si="51"/>
        <v>12.399999999999999</v>
      </c>
      <c r="AG61" s="5">
        <f t="shared" si="51"/>
        <v>13.200000000000003</v>
      </c>
      <c r="AH61" s="5">
        <f t="shared" si="51"/>
        <v>14.5</v>
      </c>
    </row>
    <row r="62" spans="2:34">
      <c r="B62" s="9">
        <v>8</v>
      </c>
      <c r="C62" s="10" t="s">
        <v>3</v>
      </c>
      <c r="D62" s="3">
        <v>17.3</v>
      </c>
      <c r="E62" s="3">
        <v>20.399999999999999</v>
      </c>
      <c r="F62" s="3">
        <v>22</v>
      </c>
      <c r="G62" s="3">
        <v>23.6</v>
      </c>
      <c r="H62" s="3">
        <v>27.3</v>
      </c>
      <c r="I62" s="3">
        <v>29.7</v>
      </c>
      <c r="J62" s="3">
        <v>32.1</v>
      </c>
      <c r="K62" s="3">
        <v>34.1</v>
      </c>
      <c r="L62" s="3">
        <v>35.799999999999997</v>
      </c>
      <c r="M62" s="3">
        <v>38.4</v>
      </c>
      <c r="N62" s="3">
        <v>40.5</v>
      </c>
      <c r="O62" s="3">
        <v>41</v>
      </c>
      <c r="P62" s="3">
        <v>42.6</v>
      </c>
      <c r="Q62" s="3">
        <v>45.4</v>
      </c>
      <c r="R62" s="3">
        <v>46.1</v>
      </c>
      <c r="U62" s="62"/>
      <c r="V62" s="42">
        <f t="shared" ref="V62:AH62" si="52">F62-22</f>
        <v>0</v>
      </c>
      <c r="W62" s="5">
        <f t="shared" si="52"/>
        <v>1.6000000000000014</v>
      </c>
      <c r="X62" s="5">
        <f t="shared" si="52"/>
        <v>5.3000000000000007</v>
      </c>
      <c r="Y62" s="5">
        <f t="shared" si="52"/>
        <v>7.6999999999999993</v>
      </c>
      <c r="Z62" s="5">
        <f t="shared" si="52"/>
        <v>10.100000000000001</v>
      </c>
      <c r="AA62" s="5">
        <f t="shared" si="52"/>
        <v>12.100000000000001</v>
      </c>
      <c r="AB62" s="5">
        <f t="shared" si="52"/>
        <v>13.799999999999997</v>
      </c>
      <c r="AC62" s="5">
        <f t="shared" si="52"/>
        <v>16.399999999999999</v>
      </c>
      <c r="AD62" s="5">
        <f t="shared" si="52"/>
        <v>18.5</v>
      </c>
      <c r="AE62" s="5">
        <f t="shared" si="52"/>
        <v>19</v>
      </c>
      <c r="AF62" s="5">
        <f t="shared" si="52"/>
        <v>20.6</v>
      </c>
      <c r="AG62" s="5">
        <f t="shared" si="52"/>
        <v>23.4</v>
      </c>
      <c r="AH62" s="5">
        <f t="shared" si="52"/>
        <v>24.1</v>
      </c>
    </row>
    <row r="63" spans="2:34">
      <c r="B63" s="9">
        <v>11</v>
      </c>
      <c r="C63" s="10" t="s">
        <v>3</v>
      </c>
      <c r="D63" s="3">
        <v>18.100000000000001</v>
      </c>
      <c r="E63" s="3">
        <v>20.6</v>
      </c>
      <c r="F63" s="3">
        <v>22.4</v>
      </c>
      <c r="G63" s="3">
        <v>24.2</v>
      </c>
      <c r="H63" s="3">
        <v>26.7</v>
      </c>
      <c r="I63" s="3">
        <v>30.1</v>
      </c>
      <c r="J63" s="3">
        <v>32.4</v>
      </c>
      <c r="K63" s="3">
        <v>34.4</v>
      </c>
      <c r="L63" s="3">
        <v>36.299999999999997</v>
      </c>
      <c r="M63" s="3">
        <v>38.5</v>
      </c>
      <c r="N63" s="3">
        <v>39</v>
      </c>
      <c r="O63" s="3">
        <v>40.5</v>
      </c>
      <c r="P63" s="3">
        <v>41.3</v>
      </c>
      <c r="Q63" s="3">
        <v>43.8</v>
      </c>
      <c r="R63" s="3">
        <v>44.1</v>
      </c>
      <c r="U63" s="62"/>
      <c r="V63" s="42">
        <f t="shared" ref="V63:AH63" si="53">F63-22.4</f>
        <v>0</v>
      </c>
      <c r="W63" s="5">
        <f t="shared" si="53"/>
        <v>1.8000000000000007</v>
      </c>
      <c r="X63" s="5">
        <f t="shared" si="53"/>
        <v>4.3000000000000007</v>
      </c>
      <c r="Y63" s="5">
        <f t="shared" si="53"/>
        <v>7.7000000000000028</v>
      </c>
      <c r="Z63" s="5">
        <f t="shared" si="53"/>
        <v>10</v>
      </c>
      <c r="AA63" s="5">
        <f t="shared" si="53"/>
        <v>12</v>
      </c>
      <c r="AB63" s="5">
        <f t="shared" si="53"/>
        <v>13.899999999999999</v>
      </c>
      <c r="AC63" s="5">
        <f t="shared" si="53"/>
        <v>16.100000000000001</v>
      </c>
      <c r="AD63" s="5">
        <f t="shared" si="53"/>
        <v>16.600000000000001</v>
      </c>
      <c r="AE63" s="5">
        <f t="shared" si="53"/>
        <v>18.100000000000001</v>
      </c>
      <c r="AF63" s="5">
        <f t="shared" si="53"/>
        <v>18.899999999999999</v>
      </c>
      <c r="AG63" s="5">
        <f t="shared" si="53"/>
        <v>21.4</v>
      </c>
      <c r="AH63" s="5">
        <f t="shared" si="53"/>
        <v>21.700000000000003</v>
      </c>
    </row>
    <row r="64" spans="2:34">
      <c r="B64" s="9">
        <v>318</v>
      </c>
      <c r="C64" s="10" t="s">
        <v>3</v>
      </c>
      <c r="D64" s="3">
        <v>16.100000000000001</v>
      </c>
      <c r="E64" s="3">
        <v>20.6</v>
      </c>
      <c r="F64" s="3">
        <v>20.9</v>
      </c>
      <c r="G64" s="3">
        <v>23.1</v>
      </c>
      <c r="H64" s="3">
        <v>24.7</v>
      </c>
      <c r="I64" s="3">
        <v>26.2</v>
      </c>
      <c r="J64" s="3">
        <v>28</v>
      </c>
      <c r="K64" s="3">
        <v>29.3</v>
      </c>
      <c r="L64" s="3">
        <v>29.9</v>
      </c>
      <c r="M64" s="3">
        <v>31.7</v>
      </c>
      <c r="N64" s="3">
        <v>33.1</v>
      </c>
      <c r="O64" s="3">
        <v>35.1</v>
      </c>
      <c r="P64" s="3">
        <v>36.6</v>
      </c>
      <c r="Q64" s="3">
        <v>38.1</v>
      </c>
      <c r="R64" s="3">
        <v>39.200000000000003</v>
      </c>
      <c r="U64" s="62"/>
      <c r="V64" s="42">
        <f t="shared" ref="V64:AH64" si="54">F64-20.9</f>
        <v>0</v>
      </c>
      <c r="W64" s="5">
        <f t="shared" si="54"/>
        <v>2.2000000000000028</v>
      </c>
      <c r="X64" s="5">
        <f t="shared" si="54"/>
        <v>3.8000000000000007</v>
      </c>
      <c r="Y64" s="5">
        <f t="shared" si="54"/>
        <v>5.3000000000000007</v>
      </c>
      <c r="Z64" s="5">
        <f t="shared" si="54"/>
        <v>7.1000000000000014</v>
      </c>
      <c r="AA64" s="5">
        <f t="shared" si="54"/>
        <v>8.4000000000000021</v>
      </c>
      <c r="AB64" s="5">
        <f t="shared" si="54"/>
        <v>9</v>
      </c>
      <c r="AC64" s="5">
        <f t="shared" si="54"/>
        <v>10.8</v>
      </c>
      <c r="AD64" s="5">
        <f t="shared" si="54"/>
        <v>12.200000000000003</v>
      </c>
      <c r="AE64" s="5">
        <f t="shared" si="54"/>
        <v>14.200000000000003</v>
      </c>
      <c r="AF64" s="5">
        <f t="shared" si="54"/>
        <v>15.700000000000003</v>
      </c>
      <c r="AG64" s="5">
        <f t="shared" si="54"/>
        <v>17.200000000000003</v>
      </c>
      <c r="AH64" s="5">
        <f t="shared" si="54"/>
        <v>18.300000000000004</v>
      </c>
    </row>
    <row r="65" spans="2:34">
      <c r="B65" s="9">
        <v>353</v>
      </c>
      <c r="C65" s="10" t="s">
        <v>3</v>
      </c>
      <c r="D65" s="3">
        <v>22.8</v>
      </c>
      <c r="E65" s="3">
        <v>23</v>
      </c>
      <c r="F65" s="3">
        <v>23.9</v>
      </c>
      <c r="G65" s="3">
        <v>29.1</v>
      </c>
      <c r="H65" s="3">
        <v>31.4</v>
      </c>
      <c r="I65" s="3">
        <v>33.799999999999997</v>
      </c>
      <c r="J65" s="3">
        <v>35.299999999999997</v>
      </c>
      <c r="K65" s="3">
        <v>36.299999999999997</v>
      </c>
      <c r="L65" s="3">
        <v>37.5</v>
      </c>
      <c r="M65" s="3">
        <v>37.700000000000003</v>
      </c>
      <c r="N65" s="3">
        <v>40.1</v>
      </c>
      <c r="O65" s="3">
        <v>40.9</v>
      </c>
      <c r="P65" s="3">
        <v>41.9</v>
      </c>
      <c r="Q65" s="3">
        <v>43.1</v>
      </c>
      <c r="R65" s="3">
        <v>42.6</v>
      </c>
      <c r="U65" s="62"/>
      <c r="V65" s="42">
        <f t="shared" ref="V65:AH65" si="55">F65-23.9</f>
        <v>0</v>
      </c>
      <c r="W65" s="5">
        <f t="shared" si="55"/>
        <v>5.2000000000000028</v>
      </c>
      <c r="X65" s="5">
        <f t="shared" si="55"/>
        <v>7.5</v>
      </c>
      <c r="Y65" s="5">
        <f t="shared" si="55"/>
        <v>9.8999999999999986</v>
      </c>
      <c r="Z65" s="5">
        <f t="shared" si="55"/>
        <v>11.399999999999999</v>
      </c>
      <c r="AA65" s="5">
        <f t="shared" si="55"/>
        <v>12.399999999999999</v>
      </c>
      <c r="AB65" s="5">
        <f t="shared" si="55"/>
        <v>13.600000000000001</v>
      </c>
      <c r="AC65" s="5">
        <f t="shared" si="55"/>
        <v>13.800000000000004</v>
      </c>
      <c r="AD65" s="5">
        <f t="shared" si="55"/>
        <v>16.200000000000003</v>
      </c>
      <c r="AE65" s="5">
        <f t="shared" si="55"/>
        <v>17</v>
      </c>
      <c r="AF65" s="5">
        <f t="shared" si="55"/>
        <v>18</v>
      </c>
      <c r="AG65" s="5">
        <f t="shared" si="55"/>
        <v>19.200000000000003</v>
      </c>
      <c r="AH65" s="5">
        <f t="shared" si="55"/>
        <v>18.700000000000003</v>
      </c>
    </row>
    <row r="66" spans="2:34">
      <c r="B66" s="9">
        <v>355</v>
      </c>
      <c r="C66" s="10" t="s">
        <v>3</v>
      </c>
      <c r="D66" s="3">
        <v>22.2</v>
      </c>
      <c r="E66" s="3">
        <v>22.5</v>
      </c>
      <c r="F66" s="3">
        <v>23</v>
      </c>
      <c r="G66" s="3">
        <v>24.8</v>
      </c>
      <c r="H66" s="3">
        <v>27.7</v>
      </c>
      <c r="I66" s="3">
        <v>30.7</v>
      </c>
      <c r="J66" s="3">
        <v>32.9</v>
      </c>
      <c r="K66" s="3">
        <v>36.1</v>
      </c>
      <c r="L66" s="3">
        <v>39.4</v>
      </c>
      <c r="M66" s="3">
        <v>39.6</v>
      </c>
      <c r="N66" s="3">
        <v>42.1</v>
      </c>
      <c r="O66" s="3">
        <v>42.7</v>
      </c>
      <c r="P66" s="3">
        <v>44.1</v>
      </c>
      <c r="Q66" s="3">
        <v>44</v>
      </c>
      <c r="R66" s="3">
        <v>43.3</v>
      </c>
      <c r="U66" s="62"/>
      <c r="V66" s="42">
        <f t="shared" ref="V66:AH66" si="56">F66-23</f>
        <v>0</v>
      </c>
      <c r="W66" s="5">
        <f t="shared" si="56"/>
        <v>1.8000000000000007</v>
      </c>
      <c r="X66" s="5">
        <f t="shared" si="56"/>
        <v>4.6999999999999993</v>
      </c>
      <c r="Y66" s="5">
        <f t="shared" si="56"/>
        <v>7.6999999999999993</v>
      </c>
      <c r="Z66" s="5">
        <f t="shared" si="56"/>
        <v>9.8999999999999986</v>
      </c>
      <c r="AA66" s="5">
        <f t="shared" si="56"/>
        <v>13.100000000000001</v>
      </c>
      <c r="AB66" s="5">
        <f t="shared" si="56"/>
        <v>16.399999999999999</v>
      </c>
      <c r="AC66" s="5">
        <f t="shared" si="56"/>
        <v>16.600000000000001</v>
      </c>
      <c r="AD66" s="5">
        <f t="shared" si="56"/>
        <v>19.100000000000001</v>
      </c>
      <c r="AE66" s="5">
        <f t="shared" si="56"/>
        <v>19.700000000000003</v>
      </c>
      <c r="AF66" s="5">
        <f t="shared" si="56"/>
        <v>21.1</v>
      </c>
      <c r="AG66" s="5">
        <f t="shared" si="56"/>
        <v>21</v>
      </c>
      <c r="AH66" s="5">
        <f t="shared" si="56"/>
        <v>20.299999999999997</v>
      </c>
    </row>
    <row r="67" spans="2:34">
      <c r="B67" s="9">
        <v>359</v>
      </c>
      <c r="C67" s="10" t="s">
        <v>3</v>
      </c>
      <c r="D67" s="3">
        <v>17</v>
      </c>
      <c r="E67" s="3">
        <v>20.5</v>
      </c>
      <c r="F67" s="3">
        <v>22.3</v>
      </c>
      <c r="G67" s="3">
        <v>24.5</v>
      </c>
      <c r="H67" s="3">
        <v>26.8</v>
      </c>
      <c r="I67" s="3">
        <v>29.9</v>
      </c>
      <c r="J67" s="3">
        <v>32.200000000000003</v>
      </c>
      <c r="K67" s="3">
        <v>33.700000000000003</v>
      </c>
      <c r="L67" s="3">
        <v>35.299999999999997</v>
      </c>
      <c r="M67" s="3">
        <v>34.299999999999997</v>
      </c>
      <c r="N67" s="3">
        <v>36.6</v>
      </c>
      <c r="O67" s="3">
        <v>38</v>
      </c>
      <c r="P67" s="3">
        <v>38.9</v>
      </c>
      <c r="Q67" s="3">
        <v>40.1</v>
      </c>
      <c r="R67" s="3">
        <v>40.6</v>
      </c>
      <c r="U67" s="62"/>
      <c r="V67" s="42">
        <f t="shared" ref="V67:AH67" si="57">F67-22.3</f>
        <v>0</v>
      </c>
      <c r="W67" s="5">
        <f t="shared" si="57"/>
        <v>2.1999999999999993</v>
      </c>
      <c r="X67" s="5">
        <f t="shared" si="57"/>
        <v>4.5</v>
      </c>
      <c r="Y67" s="5">
        <f t="shared" si="57"/>
        <v>7.5999999999999979</v>
      </c>
      <c r="Z67" s="5">
        <f t="shared" si="57"/>
        <v>9.9000000000000021</v>
      </c>
      <c r="AA67" s="5">
        <f t="shared" si="57"/>
        <v>11.400000000000002</v>
      </c>
      <c r="AB67" s="5">
        <f t="shared" si="57"/>
        <v>12.999999999999996</v>
      </c>
      <c r="AC67" s="5">
        <f t="shared" si="57"/>
        <v>11.999999999999996</v>
      </c>
      <c r="AD67" s="5">
        <f t="shared" si="57"/>
        <v>14.3</v>
      </c>
      <c r="AE67" s="5">
        <f t="shared" si="57"/>
        <v>15.7</v>
      </c>
      <c r="AF67" s="5">
        <f t="shared" si="57"/>
        <v>16.599999999999998</v>
      </c>
      <c r="AG67" s="5">
        <f t="shared" si="57"/>
        <v>17.8</v>
      </c>
      <c r="AH67" s="5">
        <f t="shared" si="57"/>
        <v>18.3</v>
      </c>
    </row>
    <row r="68" spans="2:34">
      <c r="B68" s="9">
        <v>360</v>
      </c>
      <c r="C68" s="10" t="s">
        <v>3</v>
      </c>
      <c r="D68" s="3">
        <v>16.600000000000001</v>
      </c>
      <c r="E68" s="3">
        <v>19.100000000000001</v>
      </c>
      <c r="F68" s="3">
        <v>20.9</v>
      </c>
      <c r="G68" s="3">
        <v>22.7</v>
      </c>
      <c r="H68" s="3">
        <v>23.7</v>
      </c>
      <c r="I68" s="3">
        <v>25.9</v>
      </c>
      <c r="J68" s="3">
        <v>28.6</v>
      </c>
      <c r="K68" s="3">
        <v>31.9</v>
      </c>
      <c r="L68" s="3">
        <v>34.299999999999997</v>
      </c>
      <c r="M68" s="3">
        <v>30.3</v>
      </c>
      <c r="N68" s="3">
        <v>31.7</v>
      </c>
      <c r="O68" s="3">
        <v>33.1</v>
      </c>
      <c r="P68" s="3">
        <v>35.700000000000003</v>
      </c>
      <c r="Q68" s="3">
        <v>38.6</v>
      </c>
      <c r="R68" s="3">
        <v>40.799999999999997</v>
      </c>
      <c r="U68" s="62"/>
      <c r="V68" s="42">
        <f t="shared" ref="V68:AH68" si="58">F68-20.9</f>
        <v>0</v>
      </c>
      <c r="W68" s="5">
        <f t="shared" si="58"/>
        <v>1.8000000000000007</v>
      </c>
      <c r="X68" s="5">
        <f t="shared" si="58"/>
        <v>2.8000000000000007</v>
      </c>
      <c r="Y68" s="5">
        <f t="shared" si="58"/>
        <v>5</v>
      </c>
      <c r="Z68" s="5">
        <f t="shared" si="58"/>
        <v>7.7000000000000028</v>
      </c>
      <c r="AA68" s="5">
        <f t="shared" si="58"/>
        <v>11</v>
      </c>
      <c r="AB68" s="5">
        <f t="shared" si="58"/>
        <v>13.399999999999999</v>
      </c>
      <c r="AC68" s="5">
        <f t="shared" si="58"/>
        <v>9.4000000000000021</v>
      </c>
      <c r="AD68" s="5">
        <f t="shared" si="58"/>
        <v>10.8</v>
      </c>
      <c r="AE68" s="5">
        <f t="shared" si="58"/>
        <v>12.200000000000003</v>
      </c>
      <c r="AF68" s="5">
        <f t="shared" si="58"/>
        <v>14.800000000000004</v>
      </c>
      <c r="AG68" s="5">
        <f t="shared" si="58"/>
        <v>17.700000000000003</v>
      </c>
      <c r="AH68" s="5">
        <f t="shared" si="58"/>
        <v>19.899999999999999</v>
      </c>
    </row>
    <row r="69" spans="2:34">
      <c r="B69" s="9">
        <v>365</v>
      </c>
      <c r="C69" s="10" t="s">
        <v>3</v>
      </c>
      <c r="D69" s="3">
        <v>15.1</v>
      </c>
      <c r="E69" s="3">
        <v>21.1</v>
      </c>
      <c r="F69" s="3">
        <v>23</v>
      </c>
      <c r="G69" s="3">
        <v>23.7</v>
      </c>
      <c r="H69" s="3">
        <v>25.9</v>
      </c>
      <c r="I69" s="3">
        <v>27.9</v>
      </c>
      <c r="J69" s="3">
        <v>28.5</v>
      </c>
      <c r="K69" s="3">
        <v>30.1</v>
      </c>
      <c r="L69" s="3">
        <v>29.9</v>
      </c>
      <c r="M69" s="3">
        <v>31.4</v>
      </c>
      <c r="N69" s="3">
        <v>31.9</v>
      </c>
      <c r="O69" s="3">
        <v>31.7</v>
      </c>
      <c r="P69" s="3">
        <v>32.6</v>
      </c>
      <c r="Q69" s="3">
        <v>33.200000000000003</v>
      </c>
      <c r="R69" s="3">
        <v>34.700000000000003</v>
      </c>
      <c r="U69" s="62"/>
      <c r="V69" s="42">
        <f t="shared" ref="V69:AH69" si="59">F69-23</f>
        <v>0</v>
      </c>
      <c r="W69" s="5">
        <f t="shared" si="59"/>
        <v>0.69999999999999929</v>
      </c>
      <c r="X69" s="5">
        <f t="shared" si="59"/>
        <v>2.8999999999999986</v>
      </c>
      <c r="Y69" s="5">
        <f t="shared" si="59"/>
        <v>4.8999999999999986</v>
      </c>
      <c r="Z69" s="5">
        <f t="shared" si="59"/>
        <v>5.5</v>
      </c>
      <c r="AA69" s="5">
        <f t="shared" si="59"/>
        <v>7.1000000000000014</v>
      </c>
      <c r="AB69" s="5">
        <f t="shared" si="59"/>
        <v>6.8999999999999986</v>
      </c>
      <c r="AC69" s="5">
        <f t="shared" si="59"/>
        <v>8.3999999999999986</v>
      </c>
      <c r="AD69" s="5">
        <f t="shared" si="59"/>
        <v>8.8999999999999986</v>
      </c>
      <c r="AE69" s="5">
        <f t="shared" si="59"/>
        <v>8.6999999999999993</v>
      </c>
      <c r="AF69" s="5">
        <f t="shared" si="59"/>
        <v>9.6000000000000014</v>
      </c>
      <c r="AG69" s="5">
        <f t="shared" si="59"/>
        <v>10.200000000000003</v>
      </c>
      <c r="AH69" s="5">
        <f t="shared" si="59"/>
        <v>11.700000000000003</v>
      </c>
    </row>
    <row r="70" spans="2:34">
      <c r="B70" s="9">
        <v>451</v>
      </c>
      <c r="C70" s="10" t="s">
        <v>3</v>
      </c>
      <c r="D70" s="3">
        <v>16.600000000000001</v>
      </c>
      <c r="E70" s="3">
        <v>19</v>
      </c>
      <c r="F70" s="3">
        <v>21.3</v>
      </c>
      <c r="G70" s="3">
        <v>22.8</v>
      </c>
      <c r="H70" s="3">
        <v>24.8</v>
      </c>
      <c r="I70" s="3">
        <v>26.1</v>
      </c>
      <c r="J70" s="3">
        <v>27.3</v>
      </c>
      <c r="K70" s="3">
        <v>29.4</v>
      </c>
      <c r="L70" s="3">
        <v>31.8</v>
      </c>
      <c r="M70" s="3">
        <v>34.1</v>
      </c>
      <c r="N70" s="3">
        <v>35</v>
      </c>
      <c r="O70" s="3">
        <v>35.9</v>
      </c>
      <c r="P70" s="3">
        <v>36.5</v>
      </c>
      <c r="Q70" s="3">
        <v>36.700000000000003</v>
      </c>
      <c r="R70" s="3">
        <v>37.5</v>
      </c>
      <c r="U70" s="62"/>
      <c r="V70" s="42">
        <f t="shared" ref="V70:AH70" si="60">F70-21.3</f>
        <v>0</v>
      </c>
      <c r="W70" s="5">
        <f t="shared" si="60"/>
        <v>1.5</v>
      </c>
      <c r="X70" s="5">
        <f t="shared" si="60"/>
        <v>3.5</v>
      </c>
      <c r="Y70" s="5">
        <f t="shared" si="60"/>
        <v>4.8000000000000007</v>
      </c>
      <c r="Z70" s="5">
        <f t="shared" si="60"/>
        <v>6</v>
      </c>
      <c r="AA70" s="5">
        <f t="shared" si="60"/>
        <v>8.0999999999999979</v>
      </c>
      <c r="AB70" s="5">
        <f t="shared" si="60"/>
        <v>10.5</v>
      </c>
      <c r="AC70" s="5">
        <f t="shared" si="60"/>
        <v>12.8</v>
      </c>
      <c r="AD70" s="5">
        <f t="shared" si="60"/>
        <v>13.7</v>
      </c>
      <c r="AE70" s="5">
        <f t="shared" si="60"/>
        <v>14.599999999999998</v>
      </c>
      <c r="AF70" s="5">
        <f t="shared" si="60"/>
        <v>15.2</v>
      </c>
      <c r="AG70" s="5">
        <f t="shared" si="60"/>
        <v>15.400000000000002</v>
      </c>
      <c r="AH70" s="5">
        <f t="shared" si="60"/>
        <v>16.2</v>
      </c>
    </row>
    <row r="71" spans="2:34">
      <c r="B71" s="9">
        <v>452</v>
      </c>
      <c r="C71" s="10" t="s">
        <v>3</v>
      </c>
      <c r="D71" s="3">
        <v>18.2</v>
      </c>
      <c r="E71" s="3">
        <v>22.5</v>
      </c>
      <c r="F71" s="3">
        <v>24.2</v>
      </c>
      <c r="G71" s="3">
        <v>26.7</v>
      </c>
      <c r="H71" s="3">
        <v>28.4</v>
      </c>
      <c r="I71" s="3">
        <v>29.9</v>
      </c>
      <c r="J71" s="3">
        <v>31.4</v>
      </c>
      <c r="K71" s="3">
        <v>34.1</v>
      </c>
      <c r="L71" s="3">
        <v>36.799999999999997</v>
      </c>
      <c r="M71" s="3">
        <v>38.1</v>
      </c>
      <c r="N71" s="3">
        <v>39.4</v>
      </c>
      <c r="O71" s="3">
        <v>40.9</v>
      </c>
      <c r="P71" s="3">
        <v>42.2</v>
      </c>
      <c r="Q71" s="3">
        <v>43.1</v>
      </c>
      <c r="R71" s="3">
        <v>43.3</v>
      </c>
      <c r="U71" s="62"/>
      <c r="V71" s="42">
        <f t="shared" ref="V71:AH71" si="61">F71-24.2</f>
        <v>0</v>
      </c>
      <c r="W71" s="5">
        <f t="shared" si="61"/>
        <v>2.5</v>
      </c>
      <c r="X71" s="5">
        <f t="shared" si="61"/>
        <v>4.1999999999999993</v>
      </c>
      <c r="Y71" s="5">
        <f t="shared" si="61"/>
        <v>5.6999999999999993</v>
      </c>
      <c r="Z71" s="5">
        <f t="shared" si="61"/>
        <v>7.1999999999999993</v>
      </c>
      <c r="AA71" s="5">
        <f t="shared" si="61"/>
        <v>9.9000000000000021</v>
      </c>
      <c r="AB71" s="5">
        <f t="shared" si="61"/>
        <v>12.599999999999998</v>
      </c>
      <c r="AC71" s="5">
        <f t="shared" si="61"/>
        <v>13.900000000000002</v>
      </c>
      <c r="AD71" s="5">
        <f t="shared" si="61"/>
        <v>15.2</v>
      </c>
      <c r="AE71" s="5">
        <f t="shared" si="61"/>
        <v>16.7</v>
      </c>
      <c r="AF71" s="5">
        <f t="shared" si="61"/>
        <v>18.000000000000004</v>
      </c>
      <c r="AG71" s="5">
        <f t="shared" si="61"/>
        <v>18.900000000000002</v>
      </c>
      <c r="AH71" s="5">
        <f t="shared" si="61"/>
        <v>19.099999999999998</v>
      </c>
    </row>
    <row r="72" spans="2:34">
      <c r="B72" s="9">
        <v>453</v>
      </c>
      <c r="C72" s="10" t="s">
        <v>3</v>
      </c>
      <c r="D72" s="3">
        <v>17.3</v>
      </c>
      <c r="E72" s="3">
        <v>19.899999999999999</v>
      </c>
      <c r="F72" s="3">
        <v>21.4</v>
      </c>
      <c r="G72" s="3">
        <v>21.9</v>
      </c>
      <c r="H72" s="3">
        <v>22.6</v>
      </c>
      <c r="I72" s="3">
        <v>23.2</v>
      </c>
      <c r="J72" s="3">
        <v>23.5</v>
      </c>
      <c r="K72" s="3">
        <v>24.8</v>
      </c>
      <c r="L72" s="3">
        <v>26.9</v>
      </c>
      <c r="M72" s="3">
        <v>28.3</v>
      </c>
      <c r="N72" s="3">
        <v>28.8</v>
      </c>
      <c r="O72" s="3">
        <v>30.2</v>
      </c>
      <c r="P72" s="3">
        <v>30.8</v>
      </c>
      <c r="Q72" s="3">
        <v>32.200000000000003</v>
      </c>
      <c r="R72" s="3">
        <v>33.1</v>
      </c>
      <c r="U72" s="62"/>
      <c r="V72" s="42">
        <f t="shared" ref="V72:AH72" si="62">F72-21.4</f>
        <v>0</v>
      </c>
      <c r="W72" s="5">
        <f t="shared" si="62"/>
        <v>0.5</v>
      </c>
      <c r="X72" s="5">
        <f t="shared" si="62"/>
        <v>1.2000000000000028</v>
      </c>
      <c r="Y72" s="5">
        <f t="shared" si="62"/>
        <v>1.8000000000000007</v>
      </c>
      <c r="Z72" s="5">
        <f t="shared" si="62"/>
        <v>2.1000000000000014</v>
      </c>
      <c r="AA72" s="5">
        <f t="shared" si="62"/>
        <v>3.4000000000000021</v>
      </c>
      <c r="AB72" s="5">
        <f t="shared" si="62"/>
        <v>5.5</v>
      </c>
      <c r="AC72" s="5">
        <f t="shared" si="62"/>
        <v>6.9000000000000021</v>
      </c>
      <c r="AD72" s="5">
        <f t="shared" si="62"/>
        <v>7.4000000000000021</v>
      </c>
      <c r="AE72" s="5">
        <f t="shared" si="62"/>
        <v>8.8000000000000007</v>
      </c>
      <c r="AF72" s="5">
        <f t="shared" si="62"/>
        <v>9.4000000000000021</v>
      </c>
      <c r="AG72" s="5">
        <f t="shared" si="62"/>
        <v>10.800000000000004</v>
      </c>
      <c r="AH72" s="5">
        <f t="shared" si="62"/>
        <v>11.700000000000003</v>
      </c>
    </row>
    <row r="73" spans="2:34">
      <c r="B73" s="9">
        <v>474</v>
      </c>
      <c r="C73" s="10" t="s">
        <v>3</v>
      </c>
      <c r="D73" s="3">
        <v>15.8</v>
      </c>
      <c r="E73" s="3">
        <v>20.5</v>
      </c>
      <c r="F73" s="3">
        <v>21.9</v>
      </c>
      <c r="G73" s="3">
        <v>23.8</v>
      </c>
      <c r="H73" s="3">
        <v>25.3</v>
      </c>
      <c r="I73" s="3">
        <v>27</v>
      </c>
      <c r="J73" s="3">
        <v>28.8</v>
      </c>
      <c r="K73" s="3">
        <v>30</v>
      </c>
      <c r="L73" s="3">
        <v>32</v>
      </c>
      <c r="M73" s="3">
        <v>33</v>
      </c>
      <c r="N73" s="3">
        <v>33.799999999999997</v>
      </c>
      <c r="O73" s="3">
        <v>35.200000000000003</v>
      </c>
      <c r="P73" s="3">
        <v>35.299999999999997</v>
      </c>
      <c r="Q73" s="3">
        <v>36.799999999999997</v>
      </c>
      <c r="R73" s="3">
        <v>37.5</v>
      </c>
      <c r="U73" s="62"/>
      <c r="V73" s="42">
        <f t="shared" ref="V73:AH73" si="63">F73-21.9</f>
        <v>0</v>
      </c>
      <c r="W73" s="5">
        <f t="shared" si="63"/>
        <v>1.9000000000000021</v>
      </c>
      <c r="X73" s="5">
        <f t="shared" si="63"/>
        <v>3.4000000000000021</v>
      </c>
      <c r="Y73" s="5">
        <f t="shared" si="63"/>
        <v>5.1000000000000014</v>
      </c>
      <c r="Z73" s="5">
        <f t="shared" si="63"/>
        <v>6.9000000000000021</v>
      </c>
      <c r="AA73" s="5">
        <f t="shared" si="63"/>
        <v>8.1000000000000014</v>
      </c>
      <c r="AB73" s="5">
        <f t="shared" si="63"/>
        <v>10.100000000000001</v>
      </c>
      <c r="AC73" s="5">
        <f t="shared" si="63"/>
        <v>11.100000000000001</v>
      </c>
      <c r="AD73" s="5">
        <f t="shared" si="63"/>
        <v>11.899999999999999</v>
      </c>
      <c r="AE73" s="5">
        <f t="shared" si="63"/>
        <v>13.300000000000004</v>
      </c>
      <c r="AF73" s="5">
        <f t="shared" si="63"/>
        <v>13.399999999999999</v>
      </c>
      <c r="AG73" s="5">
        <f t="shared" si="63"/>
        <v>14.899999999999999</v>
      </c>
      <c r="AH73" s="5">
        <f t="shared" si="63"/>
        <v>15.600000000000001</v>
      </c>
    </row>
    <row r="74" spans="2:34">
      <c r="B74" s="9">
        <v>482</v>
      </c>
      <c r="C74" s="10" t="s">
        <v>3</v>
      </c>
      <c r="D74" s="3">
        <v>19.600000000000001</v>
      </c>
      <c r="E74" s="3">
        <v>22.3</v>
      </c>
      <c r="F74" s="3">
        <v>23.8</v>
      </c>
      <c r="G74" s="3">
        <v>26.8</v>
      </c>
      <c r="H74" s="3">
        <v>28.9</v>
      </c>
      <c r="I74" s="3">
        <v>31.1</v>
      </c>
      <c r="J74" s="3">
        <v>33.200000000000003</v>
      </c>
      <c r="K74" s="3">
        <v>34.299999999999997</v>
      </c>
      <c r="L74" s="3">
        <v>36.299999999999997</v>
      </c>
      <c r="M74" s="3">
        <v>38.5</v>
      </c>
      <c r="N74" s="3">
        <v>39.700000000000003</v>
      </c>
      <c r="O74" s="3">
        <v>41.4</v>
      </c>
      <c r="P74" s="3">
        <v>41.9</v>
      </c>
      <c r="Q74" s="3">
        <v>43.1</v>
      </c>
      <c r="R74" s="3">
        <v>43.9</v>
      </c>
      <c r="U74" s="62"/>
      <c r="V74" s="42">
        <f t="shared" ref="V74:AH74" si="64">F74-23.8</f>
        <v>0</v>
      </c>
      <c r="W74" s="5">
        <f t="shared" si="64"/>
        <v>3</v>
      </c>
      <c r="X74" s="5">
        <f t="shared" si="64"/>
        <v>5.0999999999999979</v>
      </c>
      <c r="Y74" s="5">
        <f t="shared" si="64"/>
        <v>7.3000000000000007</v>
      </c>
      <c r="Z74" s="5">
        <f t="shared" si="64"/>
        <v>9.4000000000000021</v>
      </c>
      <c r="AA74" s="5">
        <f t="shared" si="64"/>
        <v>10.499999999999996</v>
      </c>
      <c r="AB74" s="5">
        <f t="shared" si="64"/>
        <v>12.499999999999996</v>
      </c>
      <c r="AC74" s="5">
        <f t="shared" si="64"/>
        <v>14.7</v>
      </c>
      <c r="AD74" s="5">
        <f t="shared" si="64"/>
        <v>15.900000000000002</v>
      </c>
      <c r="AE74" s="5">
        <f t="shared" si="64"/>
        <v>17.599999999999998</v>
      </c>
      <c r="AF74" s="5">
        <f t="shared" si="64"/>
        <v>18.099999999999998</v>
      </c>
      <c r="AG74" s="5">
        <f t="shared" si="64"/>
        <v>19.3</v>
      </c>
      <c r="AH74" s="5">
        <f t="shared" si="64"/>
        <v>20.099999999999998</v>
      </c>
    </row>
    <row r="75" spans="2:34">
      <c r="B75" s="9">
        <v>484</v>
      </c>
      <c r="C75" s="10" t="s">
        <v>3</v>
      </c>
      <c r="D75" s="3">
        <v>17.2</v>
      </c>
      <c r="E75" s="3">
        <v>22.4</v>
      </c>
      <c r="F75" s="3">
        <v>23.5</v>
      </c>
      <c r="G75" s="3">
        <v>25.2</v>
      </c>
      <c r="H75" s="3">
        <v>27</v>
      </c>
      <c r="I75" s="3">
        <v>28.9</v>
      </c>
      <c r="J75" s="3">
        <v>30.4</v>
      </c>
      <c r="K75" s="3">
        <v>32</v>
      </c>
      <c r="L75" s="3">
        <v>34</v>
      </c>
      <c r="M75" s="3">
        <v>35.799999999999997</v>
      </c>
      <c r="N75" s="3">
        <v>38</v>
      </c>
      <c r="O75" s="3">
        <v>38.700000000000003</v>
      </c>
      <c r="P75" s="3">
        <v>39.4</v>
      </c>
      <c r="Q75" s="3">
        <v>41.4</v>
      </c>
      <c r="R75" s="3">
        <v>42.9</v>
      </c>
      <c r="U75" s="63"/>
      <c r="V75" s="42">
        <f t="shared" ref="V75:AH75" si="65">F75-23.5</f>
        <v>0</v>
      </c>
      <c r="W75" s="5">
        <f t="shared" si="65"/>
        <v>1.6999999999999993</v>
      </c>
      <c r="X75" s="5">
        <f t="shared" si="65"/>
        <v>3.5</v>
      </c>
      <c r="Y75" s="5">
        <f t="shared" si="65"/>
        <v>5.3999999999999986</v>
      </c>
      <c r="Z75" s="5">
        <f t="shared" si="65"/>
        <v>6.8999999999999986</v>
      </c>
      <c r="AA75" s="5">
        <f t="shared" si="65"/>
        <v>8.5</v>
      </c>
      <c r="AB75" s="5">
        <f t="shared" si="65"/>
        <v>10.5</v>
      </c>
      <c r="AC75" s="5">
        <f t="shared" si="65"/>
        <v>12.299999999999997</v>
      </c>
      <c r="AD75" s="5">
        <f t="shared" si="65"/>
        <v>14.5</v>
      </c>
      <c r="AE75" s="5">
        <f t="shared" si="65"/>
        <v>15.200000000000003</v>
      </c>
      <c r="AF75" s="5">
        <f t="shared" si="65"/>
        <v>15.899999999999999</v>
      </c>
      <c r="AG75" s="5">
        <f t="shared" si="65"/>
        <v>17.899999999999999</v>
      </c>
      <c r="AH75" s="5">
        <f t="shared" si="65"/>
        <v>19.399999999999999</v>
      </c>
    </row>
    <row r="76" spans="2:34">
      <c r="B76" s="9"/>
      <c r="C76" s="11" t="s">
        <v>2</v>
      </c>
      <c r="D76" s="12">
        <f t="shared" ref="D76:R76" si="66">AVERAGE(D59:D75)</f>
        <v>17.388235294117646</v>
      </c>
      <c r="E76" s="12">
        <f t="shared" si="66"/>
        <v>20.552941176470583</v>
      </c>
      <c r="F76" s="12">
        <f t="shared" si="66"/>
        <v>22.076470588235296</v>
      </c>
      <c r="G76" s="12">
        <f t="shared" si="66"/>
        <v>24.341176470588238</v>
      </c>
      <c r="H76" s="12">
        <f t="shared" si="66"/>
        <v>26.405882352941177</v>
      </c>
      <c r="I76" s="12">
        <f t="shared" si="66"/>
        <v>28.429411764705875</v>
      </c>
      <c r="J76" s="12">
        <f t="shared" si="66"/>
        <v>30.099999999999998</v>
      </c>
      <c r="K76" s="12">
        <f t="shared" si="66"/>
        <v>32.035294117647062</v>
      </c>
      <c r="L76" s="12">
        <f t="shared" si="66"/>
        <v>33.723529411764702</v>
      </c>
      <c r="M76" s="12">
        <f t="shared" si="66"/>
        <v>34.723529411764702</v>
      </c>
      <c r="N76" s="12">
        <f t="shared" si="66"/>
        <v>36.147058823529413</v>
      </c>
      <c r="O76" s="12">
        <f t="shared" si="66"/>
        <v>37.064705882352939</v>
      </c>
      <c r="P76" s="12">
        <f t="shared" si="66"/>
        <v>38.141176470588228</v>
      </c>
      <c r="Q76" s="12">
        <f t="shared" si="66"/>
        <v>39.517647058823528</v>
      </c>
      <c r="R76" s="12">
        <f t="shared" si="66"/>
        <v>40.364705882352943</v>
      </c>
      <c r="U76" s="44" t="s">
        <v>2</v>
      </c>
      <c r="V76" s="5">
        <f>AVERAGE(V59:V75)</f>
        <v>0</v>
      </c>
      <c r="W76" s="5">
        <f t="shared" ref="W76:AH76" si="67">AVERAGE(W59:W75)</f>
        <v>2.264705882352942</v>
      </c>
      <c r="X76" s="5">
        <f t="shared" si="67"/>
        <v>4.3294117647058821</v>
      </c>
      <c r="Y76" s="5">
        <f t="shared" si="67"/>
        <v>6.352941176470587</v>
      </c>
      <c r="Z76" s="5">
        <f t="shared" si="67"/>
        <v>8.0235294117647076</v>
      </c>
      <c r="AA76" s="5">
        <f t="shared" si="67"/>
        <v>9.9588235294117631</v>
      </c>
      <c r="AB76" s="5">
        <f t="shared" si="67"/>
        <v>11.647058823529411</v>
      </c>
      <c r="AC76" s="5">
        <f t="shared" si="67"/>
        <v>12.647058823529411</v>
      </c>
      <c r="AD76" s="5">
        <f t="shared" si="67"/>
        <v>14.070588235294119</v>
      </c>
      <c r="AE76" s="5">
        <f t="shared" si="67"/>
        <v>14.988235294117644</v>
      </c>
      <c r="AF76" s="5">
        <f t="shared" si="67"/>
        <v>16.064705882352943</v>
      </c>
      <c r="AG76" s="5">
        <f t="shared" si="67"/>
        <v>17.441176470588236</v>
      </c>
      <c r="AH76" s="5">
        <f t="shared" si="67"/>
        <v>18.288235294117651</v>
      </c>
    </row>
    <row r="77" spans="2:34">
      <c r="B77" s="15"/>
      <c r="C77" s="11" t="s">
        <v>5</v>
      </c>
      <c r="D77" s="12">
        <f t="shared" ref="D77:R77" si="68">STDEV(D59:D75)/SQRT(COUNT(D59:D75))</f>
        <v>0.55610795297615379</v>
      </c>
      <c r="E77" s="12">
        <f t="shared" si="68"/>
        <v>0.38512007744136489</v>
      </c>
      <c r="F77" s="12">
        <f t="shared" si="68"/>
        <v>0.32556844086701847</v>
      </c>
      <c r="G77" s="12">
        <f t="shared" si="68"/>
        <v>0.4547994729038648</v>
      </c>
      <c r="H77" s="12">
        <f t="shared" si="68"/>
        <v>0.53868512221858689</v>
      </c>
      <c r="I77" s="12">
        <f t="shared" si="68"/>
        <v>0.64647032061226584</v>
      </c>
      <c r="J77" s="12">
        <f t="shared" si="68"/>
        <v>0.72593752769618347</v>
      </c>
      <c r="K77" s="12">
        <f t="shared" si="68"/>
        <v>0.77554256038967873</v>
      </c>
      <c r="L77" s="12">
        <f t="shared" si="68"/>
        <v>0.85377748047085733</v>
      </c>
      <c r="M77" s="12">
        <f t="shared" si="68"/>
        <v>0.88153148035963846</v>
      </c>
      <c r="N77" s="12">
        <f t="shared" si="68"/>
        <v>0.95085556083867873</v>
      </c>
      <c r="O77" s="12">
        <f t="shared" si="68"/>
        <v>0.94689667957983148</v>
      </c>
      <c r="P77" s="12">
        <f t="shared" si="68"/>
        <v>0.95962840631190793</v>
      </c>
      <c r="Q77" s="12">
        <f t="shared" si="68"/>
        <v>0.99351704795010565</v>
      </c>
      <c r="R77" s="12">
        <f t="shared" si="68"/>
        <v>0.91526841034517215</v>
      </c>
      <c r="U77" s="44" t="s">
        <v>5</v>
      </c>
      <c r="V77" s="5">
        <f>STDEV(V59:V75)/SQRT(COUNT(V59:V75))</f>
        <v>0</v>
      </c>
      <c r="W77" s="5">
        <f t="shared" ref="W77:AH77" si="69">STDEV(W59:W75)/SQRT(COUNT(W59:W75))</f>
        <v>0.30219067515767106</v>
      </c>
      <c r="X77" s="5">
        <f t="shared" si="69"/>
        <v>0.39628464831652233</v>
      </c>
      <c r="Y77" s="5">
        <f t="shared" si="69"/>
        <v>0.49846216794454251</v>
      </c>
      <c r="Z77" s="5">
        <f t="shared" si="69"/>
        <v>0.5920136010314514</v>
      </c>
      <c r="AA77" s="5">
        <f t="shared" si="69"/>
        <v>0.67377660503672243</v>
      </c>
      <c r="AB77" s="5">
        <f t="shared" si="69"/>
        <v>0.73505290161055081</v>
      </c>
      <c r="AC77" s="5">
        <f t="shared" si="69"/>
        <v>0.74449537030218427</v>
      </c>
      <c r="AD77" s="5">
        <f t="shared" si="69"/>
        <v>0.81053562110470145</v>
      </c>
      <c r="AE77" s="5">
        <f t="shared" si="69"/>
        <v>0.78790873393457361</v>
      </c>
      <c r="AF77" s="5">
        <f t="shared" si="69"/>
        <v>0.81745395519144104</v>
      </c>
      <c r="AG77" s="5">
        <f t="shared" si="69"/>
        <v>0.86734291778063355</v>
      </c>
      <c r="AH77" s="5">
        <f t="shared" si="69"/>
        <v>0.81897902512738452</v>
      </c>
    </row>
    <row r="79" spans="2:34">
      <c r="F79" s="4" t="s">
        <v>6</v>
      </c>
      <c r="L79" s="14"/>
    </row>
    <row r="80" spans="2:34" ht="16" customHeight="1">
      <c r="D80" s="5">
        <v>4</v>
      </c>
      <c r="E80" s="6">
        <v>5</v>
      </c>
      <c r="F80" s="7">
        <v>6</v>
      </c>
      <c r="G80" s="7">
        <v>7</v>
      </c>
      <c r="H80" s="7">
        <v>8</v>
      </c>
      <c r="I80" s="7">
        <v>9</v>
      </c>
      <c r="J80" s="7">
        <v>10</v>
      </c>
      <c r="K80" s="7">
        <v>11</v>
      </c>
      <c r="L80" s="7">
        <v>12</v>
      </c>
      <c r="M80" s="7">
        <v>13</v>
      </c>
      <c r="N80" s="7">
        <v>14</v>
      </c>
      <c r="O80" s="8">
        <v>15</v>
      </c>
      <c r="P80" s="8">
        <v>16</v>
      </c>
      <c r="Q80" s="8">
        <v>17</v>
      </c>
      <c r="R80" s="8">
        <v>18</v>
      </c>
      <c r="V80" s="25">
        <v>6</v>
      </c>
      <c r="W80" s="25">
        <v>7</v>
      </c>
      <c r="X80" s="25">
        <v>8</v>
      </c>
      <c r="Y80" s="25">
        <v>9</v>
      </c>
      <c r="Z80" s="25">
        <v>10</v>
      </c>
      <c r="AA80" s="25">
        <v>11</v>
      </c>
      <c r="AB80" s="25">
        <v>12</v>
      </c>
      <c r="AC80" s="25">
        <v>13</v>
      </c>
      <c r="AD80" s="25">
        <v>14</v>
      </c>
      <c r="AE80" s="25">
        <v>15</v>
      </c>
      <c r="AF80" s="25">
        <v>16</v>
      </c>
      <c r="AG80" s="25">
        <v>17</v>
      </c>
      <c r="AH80" s="25">
        <v>18</v>
      </c>
    </row>
    <row r="81" spans="2:34" ht="20" customHeight="1">
      <c r="B81" s="9">
        <v>890</v>
      </c>
      <c r="C81" s="10" t="s">
        <v>4</v>
      </c>
      <c r="D81" s="3">
        <v>14.5</v>
      </c>
      <c r="E81" s="3">
        <v>18.399999999999999</v>
      </c>
      <c r="F81" s="3">
        <v>20.100000000000001</v>
      </c>
      <c r="G81" s="3">
        <v>23.2</v>
      </c>
      <c r="H81" s="3">
        <v>25.3</v>
      </c>
      <c r="I81" s="3">
        <v>27.6</v>
      </c>
      <c r="J81" s="3">
        <v>30</v>
      </c>
      <c r="K81" s="3">
        <v>32.6</v>
      </c>
      <c r="L81" s="3">
        <v>33.9</v>
      </c>
      <c r="M81" s="3">
        <v>35.5</v>
      </c>
      <c r="N81" s="3">
        <v>36.6</v>
      </c>
      <c r="O81" s="3">
        <v>37.299999999999997</v>
      </c>
      <c r="P81" s="3">
        <v>38.6</v>
      </c>
      <c r="Q81" s="3">
        <v>39.9</v>
      </c>
      <c r="R81" s="3">
        <v>40.9</v>
      </c>
      <c r="U81" s="61" t="s">
        <v>127</v>
      </c>
      <c r="V81" s="42">
        <f t="shared" ref="V81:AH81" si="70">F81-20.1</f>
        <v>0</v>
      </c>
      <c r="W81" s="5">
        <f t="shared" si="70"/>
        <v>3.0999999999999979</v>
      </c>
      <c r="X81" s="5">
        <f t="shared" si="70"/>
        <v>5.1999999999999993</v>
      </c>
      <c r="Y81" s="5">
        <f t="shared" si="70"/>
        <v>7.5</v>
      </c>
      <c r="Z81" s="5">
        <f t="shared" si="70"/>
        <v>9.8999999999999986</v>
      </c>
      <c r="AA81" s="5">
        <f t="shared" si="70"/>
        <v>12.5</v>
      </c>
      <c r="AB81" s="5">
        <f t="shared" si="70"/>
        <v>13.799999999999997</v>
      </c>
      <c r="AC81" s="5">
        <f t="shared" si="70"/>
        <v>15.399999999999999</v>
      </c>
      <c r="AD81" s="5">
        <f t="shared" si="70"/>
        <v>16.5</v>
      </c>
      <c r="AE81" s="5">
        <f t="shared" si="70"/>
        <v>17.199999999999996</v>
      </c>
      <c r="AF81" s="5">
        <f t="shared" si="70"/>
        <v>18.5</v>
      </c>
      <c r="AG81" s="5">
        <f t="shared" si="70"/>
        <v>19.799999999999997</v>
      </c>
      <c r="AH81" s="5">
        <f t="shared" si="70"/>
        <v>20.799999999999997</v>
      </c>
    </row>
    <row r="82" spans="2:34">
      <c r="B82" s="9">
        <v>891</v>
      </c>
      <c r="C82" s="10" t="s">
        <v>4</v>
      </c>
      <c r="D82" s="3">
        <v>15</v>
      </c>
      <c r="E82" s="3">
        <v>18.899999999999999</v>
      </c>
      <c r="F82" s="3">
        <v>20.7</v>
      </c>
      <c r="G82" s="3">
        <v>22.9</v>
      </c>
      <c r="H82" s="3">
        <v>25.5</v>
      </c>
      <c r="I82" s="3">
        <v>27.4</v>
      </c>
      <c r="J82" s="3">
        <v>29.7</v>
      </c>
      <c r="K82" s="3">
        <v>33.299999999999997</v>
      </c>
      <c r="L82" s="3">
        <v>34.1</v>
      </c>
      <c r="M82" s="3">
        <v>35.200000000000003</v>
      </c>
      <c r="N82" s="3">
        <v>36.6</v>
      </c>
      <c r="O82" s="3">
        <v>37.6</v>
      </c>
      <c r="P82" s="3">
        <v>38.299999999999997</v>
      </c>
      <c r="Q82" s="3">
        <v>40.299999999999997</v>
      </c>
      <c r="R82" s="3">
        <v>41.2</v>
      </c>
      <c r="U82" s="62"/>
      <c r="V82" s="42">
        <f t="shared" ref="V82:AH82" si="71">F82-20.7</f>
        <v>0</v>
      </c>
      <c r="W82" s="5">
        <f t="shared" si="71"/>
        <v>2.1999999999999993</v>
      </c>
      <c r="X82" s="5">
        <f t="shared" si="71"/>
        <v>4.8000000000000007</v>
      </c>
      <c r="Y82" s="5">
        <f t="shared" si="71"/>
        <v>6.6999999999999993</v>
      </c>
      <c r="Z82" s="5">
        <f t="shared" si="71"/>
        <v>9</v>
      </c>
      <c r="AA82" s="5">
        <f t="shared" si="71"/>
        <v>12.599999999999998</v>
      </c>
      <c r="AB82" s="5">
        <f t="shared" si="71"/>
        <v>13.400000000000002</v>
      </c>
      <c r="AC82" s="5">
        <f t="shared" si="71"/>
        <v>14.500000000000004</v>
      </c>
      <c r="AD82" s="5">
        <f t="shared" si="71"/>
        <v>15.900000000000002</v>
      </c>
      <c r="AE82" s="5">
        <f t="shared" si="71"/>
        <v>16.900000000000002</v>
      </c>
      <c r="AF82" s="5">
        <f t="shared" si="71"/>
        <v>17.599999999999998</v>
      </c>
      <c r="AG82" s="5">
        <f t="shared" si="71"/>
        <v>19.599999999999998</v>
      </c>
      <c r="AH82" s="5">
        <f t="shared" si="71"/>
        <v>20.500000000000004</v>
      </c>
    </row>
    <row r="83" spans="2:34">
      <c r="B83" s="9">
        <v>899</v>
      </c>
      <c r="C83" s="10" t="s">
        <v>4</v>
      </c>
      <c r="D83" s="3">
        <v>15.4</v>
      </c>
      <c r="E83" s="3">
        <v>17.899999999999999</v>
      </c>
      <c r="F83" s="3">
        <v>18.7</v>
      </c>
      <c r="G83" s="3">
        <v>21.5</v>
      </c>
      <c r="H83" s="3">
        <v>23.8</v>
      </c>
      <c r="I83" s="3">
        <v>24.9</v>
      </c>
      <c r="J83" s="3">
        <v>26</v>
      </c>
      <c r="K83" s="3">
        <v>28</v>
      </c>
      <c r="L83" s="3">
        <v>29.2</v>
      </c>
      <c r="M83" s="3">
        <v>30.9</v>
      </c>
      <c r="N83" s="3">
        <v>33.1</v>
      </c>
      <c r="O83" s="3">
        <v>34.299999999999997</v>
      </c>
      <c r="P83" s="3">
        <v>35.6</v>
      </c>
      <c r="Q83" s="3">
        <v>38.6</v>
      </c>
      <c r="R83" s="3">
        <v>38.799999999999997</v>
      </c>
      <c r="U83" s="62"/>
      <c r="V83" s="42">
        <f t="shared" ref="V83:AH83" si="72">F83-18.7</f>
        <v>0</v>
      </c>
      <c r="W83" s="5">
        <f t="shared" si="72"/>
        <v>2.8000000000000007</v>
      </c>
      <c r="X83" s="5">
        <f t="shared" si="72"/>
        <v>5.1000000000000014</v>
      </c>
      <c r="Y83" s="5">
        <f t="shared" si="72"/>
        <v>6.1999999999999993</v>
      </c>
      <c r="Z83" s="5">
        <f t="shared" si="72"/>
        <v>7.3000000000000007</v>
      </c>
      <c r="AA83" s="5">
        <f t="shared" si="72"/>
        <v>9.3000000000000007</v>
      </c>
      <c r="AB83" s="5">
        <f t="shared" si="72"/>
        <v>10.5</v>
      </c>
      <c r="AC83" s="5">
        <f t="shared" si="72"/>
        <v>12.2</v>
      </c>
      <c r="AD83" s="5">
        <f t="shared" si="72"/>
        <v>14.400000000000002</v>
      </c>
      <c r="AE83" s="5">
        <f t="shared" si="72"/>
        <v>15.599999999999998</v>
      </c>
      <c r="AF83" s="5">
        <f t="shared" si="72"/>
        <v>16.900000000000002</v>
      </c>
      <c r="AG83" s="5">
        <f t="shared" si="72"/>
        <v>19.900000000000002</v>
      </c>
      <c r="AH83" s="5">
        <f t="shared" si="72"/>
        <v>20.099999999999998</v>
      </c>
    </row>
    <row r="84" spans="2:34">
      <c r="B84" s="9">
        <v>900</v>
      </c>
      <c r="C84" s="10" t="s">
        <v>4</v>
      </c>
      <c r="D84" s="3">
        <v>15</v>
      </c>
      <c r="E84" s="3">
        <v>17.8</v>
      </c>
      <c r="F84" s="3">
        <v>19.3</v>
      </c>
      <c r="G84" s="3">
        <v>22.3</v>
      </c>
      <c r="H84" s="3">
        <v>24.1</v>
      </c>
      <c r="I84" s="3">
        <v>25</v>
      </c>
      <c r="J84" s="3">
        <v>26.4</v>
      </c>
      <c r="K84" s="3">
        <v>27.9</v>
      </c>
      <c r="L84" s="3">
        <v>28.5</v>
      </c>
      <c r="M84" s="3">
        <v>30.6</v>
      </c>
      <c r="N84" s="3">
        <v>30.9</v>
      </c>
      <c r="O84" s="3">
        <v>31.2</v>
      </c>
      <c r="P84" s="3">
        <v>31.9</v>
      </c>
      <c r="Q84" s="3">
        <v>32.9</v>
      </c>
      <c r="R84" s="3">
        <v>33.5</v>
      </c>
      <c r="U84" s="62"/>
      <c r="V84" s="42">
        <f t="shared" ref="V84:AH84" si="73">F84-19.3</f>
        <v>0</v>
      </c>
      <c r="W84" s="5">
        <f t="shared" si="73"/>
        <v>3</v>
      </c>
      <c r="X84" s="5">
        <f t="shared" si="73"/>
        <v>4.8000000000000007</v>
      </c>
      <c r="Y84" s="5">
        <f t="shared" si="73"/>
        <v>5.6999999999999993</v>
      </c>
      <c r="Z84" s="5">
        <f t="shared" si="73"/>
        <v>7.0999999999999979</v>
      </c>
      <c r="AA84" s="5">
        <f t="shared" si="73"/>
        <v>8.5999999999999979</v>
      </c>
      <c r="AB84" s="5">
        <f t="shared" si="73"/>
        <v>9.1999999999999993</v>
      </c>
      <c r="AC84" s="5">
        <f t="shared" si="73"/>
        <v>11.3</v>
      </c>
      <c r="AD84" s="5">
        <f t="shared" si="73"/>
        <v>11.599999999999998</v>
      </c>
      <c r="AE84" s="5">
        <f t="shared" si="73"/>
        <v>11.899999999999999</v>
      </c>
      <c r="AF84" s="5">
        <f t="shared" si="73"/>
        <v>12.599999999999998</v>
      </c>
      <c r="AG84" s="5">
        <f t="shared" si="73"/>
        <v>13.599999999999998</v>
      </c>
      <c r="AH84" s="5">
        <f t="shared" si="73"/>
        <v>14.2</v>
      </c>
    </row>
    <row r="85" spans="2:34">
      <c r="B85" s="9">
        <v>901</v>
      </c>
      <c r="C85" s="10" t="s">
        <v>4</v>
      </c>
      <c r="D85" s="3">
        <v>15.9</v>
      </c>
      <c r="E85" s="3">
        <v>18.2</v>
      </c>
      <c r="F85" s="3">
        <v>20.3</v>
      </c>
      <c r="G85" s="3">
        <v>23.1</v>
      </c>
      <c r="H85" s="3">
        <v>24.8</v>
      </c>
      <c r="I85" s="3">
        <v>26.2</v>
      </c>
      <c r="J85" s="3">
        <v>26.7</v>
      </c>
      <c r="K85" s="3">
        <v>28.2</v>
      </c>
      <c r="L85" s="3">
        <v>29.7</v>
      </c>
      <c r="M85" s="3">
        <v>31.5</v>
      </c>
      <c r="N85" s="3">
        <v>34</v>
      </c>
      <c r="O85" s="3">
        <v>35.5</v>
      </c>
      <c r="P85" s="3">
        <v>37.5</v>
      </c>
      <c r="Q85" s="3">
        <v>39.200000000000003</v>
      </c>
      <c r="R85" s="3">
        <v>39.700000000000003</v>
      </c>
      <c r="U85" s="62"/>
      <c r="V85" s="42">
        <f t="shared" ref="V85:AH85" si="74">F85-20.3</f>
        <v>0</v>
      </c>
      <c r="W85" s="5">
        <f t="shared" si="74"/>
        <v>2.8000000000000007</v>
      </c>
      <c r="X85" s="5">
        <f t="shared" si="74"/>
        <v>4.5</v>
      </c>
      <c r="Y85" s="5">
        <f t="shared" si="74"/>
        <v>5.8999999999999986</v>
      </c>
      <c r="Z85" s="5">
        <f t="shared" si="74"/>
        <v>6.3999999999999986</v>
      </c>
      <c r="AA85" s="5">
        <f t="shared" si="74"/>
        <v>7.8999999999999986</v>
      </c>
      <c r="AB85" s="5">
        <f t="shared" si="74"/>
        <v>9.3999999999999986</v>
      </c>
      <c r="AC85" s="5">
        <f t="shared" si="74"/>
        <v>11.2</v>
      </c>
      <c r="AD85" s="5">
        <f t="shared" si="74"/>
        <v>13.7</v>
      </c>
      <c r="AE85" s="5">
        <f t="shared" si="74"/>
        <v>15.2</v>
      </c>
      <c r="AF85" s="5">
        <f t="shared" si="74"/>
        <v>17.2</v>
      </c>
      <c r="AG85" s="5">
        <f t="shared" si="74"/>
        <v>18.900000000000002</v>
      </c>
      <c r="AH85" s="5">
        <f t="shared" si="74"/>
        <v>19.400000000000002</v>
      </c>
    </row>
    <row r="86" spans="2:34">
      <c r="B86" s="9">
        <v>902</v>
      </c>
      <c r="C86" s="10" t="s">
        <v>4</v>
      </c>
      <c r="D86" s="3">
        <v>17.7</v>
      </c>
      <c r="E86" s="3">
        <v>19.5</v>
      </c>
      <c r="F86" s="3">
        <v>20.9</v>
      </c>
      <c r="G86" s="3">
        <v>23.2</v>
      </c>
      <c r="H86" s="3">
        <v>24.8</v>
      </c>
      <c r="I86" s="3">
        <v>26</v>
      </c>
      <c r="J86" s="3">
        <v>27.2</v>
      </c>
      <c r="K86" s="3">
        <v>28.4</v>
      </c>
      <c r="L86" s="3">
        <v>29.9</v>
      </c>
      <c r="M86" s="3">
        <v>32.1</v>
      </c>
      <c r="N86" s="3">
        <v>33.6</v>
      </c>
      <c r="O86" s="3">
        <v>33.6</v>
      </c>
      <c r="P86" s="3">
        <v>34.1</v>
      </c>
      <c r="Q86" s="3">
        <v>36</v>
      </c>
      <c r="R86" s="3">
        <v>36.799999999999997</v>
      </c>
      <c r="U86" s="62"/>
      <c r="V86" s="42">
        <f t="shared" ref="V86:AH86" si="75">F86-20.9</f>
        <v>0</v>
      </c>
      <c r="W86" s="5">
        <f t="shared" si="75"/>
        <v>2.3000000000000007</v>
      </c>
      <c r="X86" s="5">
        <f t="shared" si="75"/>
        <v>3.9000000000000021</v>
      </c>
      <c r="Y86" s="5">
        <f t="shared" si="75"/>
        <v>5.1000000000000014</v>
      </c>
      <c r="Z86" s="5">
        <f t="shared" si="75"/>
        <v>6.3000000000000007</v>
      </c>
      <c r="AA86" s="5">
        <f t="shared" si="75"/>
        <v>7.5</v>
      </c>
      <c r="AB86" s="5">
        <f t="shared" si="75"/>
        <v>9</v>
      </c>
      <c r="AC86" s="5">
        <f t="shared" si="75"/>
        <v>11.200000000000003</v>
      </c>
      <c r="AD86" s="5">
        <f t="shared" si="75"/>
        <v>12.700000000000003</v>
      </c>
      <c r="AE86" s="5">
        <f t="shared" si="75"/>
        <v>12.700000000000003</v>
      </c>
      <c r="AF86" s="5">
        <f t="shared" si="75"/>
        <v>13.200000000000003</v>
      </c>
      <c r="AG86" s="5">
        <f t="shared" si="75"/>
        <v>15.100000000000001</v>
      </c>
      <c r="AH86" s="5">
        <f t="shared" si="75"/>
        <v>15.899999999999999</v>
      </c>
    </row>
    <row r="87" spans="2:34">
      <c r="B87" s="9">
        <v>7</v>
      </c>
      <c r="C87" s="10" t="s">
        <v>4</v>
      </c>
      <c r="D87" s="3">
        <v>17.2</v>
      </c>
      <c r="E87" s="3">
        <v>20.3</v>
      </c>
      <c r="F87" s="3">
        <v>21.3</v>
      </c>
      <c r="G87" s="3">
        <v>23.4</v>
      </c>
      <c r="H87" s="3">
        <v>26.3</v>
      </c>
      <c r="I87" s="3">
        <v>29.2</v>
      </c>
      <c r="J87" s="3">
        <v>31.1</v>
      </c>
      <c r="K87" s="3">
        <v>32.200000000000003</v>
      </c>
      <c r="L87" s="3">
        <v>33.799999999999997</v>
      </c>
      <c r="M87" s="3">
        <v>35.5</v>
      </c>
      <c r="N87" s="3">
        <v>36.9</v>
      </c>
      <c r="O87" s="3">
        <v>38</v>
      </c>
      <c r="P87" s="3">
        <v>38.6</v>
      </c>
      <c r="Q87" s="3">
        <v>41</v>
      </c>
      <c r="R87" s="3">
        <v>41.2</v>
      </c>
      <c r="U87" s="62"/>
      <c r="V87" s="42">
        <f t="shared" ref="V87:AH87" si="76">F87-21.3</f>
        <v>0</v>
      </c>
      <c r="W87" s="5">
        <f t="shared" si="76"/>
        <v>2.0999999999999979</v>
      </c>
      <c r="X87" s="5">
        <f t="shared" si="76"/>
        <v>5</v>
      </c>
      <c r="Y87" s="5">
        <f t="shared" si="76"/>
        <v>7.8999999999999986</v>
      </c>
      <c r="Z87" s="5">
        <f t="shared" si="76"/>
        <v>9.8000000000000007</v>
      </c>
      <c r="AA87" s="5">
        <f t="shared" si="76"/>
        <v>10.900000000000002</v>
      </c>
      <c r="AB87" s="5">
        <f t="shared" si="76"/>
        <v>12.499999999999996</v>
      </c>
      <c r="AC87" s="5">
        <f t="shared" si="76"/>
        <v>14.2</v>
      </c>
      <c r="AD87" s="5">
        <f t="shared" si="76"/>
        <v>15.599999999999998</v>
      </c>
      <c r="AE87" s="5">
        <f t="shared" si="76"/>
        <v>16.7</v>
      </c>
      <c r="AF87" s="5">
        <f t="shared" si="76"/>
        <v>17.3</v>
      </c>
      <c r="AG87" s="5">
        <f t="shared" si="76"/>
        <v>19.7</v>
      </c>
      <c r="AH87" s="5">
        <f t="shared" si="76"/>
        <v>19.900000000000002</v>
      </c>
    </row>
    <row r="88" spans="2:34">
      <c r="B88" s="9">
        <v>9</v>
      </c>
      <c r="C88" s="10" t="s">
        <v>4</v>
      </c>
      <c r="D88" s="3">
        <v>19.7</v>
      </c>
      <c r="E88" s="3">
        <v>22.3</v>
      </c>
      <c r="F88" s="3">
        <v>24.8</v>
      </c>
      <c r="G88" s="3">
        <v>25.5</v>
      </c>
      <c r="H88" s="3">
        <v>27.8</v>
      </c>
      <c r="I88" s="3">
        <v>30.4</v>
      </c>
      <c r="J88" s="3">
        <v>32.4</v>
      </c>
      <c r="K88" s="3">
        <v>32.4</v>
      </c>
      <c r="L88" s="3">
        <v>34.4</v>
      </c>
      <c r="M88" s="3">
        <v>36.299999999999997</v>
      </c>
      <c r="N88" s="3">
        <v>37.799999999999997</v>
      </c>
      <c r="O88" s="3">
        <v>38.5</v>
      </c>
      <c r="P88" s="3">
        <v>39.200000000000003</v>
      </c>
      <c r="Q88" s="3">
        <v>41.1</v>
      </c>
      <c r="R88" s="3">
        <v>42</v>
      </c>
      <c r="U88" s="62"/>
      <c r="V88" s="42">
        <f t="shared" ref="V88:AH88" si="77">F88-24.8</f>
        <v>0</v>
      </c>
      <c r="W88" s="5">
        <f t="shared" si="77"/>
        <v>0.69999999999999929</v>
      </c>
      <c r="X88" s="5">
        <f t="shared" si="77"/>
        <v>3</v>
      </c>
      <c r="Y88" s="5">
        <f t="shared" si="77"/>
        <v>5.5999999999999979</v>
      </c>
      <c r="Z88" s="5">
        <f t="shared" si="77"/>
        <v>7.5999999999999979</v>
      </c>
      <c r="AA88" s="5">
        <f t="shared" si="77"/>
        <v>7.5999999999999979</v>
      </c>
      <c r="AB88" s="5">
        <f t="shared" si="77"/>
        <v>9.5999999999999979</v>
      </c>
      <c r="AC88" s="5">
        <f t="shared" si="77"/>
        <v>11.499999999999996</v>
      </c>
      <c r="AD88" s="5">
        <f t="shared" si="77"/>
        <v>12.999999999999996</v>
      </c>
      <c r="AE88" s="5">
        <f t="shared" si="77"/>
        <v>13.7</v>
      </c>
      <c r="AF88" s="5">
        <f t="shared" si="77"/>
        <v>14.400000000000002</v>
      </c>
      <c r="AG88" s="5">
        <f t="shared" si="77"/>
        <v>16.3</v>
      </c>
      <c r="AH88" s="5">
        <f t="shared" si="77"/>
        <v>17.2</v>
      </c>
    </row>
    <row r="89" spans="2:34">
      <c r="B89" s="9">
        <v>316</v>
      </c>
      <c r="C89" s="10" t="s">
        <v>4</v>
      </c>
      <c r="D89" s="3">
        <v>12.2</v>
      </c>
      <c r="E89" s="3">
        <v>12.1</v>
      </c>
      <c r="F89" s="3">
        <v>14.2</v>
      </c>
      <c r="G89" s="3">
        <v>18.899999999999999</v>
      </c>
      <c r="H89" s="3">
        <v>20.9</v>
      </c>
      <c r="I89" s="3">
        <v>23</v>
      </c>
      <c r="J89" s="3">
        <v>24</v>
      </c>
      <c r="K89" s="3">
        <v>25.1</v>
      </c>
      <c r="L89" s="3">
        <v>26.5</v>
      </c>
      <c r="M89" s="3">
        <v>27.7</v>
      </c>
      <c r="N89" s="3">
        <v>27.9</v>
      </c>
      <c r="O89" s="3">
        <v>29.7</v>
      </c>
      <c r="P89" s="3">
        <v>31.4</v>
      </c>
      <c r="Q89" s="3">
        <v>32.6</v>
      </c>
      <c r="R89" s="3">
        <v>33.200000000000003</v>
      </c>
      <c r="U89" s="62"/>
      <c r="V89" s="42">
        <f t="shared" ref="V89:AH89" si="78">F89-14.2</f>
        <v>0</v>
      </c>
      <c r="W89" s="5">
        <f t="shared" si="78"/>
        <v>4.6999999999999993</v>
      </c>
      <c r="X89" s="5">
        <f t="shared" si="78"/>
        <v>6.6999999999999993</v>
      </c>
      <c r="Y89" s="5">
        <f t="shared" si="78"/>
        <v>8.8000000000000007</v>
      </c>
      <c r="Z89" s="5">
        <f t="shared" si="78"/>
        <v>9.8000000000000007</v>
      </c>
      <c r="AA89" s="5">
        <f t="shared" si="78"/>
        <v>10.900000000000002</v>
      </c>
      <c r="AB89" s="5">
        <f t="shared" si="78"/>
        <v>12.3</v>
      </c>
      <c r="AC89" s="5">
        <f t="shared" si="78"/>
        <v>13.5</v>
      </c>
      <c r="AD89" s="5">
        <f t="shared" si="78"/>
        <v>13.7</v>
      </c>
      <c r="AE89" s="5">
        <f t="shared" si="78"/>
        <v>15.5</v>
      </c>
      <c r="AF89" s="5">
        <f t="shared" si="78"/>
        <v>17.2</v>
      </c>
      <c r="AG89" s="5">
        <f t="shared" si="78"/>
        <v>18.400000000000002</v>
      </c>
      <c r="AH89" s="5">
        <f t="shared" si="78"/>
        <v>19.000000000000004</v>
      </c>
    </row>
    <row r="90" spans="2:34">
      <c r="B90" s="9">
        <v>319</v>
      </c>
      <c r="C90" s="10" t="s">
        <v>4</v>
      </c>
      <c r="D90" s="3">
        <v>14.5</v>
      </c>
      <c r="E90" s="3">
        <v>19.100000000000001</v>
      </c>
      <c r="F90" s="3">
        <v>20.399999999999999</v>
      </c>
      <c r="G90" s="3">
        <v>23.5</v>
      </c>
      <c r="H90" s="3">
        <v>25.7</v>
      </c>
      <c r="I90" s="3">
        <v>27.5</v>
      </c>
      <c r="J90" s="3">
        <v>29.9</v>
      </c>
      <c r="K90" s="3">
        <v>31.9</v>
      </c>
      <c r="L90" s="3">
        <v>32.6</v>
      </c>
      <c r="M90" s="3">
        <v>34.799999999999997</v>
      </c>
      <c r="N90" s="3">
        <v>36.1</v>
      </c>
      <c r="O90" s="3">
        <v>37.1</v>
      </c>
      <c r="P90" s="3">
        <v>38</v>
      </c>
      <c r="Q90" s="3">
        <v>39</v>
      </c>
      <c r="R90" s="3">
        <v>39.9</v>
      </c>
      <c r="U90" s="62"/>
      <c r="V90" s="42">
        <f t="shared" ref="V90:AH91" si="79">F90-20.4</f>
        <v>0</v>
      </c>
      <c r="W90" s="5">
        <f t="shared" si="79"/>
        <v>3.1000000000000014</v>
      </c>
      <c r="X90" s="5">
        <f t="shared" si="79"/>
        <v>5.3000000000000007</v>
      </c>
      <c r="Y90" s="5">
        <f t="shared" si="79"/>
        <v>7.1000000000000014</v>
      </c>
      <c r="Z90" s="5">
        <f t="shared" si="79"/>
        <v>9.5</v>
      </c>
      <c r="AA90" s="5">
        <f t="shared" si="79"/>
        <v>11.5</v>
      </c>
      <c r="AB90" s="5">
        <f t="shared" si="79"/>
        <v>12.200000000000003</v>
      </c>
      <c r="AC90" s="5">
        <f t="shared" si="79"/>
        <v>14.399999999999999</v>
      </c>
      <c r="AD90" s="5">
        <f t="shared" si="79"/>
        <v>15.700000000000003</v>
      </c>
      <c r="AE90" s="5">
        <f t="shared" si="79"/>
        <v>16.700000000000003</v>
      </c>
      <c r="AF90" s="5">
        <f t="shared" si="79"/>
        <v>17.600000000000001</v>
      </c>
      <c r="AG90" s="5">
        <f t="shared" si="79"/>
        <v>18.600000000000001</v>
      </c>
      <c r="AH90" s="5">
        <f t="shared" si="79"/>
        <v>19.5</v>
      </c>
    </row>
    <row r="91" spans="2:34">
      <c r="B91" s="9">
        <v>320</v>
      </c>
      <c r="C91" s="10" t="s">
        <v>4</v>
      </c>
      <c r="D91" s="3">
        <v>15.1</v>
      </c>
      <c r="E91" s="3">
        <v>19.5</v>
      </c>
      <c r="F91" s="3">
        <v>20.399999999999999</v>
      </c>
      <c r="G91" s="3">
        <v>21.3</v>
      </c>
      <c r="H91" s="3">
        <v>22.3</v>
      </c>
      <c r="I91" s="3">
        <v>22.6</v>
      </c>
      <c r="J91" s="3">
        <v>23.5</v>
      </c>
      <c r="K91" s="3">
        <v>24.3</v>
      </c>
      <c r="L91" s="3">
        <v>25.2</v>
      </c>
      <c r="M91" s="3">
        <v>25.6</v>
      </c>
      <c r="N91" s="3">
        <v>26.5</v>
      </c>
      <c r="O91" s="3">
        <v>26.4</v>
      </c>
      <c r="P91" s="3">
        <v>27.1</v>
      </c>
      <c r="Q91" s="3">
        <v>27.7</v>
      </c>
      <c r="R91" s="3">
        <v>28</v>
      </c>
      <c r="U91" s="62"/>
      <c r="V91" s="42">
        <f t="shared" si="79"/>
        <v>0</v>
      </c>
      <c r="W91" s="5">
        <f t="shared" si="79"/>
        <v>0.90000000000000213</v>
      </c>
      <c r="X91" s="5">
        <f t="shared" si="79"/>
        <v>1.9000000000000021</v>
      </c>
      <c r="Y91" s="5">
        <f t="shared" si="79"/>
        <v>2.2000000000000028</v>
      </c>
      <c r="Z91" s="5">
        <f t="shared" si="79"/>
        <v>3.1000000000000014</v>
      </c>
      <c r="AA91" s="5">
        <f t="shared" si="79"/>
        <v>3.9000000000000021</v>
      </c>
      <c r="AB91" s="5">
        <f t="shared" si="79"/>
        <v>4.8000000000000007</v>
      </c>
      <c r="AC91" s="5">
        <f t="shared" si="79"/>
        <v>5.2000000000000028</v>
      </c>
      <c r="AD91" s="5">
        <f t="shared" si="79"/>
        <v>6.1000000000000014</v>
      </c>
      <c r="AE91" s="5">
        <f t="shared" si="79"/>
        <v>6</v>
      </c>
      <c r="AF91" s="5">
        <f t="shared" si="79"/>
        <v>6.7000000000000028</v>
      </c>
      <c r="AG91" s="5">
        <f t="shared" si="79"/>
        <v>7.3000000000000007</v>
      </c>
      <c r="AH91" s="5">
        <f t="shared" si="79"/>
        <v>7.6000000000000014</v>
      </c>
    </row>
    <row r="92" spans="2:34">
      <c r="B92" s="9">
        <v>354</v>
      </c>
      <c r="C92" s="10" t="s">
        <v>4</v>
      </c>
      <c r="D92" s="3">
        <v>19.100000000000001</v>
      </c>
      <c r="E92" s="3">
        <v>19.899999999999999</v>
      </c>
      <c r="F92" s="3">
        <v>20.5</v>
      </c>
      <c r="G92" s="3">
        <v>22.5</v>
      </c>
      <c r="H92" s="3">
        <v>24.1</v>
      </c>
      <c r="I92" s="3">
        <v>25.7</v>
      </c>
      <c r="J92" s="3">
        <v>27.6</v>
      </c>
      <c r="K92" s="3">
        <v>29.1</v>
      </c>
      <c r="L92" s="3">
        <v>31.1</v>
      </c>
      <c r="M92" s="3">
        <v>30.7</v>
      </c>
      <c r="N92" s="3">
        <v>32.299999999999997</v>
      </c>
      <c r="O92" s="3">
        <v>33.1</v>
      </c>
      <c r="P92" s="3">
        <v>34.6</v>
      </c>
      <c r="Q92" s="3">
        <v>34.9</v>
      </c>
      <c r="R92" s="3">
        <v>35</v>
      </c>
      <c r="U92" s="62"/>
      <c r="V92" s="42">
        <f t="shared" ref="V92:AH92" si="80">F92-20.5</f>
        <v>0</v>
      </c>
      <c r="W92" s="5">
        <f t="shared" si="80"/>
        <v>2</v>
      </c>
      <c r="X92" s="5">
        <f t="shared" si="80"/>
        <v>3.6000000000000014</v>
      </c>
      <c r="Y92" s="5">
        <f t="shared" si="80"/>
        <v>5.1999999999999993</v>
      </c>
      <c r="Z92" s="5">
        <f t="shared" si="80"/>
        <v>7.1000000000000014</v>
      </c>
      <c r="AA92" s="5">
        <f t="shared" si="80"/>
        <v>8.6000000000000014</v>
      </c>
      <c r="AB92" s="5">
        <f t="shared" si="80"/>
        <v>10.600000000000001</v>
      </c>
      <c r="AC92" s="5">
        <f t="shared" si="80"/>
        <v>10.199999999999999</v>
      </c>
      <c r="AD92" s="5">
        <f t="shared" si="80"/>
        <v>11.799999999999997</v>
      </c>
      <c r="AE92" s="5">
        <f t="shared" si="80"/>
        <v>12.600000000000001</v>
      </c>
      <c r="AF92" s="5">
        <f t="shared" si="80"/>
        <v>14.100000000000001</v>
      </c>
      <c r="AG92" s="5">
        <f t="shared" si="80"/>
        <v>14.399999999999999</v>
      </c>
      <c r="AH92" s="5">
        <f t="shared" si="80"/>
        <v>14.5</v>
      </c>
    </row>
    <row r="93" spans="2:34">
      <c r="B93" s="9">
        <v>356</v>
      </c>
      <c r="C93" s="10" t="s">
        <v>4</v>
      </c>
      <c r="D93" s="3">
        <v>21.3</v>
      </c>
      <c r="E93" s="3">
        <v>22.1</v>
      </c>
      <c r="F93" s="3">
        <v>23.5</v>
      </c>
      <c r="G93" s="3">
        <v>28.3</v>
      </c>
      <c r="H93" s="3">
        <v>30.8</v>
      </c>
      <c r="I93" s="3">
        <v>33.9</v>
      </c>
      <c r="J93" s="3">
        <v>36.299999999999997</v>
      </c>
      <c r="K93" s="3">
        <v>37.9</v>
      </c>
      <c r="L93" s="3">
        <v>39.9</v>
      </c>
      <c r="M93" s="3">
        <v>38.9</v>
      </c>
      <c r="N93" s="3">
        <v>41</v>
      </c>
      <c r="O93" s="3">
        <v>41.7</v>
      </c>
      <c r="P93" s="3">
        <v>43.1</v>
      </c>
      <c r="Q93" s="3">
        <v>44.8</v>
      </c>
      <c r="R93" s="3">
        <v>43.4</v>
      </c>
      <c r="U93" s="62"/>
      <c r="V93" s="42">
        <f t="shared" ref="V93:AH93" si="81">F93-23.5</f>
        <v>0</v>
      </c>
      <c r="W93" s="5">
        <f t="shared" si="81"/>
        <v>4.8000000000000007</v>
      </c>
      <c r="X93" s="5">
        <f t="shared" si="81"/>
        <v>7.3000000000000007</v>
      </c>
      <c r="Y93" s="5">
        <f t="shared" si="81"/>
        <v>10.399999999999999</v>
      </c>
      <c r="Z93" s="5">
        <f t="shared" si="81"/>
        <v>12.799999999999997</v>
      </c>
      <c r="AA93" s="5">
        <f t="shared" si="81"/>
        <v>14.399999999999999</v>
      </c>
      <c r="AB93" s="5">
        <f t="shared" si="81"/>
        <v>16.399999999999999</v>
      </c>
      <c r="AC93" s="5">
        <f t="shared" si="81"/>
        <v>15.399999999999999</v>
      </c>
      <c r="AD93" s="5">
        <f t="shared" si="81"/>
        <v>17.5</v>
      </c>
      <c r="AE93" s="5">
        <f t="shared" si="81"/>
        <v>18.200000000000003</v>
      </c>
      <c r="AF93" s="5">
        <f t="shared" si="81"/>
        <v>19.600000000000001</v>
      </c>
      <c r="AG93" s="5">
        <f t="shared" si="81"/>
        <v>21.299999999999997</v>
      </c>
      <c r="AH93" s="5">
        <f t="shared" si="81"/>
        <v>19.899999999999999</v>
      </c>
    </row>
    <row r="94" spans="2:34">
      <c r="B94" s="9">
        <v>357</v>
      </c>
      <c r="C94" s="10" t="s">
        <v>4</v>
      </c>
      <c r="D94" s="3">
        <v>16.5</v>
      </c>
      <c r="E94" s="3">
        <v>19.3</v>
      </c>
      <c r="F94" s="3">
        <v>21.5</v>
      </c>
      <c r="G94" s="3">
        <v>24</v>
      </c>
      <c r="H94" s="3">
        <v>26.4</v>
      </c>
      <c r="I94" s="3">
        <v>28.7</v>
      </c>
      <c r="J94" s="3">
        <v>31.5</v>
      </c>
      <c r="K94" s="3">
        <v>33.1</v>
      </c>
      <c r="L94" s="3">
        <v>35.799999999999997</v>
      </c>
      <c r="M94" s="3">
        <v>34.5</v>
      </c>
      <c r="N94" s="3">
        <v>35.299999999999997</v>
      </c>
      <c r="O94" s="3">
        <v>36.1</v>
      </c>
      <c r="P94" s="3">
        <v>38</v>
      </c>
      <c r="Q94" s="3">
        <v>38.299999999999997</v>
      </c>
      <c r="R94" s="3">
        <v>40</v>
      </c>
      <c r="U94" s="62"/>
      <c r="V94" s="42">
        <f t="shared" ref="V94:AH94" si="82">F94-21.5</f>
        <v>0</v>
      </c>
      <c r="W94" s="5">
        <f t="shared" si="82"/>
        <v>2.5</v>
      </c>
      <c r="X94" s="5">
        <f t="shared" si="82"/>
        <v>4.8999999999999986</v>
      </c>
      <c r="Y94" s="5">
        <f t="shared" si="82"/>
        <v>7.1999999999999993</v>
      </c>
      <c r="Z94" s="5">
        <f t="shared" si="82"/>
        <v>10</v>
      </c>
      <c r="AA94" s="5">
        <f t="shared" si="82"/>
        <v>11.600000000000001</v>
      </c>
      <c r="AB94" s="5">
        <f t="shared" si="82"/>
        <v>14.299999999999997</v>
      </c>
      <c r="AC94" s="5">
        <f t="shared" si="82"/>
        <v>13</v>
      </c>
      <c r="AD94" s="5">
        <f t="shared" si="82"/>
        <v>13.799999999999997</v>
      </c>
      <c r="AE94" s="5">
        <f t="shared" si="82"/>
        <v>14.600000000000001</v>
      </c>
      <c r="AF94" s="5">
        <f t="shared" si="82"/>
        <v>16.5</v>
      </c>
      <c r="AG94" s="5">
        <f t="shared" si="82"/>
        <v>16.799999999999997</v>
      </c>
      <c r="AH94" s="5">
        <f t="shared" si="82"/>
        <v>18.5</v>
      </c>
    </row>
    <row r="95" spans="2:34">
      <c r="B95" s="9">
        <v>358</v>
      </c>
      <c r="C95" s="10" t="s">
        <v>4</v>
      </c>
      <c r="D95" s="3">
        <v>16.8</v>
      </c>
      <c r="E95" s="3">
        <v>18.2</v>
      </c>
      <c r="F95" s="3">
        <v>20.100000000000001</v>
      </c>
      <c r="G95" s="3">
        <v>22.4</v>
      </c>
      <c r="H95" s="3">
        <v>23.8</v>
      </c>
      <c r="I95" s="3">
        <v>26.2</v>
      </c>
      <c r="J95" s="3">
        <v>27.8</v>
      </c>
      <c r="K95" s="3">
        <v>29.8</v>
      </c>
      <c r="L95" s="3">
        <v>31.5</v>
      </c>
      <c r="M95" s="3">
        <v>30.9</v>
      </c>
      <c r="N95" s="3">
        <v>32.799999999999997</v>
      </c>
      <c r="O95" s="3">
        <v>35</v>
      </c>
      <c r="P95" s="3">
        <v>35.799999999999997</v>
      </c>
      <c r="Q95" s="3">
        <v>35.6</v>
      </c>
      <c r="R95" s="3">
        <v>35.6</v>
      </c>
      <c r="U95" s="62"/>
      <c r="V95" s="42">
        <f t="shared" ref="V95:AH95" si="83">F95-20.1</f>
        <v>0</v>
      </c>
      <c r="W95" s="5">
        <f t="shared" si="83"/>
        <v>2.2999999999999972</v>
      </c>
      <c r="X95" s="5">
        <f t="shared" si="83"/>
        <v>3.6999999999999993</v>
      </c>
      <c r="Y95" s="5">
        <f t="shared" si="83"/>
        <v>6.0999999999999979</v>
      </c>
      <c r="Z95" s="5">
        <f t="shared" si="83"/>
        <v>7.6999999999999993</v>
      </c>
      <c r="AA95" s="5">
        <f t="shared" si="83"/>
        <v>9.6999999999999993</v>
      </c>
      <c r="AB95" s="5">
        <f t="shared" si="83"/>
        <v>11.399999999999999</v>
      </c>
      <c r="AC95" s="5">
        <f t="shared" si="83"/>
        <v>10.799999999999997</v>
      </c>
      <c r="AD95" s="5">
        <f t="shared" si="83"/>
        <v>12.699999999999996</v>
      </c>
      <c r="AE95" s="5">
        <f t="shared" si="83"/>
        <v>14.899999999999999</v>
      </c>
      <c r="AF95" s="5">
        <f t="shared" si="83"/>
        <v>15.699999999999996</v>
      </c>
      <c r="AG95" s="5">
        <f t="shared" si="83"/>
        <v>15.5</v>
      </c>
      <c r="AH95" s="5">
        <f t="shared" si="83"/>
        <v>15.5</v>
      </c>
    </row>
    <row r="96" spans="2:34">
      <c r="B96" s="9">
        <v>363</v>
      </c>
      <c r="C96" s="10" t="s">
        <v>4</v>
      </c>
      <c r="D96" s="3">
        <v>15.2</v>
      </c>
      <c r="E96" s="3">
        <v>19.8</v>
      </c>
      <c r="F96" s="3">
        <v>22.2</v>
      </c>
      <c r="G96" s="3">
        <v>22.8</v>
      </c>
      <c r="H96" s="3">
        <v>24</v>
      </c>
      <c r="I96" s="3">
        <v>24.8</v>
      </c>
      <c r="J96" s="3">
        <v>24.7</v>
      </c>
      <c r="K96" s="3">
        <v>25.4</v>
      </c>
      <c r="L96" s="3">
        <v>25.9</v>
      </c>
      <c r="M96" s="3">
        <v>26.7</v>
      </c>
      <c r="N96" s="3">
        <v>27.5</v>
      </c>
      <c r="O96" s="3">
        <v>28</v>
      </c>
      <c r="P96" s="3">
        <v>28.8</v>
      </c>
      <c r="Q96" s="3">
        <v>29.5</v>
      </c>
      <c r="R96" s="3">
        <v>29.9</v>
      </c>
      <c r="U96" s="62"/>
      <c r="V96" s="42">
        <f t="shared" ref="V96:AH96" si="84">F96-22.2</f>
        <v>0</v>
      </c>
      <c r="W96" s="5">
        <f t="shared" si="84"/>
        <v>0.60000000000000142</v>
      </c>
      <c r="X96" s="5">
        <f t="shared" si="84"/>
        <v>1.8000000000000007</v>
      </c>
      <c r="Y96" s="5">
        <f t="shared" si="84"/>
        <v>2.6000000000000014</v>
      </c>
      <c r="Z96" s="5">
        <f t="shared" si="84"/>
        <v>2.5</v>
      </c>
      <c r="AA96" s="5">
        <f t="shared" si="84"/>
        <v>3.1999999999999993</v>
      </c>
      <c r="AB96" s="5">
        <f t="shared" si="84"/>
        <v>3.6999999999999993</v>
      </c>
      <c r="AC96" s="5">
        <f t="shared" si="84"/>
        <v>4.5</v>
      </c>
      <c r="AD96" s="5">
        <f t="shared" si="84"/>
        <v>5.3000000000000007</v>
      </c>
      <c r="AE96" s="5">
        <f t="shared" si="84"/>
        <v>5.8000000000000007</v>
      </c>
      <c r="AF96" s="5">
        <f t="shared" si="84"/>
        <v>6.6000000000000014</v>
      </c>
      <c r="AG96" s="5">
        <f t="shared" si="84"/>
        <v>7.3000000000000007</v>
      </c>
      <c r="AH96" s="5">
        <f t="shared" si="84"/>
        <v>7.6999999999999993</v>
      </c>
    </row>
    <row r="97" spans="2:34">
      <c r="B97" s="9">
        <v>364</v>
      </c>
      <c r="C97" s="10" t="s">
        <v>4</v>
      </c>
      <c r="D97" s="3">
        <v>16.100000000000001</v>
      </c>
      <c r="E97" s="3">
        <v>20.399999999999999</v>
      </c>
      <c r="F97" s="3">
        <v>22</v>
      </c>
      <c r="G97" s="3">
        <v>24.3</v>
      </c>
      <c r="H97" s="3">
        <v>25.8</v>
      </c>
      <c r="I97" s="3">
        <v>27.9</v>
      </c>
      <c r="J97" s="3">
        <v>28.3</v>
      </c>
      <c r="K97" s="3">
        <v>29.1</v>
      </c>
      <c r="L97" s="3">
        <v>28.9</v>
      </c>
      <c r="M97" s="3">
        <v>30.6</v>
      </c>
      <c r="N97" s="3">
        <v>31.5</v>
      </c>
      <c r="O97" s="3">
        <v>32.4</v>
      </c>
      <c r="P97" s="3">
        <v>32.9</v>
      </c>
      <c r="Q97" s="3">
        <v>33.299999999999997</v>
      </c>
      <c r="R97" s="3">
        <v>34.5</v>
      </c>
      <c r="U97" s="62"/>
      <c r="V97" s="42">
        <f t="shared" ref="V97:AH97" si="85">F97-22</f>
        <v>0</v>
      </c>
      <c r="W97" s="5">
        <f t="shared" si="85"/>
        <v>2.3000000000000007</v>
      </c>
      <c r="X97" s="5">
        <f t="shared" si="85"/>
        <v>3.8000000000000007</v>
      </c>
      <c r="Y97" s="5">
        <f t="shared" si="85"/>
        <v>5.8999999999999986</v>
      </c>
      <c r="Z97" s="5">
        <f t="shared" si="85"/>
        <v>6.3000000000000007</v>
      </c>
      <c r="AA97" s="5">
        <f t="shared" si="85"/>
        <v>7.1000000000000014</v>
      </c>
      <c r="AB97" s="5">
        <f t="shared" si="85"/>
        <v>6.8999999999999986</v>
      </c>
      <c r="AC97" s="5">
        <f t="shared" si="85"/>
        <v>8.6000000000000014</v>
      </c>
      <c r="AD97" s="5">
        <f t="shared" si="85"/>
        <v>9.5</v>
      </c>
      <c r="AE97" s="5">
        <f t="shared" si="85"/>
        <v>10.399999999999999</v>
      </c>
      <c r="AF97" s="5">
        <f t="shared" si="85"/>
        <v>10.899999999999999</v>
      </c>
      <c r="AG97" s="5">
        <f t="shared" si="85"/>
        <v>11.299999999999997</v>
      </c>
      <c r="AH97" s="5">
        <f t="shared" si="85"/>
        <v>12.5</v>
      </c>
    </row>
    <row r="98" spans="2:34">
      <c r="B98" s="9">
        <v>454</v>
      </c>
      <c r="C98" s="10" t="s">
        <v>4</v>
      </c>
      <c r="D98" s="3">
        <v>16.8</v>
      </c>
      <c r="E98" s="3">
        <v>19.7</v>
      </c>
      <c r="F98" s="3">
        <v>20.6</v>
      </c>
      <c r="G98" s="3">
        <v>22.1</v>
      </c>
      <c r="H98" s="3">
        <v>23.7</v>
      </c>
      <c r="I98" s="3">
        <v>24.4</v>
      </c>
      <c r="J98" s="3">
        <v>25.3</v>
      </c>
      <c r="K98" s="3">
        <v>26.7</v>
      </c>
      <c r="L98" s="3">
        <v>28.2</v>
      </c>
      <c r="M98" s="3">
        <v>29.3</v>
      </c>
      <c r="N98" s="3">
        <v>29.8</v>
      </c>
      <c r="O98" s="3">
        <v>30.9</v>
      </c>
      <c r="P98" s="3">
        <v>32.299999999999997</v>
      </c>
      <c r="Q98" s="3">
        <v>33.5</v>
      </c>
      <c r="R98" s="3">
        <v>34.5</v>
      </c>
      <c r="U98" s="62"/>
      <c r="V98" s="42">
        <f t="shared" ref="V98:AH98" si="86">F98-20.6</f>
        <v>0</v>
      </c>
      <c r="W98" s="5">
        <f t="shared" si="86"/>
        <v>1.5</v>
      </c>
      <c r="X98" s="5">
        <f t="shared" si="86"/>
        <v>3.0999999999999979</v>
      </c>
      <c r="Y98" s="5">
        <f t="shared" si="86"/>
        <v>3.7999999999999972</v>
      </c>
      <c r="Z98" s="5">
        <f t="shared" si="86"/>
        <v>4.6999999999999993</v>
      </c>
      <c r="AA98" s="5">
        <f t="shared" si="86"/>
        <v>6.0999999999999979</v>
      </c>
      <c r="AB98" s="5">
        <f t="shared" si="86"/>
        <v>7.5999999999999979</v>
      </c>
      <c r="AC98" s="5">
        <f t="shared" si="86"/>
        <v>8.6999999999999993</v>
      </c>
      <c r="AD98" s="5">
        <f t="shared" si="86"/>
        <v>9.1999999999999993</v>
      </c>
      <c r="AE98" s="5">
        <f t="shared" si="86"/>
        <v>10.299999999999997</v>
      </c>
      <c r="AF98" s="5">
        <f t="shared" si="86"/>
        <v>11.699999999999996</v>
      </c>
      <c r="AG98" s="5">
        <f t="shared" si="86"/>
        <v>12.899999999999999</v>
      </c>
      <c r="AH98" s="5">
        <f t="shared" si="86"/>
        <v>13.899999999999999</v>
      </c>
    </row>
    <row r="99" spans="2:34">
      <c r="B99" s="9">
        <v>455</v>
      </c>
      <c r="C99" s="10" t="s">
        <v>4</v>
      </c>
      <c r="D99" s="3">
        <v>16.600000000000001</v>
      </c>
      <c r="E99" s="3">
        <v>19.600000000000001</v>
      </c>
      <c r="F99" s="3">
        <v>21</v>
      </c>
      <c r="G99" s="3">
        <v>22.1</v>
      </c>
      <c r="H99" s="3">
        <v>23.8</v>
      </c>
      <c r="I99" s="3">
        <v>24.2</v>
      </c>
      <c r="J99" s="3">
        <v>25.9</v>
      </c>
      <c r="K99" s="3">
        <v>27.1</v>
      </c>
      <c r="L99" s="3">
        <v>29.6</v>
      </c>
      <c r="M99" s="3">
        <v>31.5</v>
      </c>
      <c r="N99" s="3">
        <v>31.7</v>
      </c>
      <c r="O99" s="3">
        <v>33.700000000000003</v>
      </c>
      <c r="P99" s="3">
        <v>34.6</v>
      </c>
      <c r="Q99" s="3">
        <v>35.4</v>
      </c>
      <c r="R99" s="3">
        <v>35.5</v>
      </c>
      <c r="U99" s="62"/>
      <c r="V99" s="42">
        <f t="shared" ref="V99:AH99" si="87">F99-21</f>
        <v>0</v>
      </c>
      <c r="W99" s="5">
        <f t="shared" si="87"/>
        <v>1.1000000000000014</v>
      </c>
      <c r="X99" s="5">
        <f t="shared" si="87"/>
        <v>2.8000000000000007</v>
      </c>
      <c r="Y99" s="5">
        <f t="shared" si="87"/>
        <v>3.1999999999999993</v>
      </c>
      <c r="Z99" s="5">
        <f t="shared" si="87"/>
        <v>4.8999999999999986</v>
      </c>
      <c r="AA99" s="5">
        <f t="shared" si="87"/>
        <v>6.1000000000000014</v>
      </c>
      <c r="AB99" s="5">
        <f t="shared" si="87"/>
        <v>8.6000000000000014</v>
      </c>
      <c r="AC99" s="5">
        <f t="shared" si="87"/>
        <v>10.5</v>
      </c>
      <c r="AD99" s="5">
        <f t="shared" si="87"/>
        <v>10.7</v>
      </c>
      <c r="AE99" s="5">
        <f t="shared" si="87"/>
        <v>12.700000000000003</v>
      </c>
      <c r="AF99" s="5">
        <f t="shared" si="87"/>
        <v>13.600000000000001</v>
      </c>
      <c r="AG99" s="5">
        <f t="shared" si="87"/>
        <v>14.399999999999999</v>
      </c>
      <c r="AH99" s="5">
        <f t="shared" si="87"/>
        <v>14.5</v>
      </c>
    </row>
    <row r="100" spans="2:34">
      <c r="B100" s="9">
        <v>473</v>
      </c>
      <c r="C100" s="10" t="s">
        <v>4</v>
      </c>
      <c r="D100" s="3">
        <v>16.899999999999999</v>
      </c>
      <c r="E100" s="3">
        <v>20.8</v>
      </c>
      <c r="F100" s="3">
        <v>21.6</v>
      </c>
      <c r="G100" s="3">
        <v>23.5</v>
      </c>
      <c r="H100" s="3">
        <v>25.5</v>
      </c>
      <c r="I100" s="3">
        <v>26.5</v>
      </c>
      <c r="J100" s="3">
        <v>27.2</v>
      </c>
      <c r="K100" s="3">
        <v>27.8</v>
      </c>
      <c r="L100" s="3">
        <v>28.9</v>
      </c>
      <c r="M100" s="3">
        <v>30.2</v>
      </c>
      <c r="N100" s="3">
        <v>30.9</v>
      </c>
      <c r="O100" s="3">
        <v>31.5</v>
      </c>
      <c r="P100" s="3">
        <v>32.9</v>
      </c>
      <c r="Q100" s="3">
        <v>33.700000000000003</v>
      </c>
      <c r="R100" s="3">
        <v>33.299999999999997</v>
      </c>
      <c r="U100" s="62"/>
      <c r="V100" s="42">
        <f t="shared" ref="V100:AH100" si="88">F100-21.6</f>
        <v>0</v>
      </c>
      <c r="W100" s="5">
        <f t="shared" si="88"/>
        <v>1.8999999999999986</v>
      </c>
      <c r="X100" s="5">
        <f t="shared" si="88"/>
        <v>3.8999999999999986</v>
      </c>
      <c r="Y100" s="5">
        <f t="shared" si="88"/>
        <v>4.8999999999999986</v>
      </c>
      <c r="Z100" s="5">
        <f t="shared" si="88"/>
        <v>5.5999999999999979</v>
      </c>
      <c r="AA100" s="5">
        <f t="shared" si="88"/>
        <v>6.1999999999999993</v>
      </c>
      <c r="AB100" s="5">
        <f t="shared" si="88"/>
        <v>7.2999999999999972</v>
      </c>
      <c r="AC100" s="5">
        <f t="shared" si="88"/>
        <v>8.5999999999999979</v>
      </c>
      <c r="AD100" s="5">
        <f t="shared" si="88"/>
        <v>9.2999999999999972</v>
      </c>
      <c r="AE100" s="5">
        <f t="shared" si="88"/>
        <v>9.8999999999999986</v>
      </c>
      <c r="AF100" s="5">
        <f t="shared" si="88"/>
        <v>11.299999999999997</v>
      </c>
      <c r="AG100" s="5">
        <f t="shared" si="88"/>
        <v>12.100000000000001</v>
      </c>
      <c r="AH100" s="5">
        <f t="shared" si="88"/>
        <v>11.699999999999996</v>
      </c>
    </row>
    <row r="101" spans="2:34">
      <c r="B101" s="9">
        <v>481</v>
      </c>
      <c r="C101" s="10" t="s">
        <v>4</v>
      </c>
      <c r="D101" s="3">
        <v>17</v>
      </c>
      <c r="E101" s="3">
        <v>21.6</v>
      </c>
      <c r="F101" s="3">
        <v>22.8</v>
      </c>
      <c r="G101" s="3">
        <v>24.3</v>
      </c>
      <c r="H101" s="3">
        <v>25.3</v>
      </c>
      <c r="I101" s="3">
        <v>27.2</v>
      </c>
      <c r="J101" s="3">
        <v>29.4</v>
      </c>
      <c r="K101" s="3">
        <v>29.9</v>
      </c>
      <c r="L101" s="3">
        <v>31.1</v>
      </c>
      <c r="M101" s="3">
        <v>32.700000000000003</v>
      </c>
      <c r="N101" s="3">
        <v>34.1</v>
      </c>
      <c r="O101" s="3">
        <v>35.200000000000003</v>
      </c>
      <c r="P101" s="3">
        <v>35.5</v>
      </c>
      <c r="Q101" s="3">
        <v>36.6</v>
      </c>
      <c r="R101" s="3">
        <v>36.799999999999997</v>
      </c>
      <c r="U101" s="62"/>
      <c r="V101" s="42">
        <f t="shared" ref="V101:AH101" si="89">F101-22.8</f>
        <v>0</v>
      </c>
      <c r="W101" s="5">
        <f t="shared" si="89"/>
        <v>1.5</v>
      </c>
      <c r="X101" s="5">
        <f t="shared" si="89"/>
        <v>2.5</v>
      </c>
      <c r="Y101" s="5">
        <f t="shared" si="89"/>
        <v>4.3999999999999986</v>
      </c>
      <c r="Z101" s="5">
        <f t="shared" si="89"/>
        <v>6.5999999999999979</v>
      </c>
      <c r="AA101" s="5">
        <f t="shared" si="89"/>
        <v>7.0999999999999979</v>
      </c>
      <c r="AB101" s="5">
        <f t="shared" si="89"/>
        <v>8.3000000000000007</v>
      </c>
      <c r="AC101" s="5">
        <f t="shared" si="89"/>
        <v>9.9000000000000021</v>
      </c>
      <c r="AD101" s="5">
        <f t="shared" si="89"/>
        <v>11.3</v>
      </c>
      <c r="AE101" s="5">
        <f t="shared" si="89"/>
        <v>12.400000000000002</v>
      </c>
      <c r="AF101" s="5">
        <f t="shared" si="89"/>
        <v>12.7</v>
      </c>
      <c r="AG101" s="5">
        <f t="shared" si="89"/>
        <v>13.8</v>
      </c>
      <c r="AH101" s="5">
        <f t="shared" si="89"/>
        <v>13.999999999999996</v>
      </c>
    </row>
    <row r="102" spans="2:34">
      <c r="B102" s="9">
        <v>483</v>
      </c>
      <c r="C102" s="10" t="s">
        <v>4</v>
      </c>
      <c r="D102" s="3">
        <v>17.399999999999999</v>
      </c>
      <c r="E102" s="3">
        <v>22.1</v>
      </c>
      <c r="F102" s="3">
        <v>23.1</v>
      </c>
      <c r="G102" s="3">
        <v>24.9</v>
      </c>
      <c r="H102" s="3">
        <v>26.7</v>
      </c>
      <c r="I102" s="3">
        <v>29.7</v>
      </c>
      <c r="J102" s="3">
        <v>30.9</v>
      </c>
      <c r="K102" s="3">
        <v>32.1</v>
      </c>
      <c r="L102" s="3">
        <v>34</v>
      </c>
      <c r="M102" s="3">
        <v>36.4</v>
      </c>
      <c r="N102" s="3">
        <v>38.700000000000003</v>
      </c>
      <c r="O102" s="3">
        <v>40.6</v>
      </c>
      <c r="P102" s="3">
        <v>41.8</v>
      </c>
      <c r="Q102" s="3">
        <v>43.4</v>
      </c>
      <c r="R102" s="3">
        <v>44.2</v>
      </c>
      <c r="U102" s="63"/>
      <c r="V102" s="42">
        <f t="shared" ref="V102:AH102" si="90">F102-23.1</f>
        <v>0</v>
      </c>
      <c r="W102" s="5">
        <f t="shared" si="90"/>
        <v>1.7999999999999972</v>
      </c>
      <c r="X102" s="5">
        <f t="shared" si="90"/>
        <v>3.5999999999999979</v>
      </c>
      <c r="Y102" s="5">
        <f t="shared" si="90"/>
        <v>6.5999999999999979</v>
      </c>
      <c r="Z102" s="5">
        <f t="shared" si="90"/>
        <v>7.7999999999999972</v>
      </c>
      <c r="AA102" s="5">
        <f t="shared" si="90"/>
        <v>9</v>
      </c>
      <c r="AB102" s="5">
        <f t="shared" si="90"/>
        <v>10.899999999999999</v>
      </c>
      <c r="AC102" s="5">
        <f t="shared" si="90"/>
        <v>13.299999999999997</v>
      </c>
      <c r="AD102" s="5">
        <f t="shared" si="90"/>
        <v>15.600000000000001</v>
      </c>
      <c r="AE102" s="5">
        <f t="shared" si="90"/>
        <v>17.5</v>
      </c>
      <c r="AF102" s="5">
        <f t="shared" si="90"/>
        <v>18.699999999999996</v>
      </c>
      <c r="AG102" s="5">
        <f t="shared" si="90"/>
        <v>20.299999999999997</v>
      </c>
      <c r="AH102" s="5">
        <f t="shared" si="90"/>
        <v>21.1</v>
      </c>
    </row>
    <row r="103" spans="2:34">
      <c r="B103" s="9"/>
      <c r="C103" s="11" t="s">
        <v>2</v>
      </c>
      <c r="D103" s="12">
        <f t="shared" ref="D103:R103" si="91">AVERAGE(D81:D102)</f>
        <v>16.450000000000003</v>
      </c>
      <c r="E103" s="12">
        <f t="shared" si="91"/>
        <v>19.431818181818183</v>
      </c>
      <c r="F103" s="12">
        <f t="shared" si="91"/>
        <v>20.909090909090914</v>
      </c>
      <c r="G103" s="12">
        <f t="shared" si="91"/>
        <v>23.181818181818183</v>
      </c>
      <c r="H103" s="12">
        <f t="shared" si="91"/>
        <v>25.054545454545458</v>
      </c>
      <c r="I103" s="12">
        <f t="shared" si="91"/>
        <v>26.772727272727273</v>
      </c>
      <c r="J103" s="12">
        <f t="shared" si="91"/>
        <v>28.263636363636365</v>
      </c>
      <c r="K103" s="12">
        <f t="shared" si="91"/>
        <v>29.650000000000002</v>
      </c>
      <c r="L103" s="12">
        <f t="shared" si="91"/>
        <v>31.031818181818185</v>
      </c>
      <c r="M103" s="12">
        <f t="shared" si="91"/>
        <v>32.186363636363637</v>
      </c>
      <c r="N103" s="12">
        <f t="shared" si="91"/>
        <v>33.436363636363645</v>
      </c>
      <c r="O103" s="12">
        <f t="shared" si="91"/>
        <v>34.427272727272729</v>
      </c>
      <c r="P103" s="12">
        <f t="shared" si="91"/>
        <v>35.481818181818177</v>
      </c>
      <c r="Q103" s="12">
        <f t="shared" si="91"/>
        <v>36.695454545454545</v>
      </c>
      <c r="R103" s="12">
        <f t="shared" si="91"/>
        <v>37.177272727272722</v>
      </c>
      <c r="U103" s="43" t="s">
        <v>2</v>
      </c>
      <c r="V103" s="5">
        <f>AVERAGE(V81:V102)</f>
        <v>0</v>
      </c>
      <c r="W103" s="5">
        <f t="shared" ref="W103:AH103" si="92">AVERAGE(W81:W102)</f>
        <v>2.2727272727272729</v>
      </c>
      <c r="X103" s="5">
        <f t="shared" si="92"/>
        <v>4.1454545454545446</v>
      </c>
      <c r="Y103" s="5">
        <f t="shared" si="92"/>
        <v>5.8636363636363651</v>
      </c>
      <c r="Z103" s="5">
        <f t="shared" si="92"/>
        <v>7.3545454545454527</v>
      </c>
      <c r="AA103" s="5">
        <f t="shared" si="92"/>
        <v>8.7409090909090885</v>
      </c>
      <c r="AB103" s="5">
        <f t="shared" si="92"/>
        <v>10.122727272727273</v>
      </c>
      <c r="AC103" s="5">
        <f t="shared" si="92"/>
        <v>11.277272727272726</v>
      </c>
      <c r="AD103" s="5">
        <f t="shared" si="92"/>
        <v>12.527272727272729</v>
      </c>
      <c r="AE103" s="5">
        <f t="shared" si="92"/>
        <v>13.518181818181814</v>
      </c>
      <c r="AF103" s="5">
        <f t="shared" si="92"/>
        <v>14.572727272727271</v>
      </c>
      <c r="AG103" s="5">
        <f t="shared" si="92"/>
        <v>15.786363636363639</v>
      </c>
      <c r="AH103" s="5">
        <f t="shared" si="92"/>
        <v>16.268181818181816</v>
      </c>
    </row>
    <row r="104" spans="2:34">
      <c r="C104" s="11" t="s">
        <v>5</v>
      </c>
      <c r="D104" s="12">
        <f t="shared" ref="D104:R104" si="93">STDEV(D81:D102)/SQRT(COUNT(D81:D102))</f>
        <v>0.41533119314590056</v>
      </c>
      <c r="E104" s="12">
        <f t="shared" si="93"/>
        <v>0.45218978334037052</v>
      </c>
      <c r="F104" s="12">
        <f t="shared" si="93"/>
        <v>0.43905196425034004</v>
      </c>
      <c r="G104" s="12">
        <f t="shared" si="93"/>
        <v>0.38102370446060385</v>
      </c>
      <c r="H104" s="12">
        <f t="shared" si="93"/>
        <v>0.42276800064473419</v>
      </c>
      <c r="I104" s="12">
        <f t="shared" si="93"/>
        <v>0.55460222546679283</v>
      </c>
      <c r="J104" s="12">
        <f t="shared" si="93"/>
        <v>0.65483699615916258</v>
      </c>
      <c r="K104" s="12">
        <f t="shared" si="93"/>
        <v>0.69518286858869593</v>
      </c>
      <c r="L104" s="12">
        <f t="shared" si="93"/>
        <v>0.75361714658081591</v>
      </c>
      <c r="M104" s="12">
        <f t="shared" si="93"/>
        <v>0.72168919976855084</v>
      </c>
      <c r="N104" s="12">
        <f t="shared" si="93"/>
        <v>0.80042049161688344</v>
      </c>
      <c r="O104" s="12">
        <f t="shared" si="93"/>
        <v>0.82873663350516802</v>
      </c>
      <c r="P104" s="12">
        <f t="shared" si="93"/>
        <v>0.84175749877118289</v>
      </c>
      <c r="Q104" s="12">
        <f t="shared" si="93"/>
        <v>0.9197090936819009</v>
      </c>
      <c r="R104" s="12">
        <f t="shared" si="93"/>
        <v>0.916560760938809</v>
      </c>
      <c r="U104" s="43" t="s">
        <v>5</v>
      </c>
      <c r="V104" s="5">
        <f>STDEV(V81:V102)/SQRT(COUNT(V81:V102))</f>
        <v>0</v>
      </c>
      <c r="W104" s="5">
        <f t="shared" ref="W104:AH104" si="94">STDEV(W81:W102)/SQRT(COUNT(W81:W102))</f>
        <v>0.23254490961151103</v>
      </c>
      <c r="X104" s="5">
        <f t="shared" si="94"/>
        <v>0.29649666363491423</v>
      </c>
      <c r="Y104" s="5">
        <f t="shared" si="94"/>
        <v>0.41708872759915028</v>
      </c>
      <c r="Z104" s="5">
        <f t="shared" si="94"/>
        <v>0.51897865367971274</v>
      </c>
      <c r="AA104" s="5">
        <f t="shared" si="94"/>
        <v>0.60833528758183875</v>
      </c>
      <c r="AB104" s="5">
        <f t="shared" si="94"/>
        <v>0.66005154653037001</v>
      </c>
      <c r="AC104" s="5">
        <f t="shared" si="94"/>
        <v>0.6299155381498992</v>
      </c>
      <c r="AD104" s="5">
        <f t="shared" si="94"/>
        <v>0.68916103767698877</v>
      </c>
      <c r="AE104" s="5">
        <f t="shared" si="94"/>
        <v>0.73932917891116534</v>
      </c>
      <c r="AF104" s="5">
        <f t="shared" si="94"/>
        <v>0.77317532210306106</v>
      </c>
      <c r="AG104" s="5">
        <f t="shared" si="94"/>
        <v>0.8561035119309397</v>
      </c>
      <c r="AH104" s="5">
        <f t="shared" si="94"/>
        <v>0.86044351705667976</v>
      </c>
    </row>
    <row r="107" spans="2:34">
      <c r="C107" s="3" t="s">
        <v>161</v>
      </c>
      <c r="D107" s="3" t="s">
        <v>178</v>
      </c>
      <c r="E107" s="3">
        <v>7.7035703562707933E-2</v>
      </c>
      <c r="F107" s="3">
        <v>5.0100433214734584E-2</v>
      </c>
      <c r="G107" s="3">
        <v>5.6783197790383586E-2</v>
      </c>
      <c r="H107" s="3">
        <v>5.2546445183417799E-2</v>
      </c>
      <c r="I107" s="3">
        <v>5.863046148535745E-2</v>
      </c>
      <c r="J107" s="3">
        <v>6.9131638615556323E-2</v>
      </c>
      <c r="K107" s="3">
        <v>2.8184026581490301E-2</v>
      </c>
      <c r="L107" s="3">
        <v>2.3530397804884893E-2</v>
      </c>
      <c r="M107" s="3">
        <v>3.0625896344005449E-2</v>
      </c>
      <c r="N107" s="3">
        <v>3.4638538319863479E-2</v>
      </c>
      <c r="O107" s="3">
        <v>4.2870409570040083E-2</v>
      </c>
      <c r="P107" s="3">
        <v>4.4129912088465555E-2</v>
      </c>
      <c r="Q107" s="3">
        <v>4.544539002221968E-2</v>
      </c>
      <c r="R107" s="3">
        <v>2.059071202970263E-2</v>
      </c>
      <c r="U107" s="3" t="s">
        <v>161</v>
      </c>
      <c r="W107" s="3" t="s">
        <v>180</v>
      </c>
      <c r="X107" s="3">
        <v>0.70641586612506768</v>
      </c>
      <c r="Y107" s="3">
        <v>0.45340447964177411</v>
      </c>
      <c r="Z107" s="3">
        <v>0.4007686694641891</v>
      </c>
      <c r="AA107" s="3">
        <v>0.18940442347157296</v>
      </c>
      <c r="AB107" s="3">
        <v>0.13239548750490313</v>
      </c>
      <c r="AC107" s="3">
        <v>0.16640381558789855</v>
      </c>
      <c r="AD107" s="3">
        <v>0.15355783747769922</v>
      </c>
      <c r="AE107" s="3">
        <v>0.18555197469732621</v>
      </c>
      <c r="AF107" s="3">
        <v>0.19717077373175518</v>
      </c>
      <c r="AG107" s="3">
        <v>0.18925473274283178</v>
      </c>
      <c r="AH107" s="3">
        <v>0.1050643325443916</v>
      </c>
    </row>
  </sheetData>
  <mergeCells count="4">
    <mergeCell ref="U4:U26"/>
    <mergeCell ref="U32:U50"/>
    <mergeCell ref="U81:U102"/>
    <mergeCell ref="U59:U75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5"/>
  <sheetViews>
    <sheetView workbookViewId="0">
      <selection activeCell="E26" sqref="E26"/>
    </sheetView>
  </sheetViews>
  <sheetFormatPr baseColWidth="10" defaultColWidth="10.7109375" defaultRowHeight="16"/>
  <cols>
    <col min="1" max="1" width="14.28515625" style="3" customWidth="1"/>
    <col min="2" max="2" width="10.7109375" style="3"/>
    <col min="3" max="3" width="23" style="3" customWidth="1"/>
    <col min="4" max="4" width="40.28515625" style="3" customWidth="1"/>
    <col min="5" max="5" width="36" style="3" customWidth="1"/>
    <col min="6" max="6" width="32.5703125" style="3" customWidth="1"/>
    <col min="7" max="16384" width="10.7109375" style="3"/>
  </cols>
  <sheetData>
    <row r="2" spans="1:6" ht="26">
      <c r="B2" s="16"/>
      <c r="C2" s="16" t="s">
        <v>7</v>
      </c>
      <c r="D2" s="17" t="s">
        <v>84</v>
      </c>
      <c r="E2" s="17" t="s">
        <v>83</v>
      </c>
      <c r="F2" s="17" t="s">
        <v>85</v>
      </c>
    </row>
    <row r="3" spans="1:6" ht="26">
      <c r="A3" s="23" t="s">
        <v>3</v>
      </c>
      <c r="B3" s="21">
        <v>98</v>
      </c>
      <c r="C3" s="18">
        <v>35.200000000000003</v>
      </c>
      <c r="D3" s="39">
        <v>9.4545454545454533E-3</v>
      </c>
      <c r="E3" s="40">
        <v>1.2627840909090908E-2</v>
      </c>
      <c r="F3" s="40">
        <v>2.1477272727272725E-3</v>
      </c>
    </row>
    <row r="4" spans="1:6" ht="26">
      <c r="A4" s="23" t="s">
        <v>3</v>
      </c>
      <c r="B4" s="21">
        <v>123</v>
      </c>
      <c r="C4" s="18">
        <v>32.9</v>
      </c>
      <c r="D4" s="39">
        <v>1.1231003039513679E-2</v>
      </c>
      <c r="E4" s="40">
        <v>1.6182370820668694E-2</v>
      </c>
      <c r="F4" s="40">
        <v>2.2097264437689968E-3</v>
      </c>
    </row>
    <row r="5" spans="1:6" ht="26">
      <c r="A5" s="23" t="s">
        <v>3</v>
      </c>
      <c r="B5" s="21">
        <v>130</v>
      </c>
      <c r="C5" s="18">
        <v>38.4</v>
      </c>
      <c r="D5" s="39">
        <v>1.01875E-2</v>
      </c>
      <c r="E5" s="40">
        <v>1.8070312500000001E-2</v>
      </c>
      <c r="F5" s="40">
        <v>2.2656249999999998E-3</v>
      </c>
    </row>
    <row r="6" spans="1:6" ht="26">
      <c r="A6" s="23" t="s">
        <v>3</v>
      </c>
      <c r="B6" s="21">
        <v>131</v>
      </c>
      <c r="C6" s="18">
        <v>34.1</v>
      </c>
      <c r="D6" s="39">
        <v>1.0061583577712611E-2</v>
      </c>
      <c r="E6" s="40">
        <v>1.2595307917888564E-2</v>
      </c>
      <c r="F6" s="40">
        <v>1.530791788856305E-3</v>
      </c>
    </row>
    <row r="7" spans="1:6" ht="26">
      <c r="A7" s="23" t="s">
        <v>3</v>
      </c>
      <c r="B7" s="22">
        <v>165</v>
      </c>
      <c r="C7" s="18">
        <v>34</v>
      </c>
      <c r="D7" s="39">
        <v>1.038529411764706E-2</v>
      </c>
      <c r="E7" s="40">
        <v>1.5652941176470588E-2</v>
      </c>
      <c r="F7" s="40">
        <v>1.7911764705882351E-3</v>
      </c>
    </row>
    <row r="8" spans="1:6" ht="26">
      <c r="A8" s="23" t="s">
        <v>3</v>
      </c>
      <c r="B8" s="21">
        <v>384</v>
      </c>
      <c r="C8" s="18">
        <v>29.9</v>
      </c>
      <c r="D8" s="39">
        <v>8.9966555183946494E-3</v>
      </c>
      <c r="E8" s="40">
        <v>1.4585284280936457E-2</v>
      </c>
      <c r="F8" s="40">
        <v>2.1304347826086958E-3</v>
      </c>
    </row>
    <row r="9" spans="1:6" ht="26">
      <c r="A9" s="23" t="s">
        <v>3</v>
      </c>
      <c r="B9" s="21">
        <v>404</v>
      </c>
      <c r="C9" s="18">
        <v>33</v>
      </c>
      <c r="D9" s="39">
        <v>8.381818181818183E-3</v>
      </c>
      <c r="E9" s="40">
        <v>1.2684848484848486E-2</v>
      </c>
      <c r="F9" s="40">
        <v>1.9636363636363636E-3</v>
      </c>
    </row>
    <row r="10" spans="1:6" ht="26">
      <c r="A10" s="23" t="s">
        <v>3</v>
      </c>
      <c r="B10" s="21">
        <v>415</v>
      </c>
      <c r="C10" s="18">
        <v>34.6</v>
      </c>
      <c r="D10" s="39">
        <v>9.0867052023121363E-3</v>
      </c>
      <c r="E10" s="40">
        <v>1.2372832369942197E-2</v>
      </c>
      <c r="F10" s="40">
        <v>1.8872832369942194E-3</v>
      </c>
    </row>
    <row r="11" spans="1:6" ht="26">
      <c r="B11" s="19"/>
      <c r="C11" s="20"/>
      <c r="D11" s="41"/>
      <c r="E11" s="20"/>
      <c r="F11" s="20"/>
    </row>
    <row r="12" spans="1:6" ht="26">
      <c r="B12" s="19"/>
    </row>
    <row r="14" spans="1:6" ht="26">
      <c r="B14" s="16"/>
      <c r="C14" s="16" t="s">
        <v>7</v>
      </c>
      <c r="D14" s="17" t="s">
        <v>84</v>
      </c>
      <c r="E14" s="17" t="s">
        <v>83</v>
      </c>
      <c r="F14" s="17" t="s">
        <v>85</v>
      </c>
    </row>
    <row r="15" spans="1:6" ht="26">
      <c r="A15" s="23" t="s">
        <v>4</v>
      </c>
      <c r="B15" s="21">
        <v>88</v>
      </c>
      <c r="C15" s="18">
        <v>28.9</v>
      </c>
      <c r="D15" s="39">
        <v>5.8996539792387547E-3</v>
      </c>
      <c r="E15" s="40">
        <v>1.1311418685121106E-2</v>
      </c>
      <c r="F15" s="40">
        <v>1.5536332179930795E-3</v>
      </c>
    </row>
    <row r="16" spans="1:6" ht="26">
      <c r="A16" s="23" t="s">
        <v>4</v>
      </c>
      <c r="B16" s="22">
        <v>137</v>
      </c>
      <c r="C16" s="18">
        <v>31.6</v>
      </c>
      <c r="D16" s="39">
        <v>8.506329113924049E-3</v>
      </c>
      <c r="E16" s="40">
        <v>1.3886075949367088E-2</v>
      </c>
      <c r="F16" s="40">
        <v>1.4240506329113924E-3</v>
      </c>
    </row>
    <row r="17" spans="1:6" ht="26">
      <c r="A17" s="23" t="s">
        <v>4</v>
      </c>
      <c r="B17" s="22">
        <v>138</v>
      </c>
      <c r="C17" s="18">
        <v>32.799999999999997</v>
      </c>
      <c r="D17" s="39">
        <v>6.3932926829268297E-3</v>
      </c>
      <c r="E17" s="40">
        <v>9.0975609756097555E-3</v>
      </c>
      <c r="F17" s="40">
        <v>1.6219512195121955E-3</v>
      </c>
    </row>
    <row r="18" spans="1:6" ht="26">
      <c r="A18" s="23" t="s">
        <v>4</v>
      </c>
      <c r="B18" s="22">
        <v>169</v>
      </c>
      <c r="C18" s="18">
        <v>35.1</v>
      </c>
      <c r="D18" s="39">
        <v>6.9031339031339033E-3</v>
      </c>
      <c r="E18" s="40">
        <v>1.0937321937321937E-2</v>
      </c>
      <c r="F18" s="40">
        <v>1.7891737891737891E-3</v>
      </c>
    </row>
    <row r="19" spans="1:6" ht="26">
      <c r="A19" s="23" t="s">
        <v>4</v>
      </c>
      <c r="B19" s="21">
        <v>380</v>
      </c>
      <c r="C19" s="18">
        <v>28.7</v>
      </c>
      <c r="D19" s="39">
        <v>7.5923344947735191E-3</v>
      </c>
      <c r="E19" s="40">
        <v>1.4536585365853659E-2</v>
      </c>
      <c r="F19" s="40">
        <v>2.2752613240418114E-3</v>
      </c>
    </row>
    <row r="20" spans="1:6" ht="26">
      <c r="A20" s="23" t="s">
        <v>4</v>
      </c>
      <c r="B20" s="22">
        <v>382</v>
      </c>
      <c r="C20" s="18">
        <v>28.3</v>
      </c>
      <c r="D20" s="39">
        <v>7.8091872791519433E-3</v>
      </c>
      <c r="E20" s="40">
        <v>9.7314487632508811E-3</v>
      </c>
      <c r="F20" s="40">
        <v>2.4310954063604239E-3</v>
      </c>
    </row>
    <row r="21" spans="1:6" ht="26">
      <c r="A21" s="23" t="s">
        <v>4</v>
      </c>
      <c r="B21" s="22">
        <v>383</v>
      </c>
      <c r="C21" s="18">
        <v>29.3</v>
      </c>
      <c r="D21" s="39">
        <v>9.9419795221843011E-3</v>
      </c>
      <c r="E21" s="40">
        <v>1.1331058020477815E-2</v>
      </c>
      <c r="F21" s="40">
        <v>2.627986348122867E-3</v>
      </c>
    </row>
    <row r="22" spans="1:6" ht="26">
      <c r="A22" s="23" t="s">
        <v>4</v>
      </c>
      <c r="B22" s="21">
        <v>406</v>
      </c>
      <c r="C22" s="18">
        <v>32.700000000000003</v>
      </c>
      <c r="D22" s="39">
        <v>1.0003058103975535E-2</v>
      </c>
      <c r="E22" s="40">
        <v>1.8746177370030578E-2</v>
      </c>
      <c r="F22" s="40">
        <v>2.4434250764525994E-3</v>
      </c>
    </row>
    <row r="23" spans="1:6" ht="26">
      <c r="A23" s="23" t="s">
        <v>4</v>
      </c>
      <c r="B23" s="22">
        <v>413</v>
      </c>
      <c r="C23" s="18">
        <v>33.799999999999997</v>
      </c>
      <c r="D23" s="39">
        <v>8.1923076923076914E-3</v>
      </c>
      <c r="E23" s="40">
        <v>1.5878698224852075E-2</v>
      </c>
      <c r="F23" s="40">
        <v>1.9615384615384616E-3</v>
      </c>
    </row>
    <row r="24" spans="1:6" ht="26">
      <c r="B24" s="19"/>
      <c r="C24" s="20"/>
      <c r="D24" s="41"/>
      <c r="E24" s="20"/>
      <c r="F24" s="20"/>
    </row>
    <row r="25" spans="1:6" ht="18" customHeight="1">
      <c r="A25" s="3" t="s">
        <v>161</v>
      </c>
      <c r="B25" s="19"/>
      <c r="C25" s="3" t="s">
        <v>195</v>
      </c>
      <c r="D25" s="3" t="s">
        <v>196</v>
      </c>
      <c r="E25" s="3" t="s">
        <v>197</v>
      </c>
      <c r="F25" s="3" t="s">
        <v>181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R12"/>
  <sheetViews>
    <sheetView workbookViewId="0">
      <selection activeCell="H32" sqref="H32"/>
    </sheetView>
  </sheetViews>
  <sheetFormatPr baseColWidth="10" defaultColWidth="11.5703125" defaultRowHeight="20"/>
  <sheetData>
    <row r="3" spans="2:18" ht="38" customHeight="1">
      <c r="B3" s="3"/>
      <c r="C3" s="55" t="s">
        <v>3</v>
      </c>
      <c r="D3" s="55"/>
      <c r="E3" s="55"/>
      <c r="F3" s="55"/>
      <c r="G3" s="55"/>
      <c r="H3" s="55"/>
      <c r="I3" s="55"/>
      <c r="J3" s="55"/>
      <c r="K3" s="55"/>
      <c r="L3" s="55" t="s">
        <v>4</v>
      </c>
      <c r="M3" s="55"/>
      <c r="N3" s="55"/>
      <c r="O3" s="55"/>
      <c r="P3" s="55"/>
      <c r="Q3" s="55"/>
      <c r="R3" s="55"/>
    </row>
    <row r="4" spans="2:18">
      <c r="B4" s="3"/>
      <c r="C4" s="49" t="s">
        <v>103</v>
      </c>
      <c r="D4" s="49" t="s">
        <v>104</v>
      </c>
      <c r="E4" s="49" t="s">
        <v>105</v>
      </c>
      <c r="F4" s="49" t="s">
        <v>114</v>
      </c>
      <c r="G4" s="49" t="s">
        <v>115</v>
      </c>
      <c r="H4" s="49" t="s">
        <v>116</v>
      </c>
      <c r="I4" s="49" t="s">
        <v>117</v>
      </c>
      <c r="J4" s="49" t="s">
        <v>118</v>
      </c>
      <c r="K4" s="49" t="s">
        <v>119</v>
      </c>
      <c r="L4" s="49" t="s">
        <v>106</v>
      </c>
      <c r="M4" s="49" t="s">
        <v>107</v>
      </c>
      <c r="N4" s="49" t="s">
        <v>108</v>
      </c>
      <c r="O4" s="49" t="s">
        <v>109</v>
      </c>
      <c r="P4" s="49" t="s">
        <v>110</v>
      </c>
      <c r="Q4" s="49" t="s">
        <v>112</v>
      </c>
      <c r="R4" s="49" t="s">
        <v>113</v>
      </c>
    </row>
    <row r="5" spans="2:18">
      <c r="B5" s="5" t="s">
        <v>111</v>
      </c>
      <c r="C5" s="5">
        <v>1808.4414285714283</v>
      </c>
      <c r="D5" s="5">
        <v>1435.6842857142858</v>
      </c>
      <c r="E5" s="5">
        <v>1853.7314285714288</v>
      </c>
      <c r="F5" s="5">
        <v>1683.7214285714285</v>
      </c>
      <c r="G5" s="5">
        <v>1602.1928571428568</v>
      </c>
      <c r="H5" s="5">
        <v>1391.2571428571428</v>
      </c>
      <c r="I5" s="5">
        <v>1655.3985714285714</v>
      </c>
      <c r="J5" s="5">
        <v>2077.6385714285711</v>
      </c>
      <c r="K5" s="5">
        <v>1837.44</v>
      </c>
      <c r="L5" s="5">
        <v>2033.1042857142859</v>
      </c>
      <c r="M5" s="5">
        <v>1667.9757142857143</v>
      </c>
      <c r="N5" s="5">
        <v>1644.5342857142855</v>
      </c>
      <c r="O5" s="5">
        <v>1710.27</v>
      </c>
      <c r="P5" s="5">
        <v>1518.5742857142857</v>
      </c>
      <c r="Q5" s="5">
        <v>1685.4242857142856</v>
      </c>
      <c r="R5" s="5">
        <v>2493.207142857143</v>
      </c>
    </row>
    <row r="6" spans="2:18">
      <c r="B6" s="5" t="s">
        <v>102</v>
      </c>
      <c r="C6" s="5">
        <v>3187.4028571428571</v>
      </c>
      <c r="D6" s="5">
        <v>2034.3071428571427</v>
      </c>
      <c r="E6" s="5">
        <v>2825.8271428571429</v>
      </c>
      <c r="F6" s="5">
        <v>2354.5342857142859</v>
      </c>
      <c r="G6" s="5">
        <v>2526.227142857143</v>
      </c>
      <c r="H6" s="5">
        <v>2102.8328571428569</v>
      </c>
      <c r="I6" s="5">
        <v>1773.8142857142855</v>
      </c>
      <c r="J6" s="5">
        <v>2604.5971428571429</v>
      </c>
      <c r="K6" s="5">
        <v>2718.2200000000007</v>
      </c>
      <c r="L6" s="5">
        <v>4208.7657142857142</v>
      </c>
      <c r="M6" s="5">
        <v>2168.3357142857144</v>
      </c>
      <c r="N6" s="5">
        <v>3701.542857142857</v>
      </c>
      <c r="O6" s="5">
        <v>2779.5514285714285</v>
      </c>
      <c r="P6" s="5">
        <v>3840.5614285714287</v>
      </c>
      <c r="Q6" s="5">
        <v>2363.9228571428571</v>
      </c>
      <c r="R6" s="5">
        <v>3284.7385714285715</v>
      </c>
    </row>
    <row r="8" spans="2:18">
      <c r="B8" s="3" t="s">
        <v>148</v>
      </c>
    </row>
    <row r="9" spans="2:18">
      <c r="B9" s="89" t="s">
        <v>182</v>
      </c>
      <c r="C9" s="3"/>
      <c r="D9" s="3"/>
      <c r="F9" s="88" t="s">
        <v>185</v>
      </c>
    </row>
    <row r="10" spans="2:18">
      <c r="B10" s="89" t="s">
        <v>183</v>
      </c>
      <c r="C10" s="3"/>
      <c r="D10" s="3"/>
      <c r="F10" s="88" t="s">
        <v>186</v>
      </c>
    </row>
    <row r="11" spans="2:18">
      <c r="B11" s="89" t="s">
        <v>184</v>
      </c>
      <c r="C11" s="3"/>
      <c r="D11" s="3"/>
      <c r="F11" s="88" t="s">
        <v>187</v>
      </c>
    </row>
    <row r="12" spans="2:18">
      <c r="B12" s="89" t="s">
        <v>149</v>
      </c>
      <c r="C12" s="3"/>
      <c r="D12" s="3"/>
      <c r="F12" s="88" t="s">
        <v>162</v>
      </c>
    </row>
  </sheetData>
  <mergeCells count="2">
    <mergeCell ref="C3:K3"/>
    <mergeCell ref="L3:R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Fig.1A</vt:lpstr>
      <vt:lpstr>Fig.1B,C</vt:lpstr>
      <vt:lpstr>Fig.1D</vt:lpstr>
      <vt:lpstr>Fig.1E</vt:lpstr>
      <vt:lpstr>Fig.1F</vt:lpstr>
      <vt:lpstr>Fig.2A    </vt:lpstr>
      <vt:lpstr>Fig.2B   </vt:lpstr>
      <vt:lpstr>Fig.2C,D    </vt:lpstr>
      <vt:lpstr>Fig. 2E</vt:lpstr>
      <vt:lpstr>Fig.3A   </vt:lpstr>
      <vt:lpstr>Fig.3C   </vt:lpstr>
      <vt:lpstr>Fig.3F</vt:lpstr>
      <vt:lpstr>Fig.4A   </vt:lpstr>
      <vt:lpstr>Fig.4B  </vt:lpstr>
      <vt:lpstr>Fig.4C   </vt:lpstr>
      <vt:lpstr>Fig. 4D  </vt:lpstr>
      <vt:lpstr>Fig.4E  </vt:lpstr>
      <vt:lpstr>Fig.4F</vt:lpstr>
      <vt:lpstr>Fig.5D   </vt:lpstr>
      <vt:lpstr>Fig.5E  </vt:lpstr>
      <vt:lpstr>Fig.5F   </vt:lpstr>
      <vt:lpstr>Fig.7B</vt:lpstr>
      <vt:lpstr>Fig.7C</vt:lpstr>
      <vt:lpstr>Fig.7D,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Fukunaka  Ayako</dc:creator>
  <cp:lastModifiedBy>Fukunaka  Ayako</cp:lastModifiedBy>
  <dcterms:created xsi:type="dcterms:W3CDTF">2023-03-29T00:48:28Z</dcterms:created>
  <dcterms:modified xsi:type="dcterms:W3CDTF">2026-05-05T05:45:07Z</dcterms:modified>
</cp:coreProperties>
</file>