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kryding/Desktop/"/>
    </mc:Choice>
  </mc:AlternateContent>
  <xr:revisionPtr revIDLastSave="0" documentId="13_ncr:1_{CECBD135-99CF-E74A-B524-109BF9ECB3A7}" xr6:coauthVersionLast="47" xr6:coauthVersionMax="47" xr10:uidLastSave="{00000000-0000-0000-0000-000000000000}"/>
  <bookViews>
    <workbookView xWindow="0" yWindow="480" windowWidth="38400" windowHeight="19420" activeTab="9" xr2:uid="{BDCD5830-51F5-8041-9F94-4C38FDF310DF}"/>
  </bookViews>
  <sheets>
    <sheet name="Pat 1" sheetId="1" r:id="rId1"/>
    <sheet name="Pat 2" sheetId="2" r:id="rId2"/>
    <sheet name="Pat 3" sheetId="3" r:id="rId3"/>
    <sheet name="Pat 4" sheetId="4" r:id="rId4"/>
    <sheet name="Pat 5" sheetId="5" r:id="rId5"/>
    <sheet name="Pat 6" sheetId="6" r:id="rId6"/>
    <sheet name="Pat 7" sheetId="7" r:id="rId7"/>
    <sheet name="Pat 9" sheetId="8" r:id="rId8"/>
    <sheet name="Pat 10" sheetId="9" r:id="rId9"/>
    <sheet name="rICP table" sheetId="10" r:id="rId10"/>
  </sheets>
  <externalReferences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0" l="1"/>
  <c r="D20" i="10" s="1"/>
  <c r="H38" i="8"/>
  <c r="I38" i="8" s="1"/>
  <c r="E38" i="8"/>
  <c r="D38" i="8"/>
  <c r="F38" i="8" s="1"/>
  <c r="H37" i="8"/>
  <c r="I37" i="8" s="1"/>
  <c r="E37" i="8"/>
  <c r="D37" i="8"/>
  <c r="H36" i="8"/>
  <c r="I36" i="8" s="1"/>
  <c r="E36" i="8"/>
  <c r="F36" i="8" s="1"/>
  <c r="D36" i="8"/>
  <c r="H35" i="8"/>
  <c r="I35" i="8" s="1"/>
  <c r="E35" i="8"/>
  <c r="F35" i="8" s="1"/>
  <c r="D35" i="8"/>
  <c r="H34" i="8"/>
  <c r="I34" i="8" s="1"/>
  <c r="E34" i="8"/>
  <c r="F34" i="8" s="1"/>
  <c r="D34" i="8"/>
  <c r="H33" i="8"/>
  <c r="I33" i="8" s="1"/>
  <c r="E33" i="8"/>
  <c r="D33" i="8"/>
  <c r="H32" i="8"/>
  <c r="I32" i="8" s="1"/>
  <c r="E32" i="8"/>
  <c r="D32" i="8"/>
  <c r="H31" i="8"/>
  <c r="I31" i="8" s="1"/>
  <c r="E31" i="8"/>
  <c r="D31" i="8"/>
  <c r="H30" i="8"/>
  <c r="I30" i="8" s="1"/>
  <c r="E30" i="8"/>
  <c r="D30" i="8"/>
  <c r="F30" i="8" s="1"/>
  <c r="H29" i="8"/>
  <c r="I29" i="8" s="1"/>
  <c r="E29" i="8"/>
  <c r="F29" i="8" s="1"/>
  <c r="D29" i="8"/>
  <c r="H28" i="8"/>
  <c r="I28" i="8" s="1"/>
  <c r="E28" i="8"/>
  <c r="F28" i="8" s="1"/>
  <c r="D28" i="8"/>
  <c r="H27" i="8"/>
  <c r="I27" i="8" s="1"/>
  <c r="E27" i="8"/>
  <c r="D27" i="8"/>
  <c r="F27" i="8" s="1"/>
  <c r="I26" i="8"/>
  <c r="H26" i="8"/>
  <c r="E26" i="8"/>
  <c r="D26" i="8"/>
  <c r="F26" i="8" s="1"/>
  <c r="I25" i="8"/>
  <c r="H25" i="8"/>
  <c r="E25" i="8"/>
  <c r="D25" i="8"/>
  <c r="F25" i="8" s="1"/>
  <c r="H24" i="8"/>
  <c r="I24" i="8" s="1"/>
  <c r="E24" i="8"/>
  <c r="D24" i="8"/>
  <c r="F24" i="8" s="1"/>
  <c r="H23" i="8"/>
  <c r="I23" i="8" s="1"/>
  <c r="E23" i="8"/>
  <c r="D23" i="8"/>
  <c r="F23" i="8" s="1"/>
  <c r="I22" i="8"/>
  <c r="H22" i="8"/>
  <c r="E22" i="8"/>
  <c r="D22" i="8"/>
  <c r="F22" i="8" s="1"/>
  <c r="H21" i="8"/>
  <c r="I21" i="8" s="1"/>
  <c r="E21" i="8"/>
  <c r="D21" i="8"/>
  <c r="F21" i="8" s="1"/>
  <c r="H20" i="8"/>
  <c r="I20" i="8" s="1"/>
  <c r="E20" i="8"/>
  <c r="D20" i="8"/>
  <c r="H19" i="8"/>
  <c r="I19" i="8" s="1"/>
  <c r="E19" i="8"/>
  <c r="D19" i="8"/>
  <c r="B19" i="8"/>
  <c r="I18" i="8"/>
  <c r="H18" i="8"/>
  <c r="E18" i="8"/>
  <c r="D18" i="8"/>
  <c r="F18" i="8" s="1"/>
  <c r="H17" i="8"/>
  <c r="I17" i="8" s="1"/>
  <c r="F17" i="8"/>
  <c r="E17" i="8"/>
  <c r="D17" i="8"/>
  <c r="I16" i="8"/>
  <c r="H16" i="8"/>
  <c r="E16" i="8"/>
  <c r="D16" i="8"/>
  <c r="H15" i="8"/>
  <c r="I15" i="8" s="1"/>
  <c r="E15" i="8"/>
  <c r="D15" i="8"/>
  <c r="H14" i="8"/>
  <c r="I14" i="8" s="1"/>
  <c r="E14" i="8"/>
  <c r="D14" i="8"/>
  <c r="H13" i="8"/>
  <c r="I13" i="8" s="1"/>
  <c r="F13" i="8"/>
  <c r="E13" i="8"/>
  <c r="D13" i="8"/>
  <c r="H12" i="8"/>
  <c r="I12" i="8" s="1"/>
  <c r="E12" i="8"/>
  <c r="F12" i="8" s="1"/>
  <c r="D12" i="8"/>
  <c r="H11" i="8"/>
  <c r="I11" i="8" s="1"/>
  <c r="E11" i="8"/>
  <c r="D11" i="8"/>
  <c r="B11" i="8"/>
  <c r="H10" i="8"/>
  <c r="I10" i="8" s="1"/>
  <c r="E10" i="8"/>
  <c r="D10" i="8"/>
  <c r="H9" i="8"/>
  <c r="I9" i="8" s="1"/>
  <c r="E9" i="8"/>
  <c r="D9" i="8"/>
  <c r="F9" i="8" s="1"/>
  <c r="H8" i="8"/>
  <c r="I8" i="8" s="1"/>
  <c r="E8" i="8"/>
  <c r="D8" i="8"/>
  <c r="F8" i="8" s="1"/>
  <c r="I7" i="8"/>
  <c r="H7" i="8"/>
  <c r="E7" i="8"/>
  <c r="D7" i="8"/>
  <c r="F7" i="8" s="1"/>
  <c r="H6" i="8"/>
  <c r="I6" i="8" s="1"/>
  <c r="E6" i="8"/>
  <c r="D6" i="8"/>
  <c r="F6" i="8" s="1"/>
  <c r="B6" i="8"/>
  <c r="I5" i="8"/>
  <c r="E5" i="8"/>
  <c r="D5" i="8"/>
  <c r="F5" i="8" s="1"/>
  <c r="H4" i="8"/>
  <c r="H42" i="8" s="1"/>
  <c r="F4" i="8"/>
  <c r="G4" i="8" s="1"/>
  <c r="E4" i="8"/>
  <c r="D4" i="8"/>
  <c r="I33" i="7"/>
  <c r="H33" i="7"/>
  <c r="E33" i="7"/>
  <c r="D33" i="7"/>
  <c r="F33" i="7" s="1"/>
  <c r="H32" i="7"/>
  <c r="I32" i="7" s="1"/>
  <c r="E32" i="7"/>
  <c r="D32" i="7"/>
  <c r="H31" i="7"/>
  <c r="I31" i="7" s="1"/>
  <c r="E31" i="7"/>
  <c r="D31" i="7"/>
  <c r="H30" i="7"/>
  <c r="I30" i="7" s="1"/>
  <c r="E30" i="7"/>
  <c r="D30" i="7"/>
  <c r="F30" i="7" s="1"/>
  <c r="H29" i="7"/>
  <c r="I29" i="7" s="1"/>
  <c r="F29" i="7"/>
  <c r="E29" i="7"/>
  <c r="D29" i="7"/>
  <c r="H28" i="7"/>
  <c r="I28" i="7" s="1"/>
  <c r="F28" i="7"/>
  <c r="E28" i="7"/>
  <c r="D28" i="7"/>
  <c r="I27" i="7"/>
  <c r="H27" i="7"/>
  <c r="E27" i="7"/>
  <c r="D27" i="7"/>
  <c r="F27" i="7" s="1"/>
  <c r="H26" i="7"/>
  <c r="I26" i="7" s="1"/>
  <c r="E26" i="7"/>
  <c r="D26" i="7"/>
  <c r="H25" i="7"/>
  <c r="I25" i="7" s="1"/>
  <c r="E25" i="7"/>
  <c r="D25" i="7"/>
  <c r="H24" i="7"/>
  <c r="I24" i="7" s="1"/>
  <c r="E24" i="7"/>
  <c r="D24" i="7"/>
  <c r="F24" i="7" s="1"/>
  <c r="H23" i="7"/>
  <c r="I23" i="7" s="1"/>
  <c r="E23" i="7"/>
  <c r="D23" i="7"/>
  <c r="F23" i="7" s="1"/>
  <c r="H22" i="7"/>
  <c r="I22" i="7" s="1"/>
  <c r="F22" i="7"/>
  <c r="E22" i="7"/>
  <c r="D22" i="7"/>
  <c r="H21" i="7"/>
  <c r="I21" i="7" s="1"/>
  <c r="E21" i="7"/>
  <c r="D21" i="7"/>
  <c r="H20" i="7"/>
  <c r="I20" i="7" s="1"/>
  <c r="E20" i="7"/>
  <c r="D20" i="7"/>
  <c r="H19" i="7"/>
  <c r="I19" i="7" s="1"/>
  <c r="E19" i="7"/>
  <c r="D19" i="7"/>
  <c r="B19" i="7"/>
  <c r="H18" i="7"/>
  <c r="I18" i="7" s="1"/>
  <c r="E18" i="7"/>
  <c r="D18" i="7"/>
  <c r="H17" i="7"/>
  <c r="I17" i="7" s="1"/>
  <c r="E17" i="7"/>
  <c r="D17" i="7"/>
  <c r="F17" i="7" s="1"/>
  <c r="H16" i="7"/>
  <c r="I16" i="7" s="1"/>
  <c r="F16" i="7"/>
  <c r="E16" i="7"/>
  <c r="D16" i="7"/>
  <c r="H15" i="7"/>
  <c r="I15" i="7" s="1"/>
  <c r="E15" i="7"/>
  <c r="D15" i="7"/>
  <c r="H14" i="7"/>
  <c r="I14" i="7" s="1"/>
  <c r="E14" i="7"/>
  <c r="D14" i="7"/>
  <c r="H13" i="7"/>
  <c r="I13" i="7" s="1"/>
  <c r="E13" i="7"/>
  <c r="D13" i="7"/>
  <c r="F13" i="7" s="1"/>
  <c r="H12" i="7"/>
  <c r="I12" i="7" s="1"/>
  <c r="F12" i="7"/>
  <c r="E12" i="7"/>
  <c r="D12" i="7"/>
  <c r="H11" i="7"/>
  <c r="I11" i="7" s="1"/>
  <c r="E11" i="7"/>
  <c r="D11" i="7"/>
  <c r="B11" i="7"/>
  <c r="I10" i="7"/>
  <c r="H10" i="7"/>
  <c r="E10" i="7"/>
  <c r="D10" i="7"/>
  <c r="F10" i="7" s="1"/>
  <c r="H9" i="7"/>
  <c r="I9" i="7" s="1"/>
  <c r="E9" i="7"/>
  <c r="D9" i="7"/>
  <c r="H8" i="7"/>
  <c r="I8" i="7" s="1"/>
  <c r="F8" i="7"/>
  <c r="E8" i="7"/>
  <c r="D8" i="7"/>
  <c r="H7" i="7"/>
  <c r="I7" i="7" s="1"/>
  <c r="E7" i="7"/>
  <c r="D7" i="7"/>
  <c r="F7" i="7" s="1"/>
  <c r="I6" i="7"/>
  <c r="H6" i="7"/>
  <c r="E6" i="7"/>
  <c r="D6" i="7"/>
  <c r="F6" i="7" s="1"/>
  <c r="B6" i="7"/>
  <c r="I5" i="7"/>
  <c r="H5" i="7"/>
  <c r="E5" i="7"/>
  <c r="D5" i="7"/>
  <c r="F5" i="7" s="1"/>
  <c r="I4" i="7"/>
  <c r="J4" i="7" s="1"/>
  <c r="J5" i="7" s="1"/>
  <c r="E4" i="7"/>
  <c r="D4" i="7"/>
  <c r="D35" i="7" s="1"/>
  <c r="D36" i="7" s="1"/>
  <c r="H33" i="6"/>
  <c r="I33" i="6" s="1"/>
  <c r="E33" i="6"/>
  <c r="D33" i="6"/>
  <c r="F33" i="6" s="1"/>
  <c r="H32" i="6"/>
  <c r="I32" i="6" s="1"/>
  <c r="E32" i="6"/>
  <c r="D32" i="6"/>
  <c r="F32" i="6" s="1"/>
  <c r="H31" i="6"/>
  <c r="I31" i="6" s="1"/>
  <c r="E31" i="6"/>
  <c r="D31" i="6"/>
  <c r="F31" i="6" s="1"/>
  <c r="H30" i="6"/>
  <c r="I30" i="6" s="1"/>
  <c r="F30" i="6"/>
  <c r="E30" i="6"/>
  <c r="D30" i="6"/>
  <c r="H29" i="6"/>
  <c r="I29" i="6" s="1"/>
  <c r="E29" i="6"/>
  <c r="D29" i="6"/>
  <c r="F29" i="6" s="1"/>
  <c r="H28" i="6"/>
  <c r="I28" i="6" s="1"/>
  <c r="E28" i="6"/>
  <c r="D28" i="6"/>
  <c r="F28" i="6" s="1"/>
  <c r="H27" i="6"/>
  <c r="I27" i="6" s="1"/>
  <c r="E27" i="6"/>
  <c r="D27" i="6"/>
  <c r="H26" i="6"/>
  <c r="I26" i="6" s="1"/>
  <c r="E26" i="6"/>
  <c r="F26" i="6" s="1"/>
  <c r="D26" i="6"/>
  <c r="H25" i="6"/>
  <c r="I25" i="6" s="1"/>
  <c r="E25" i="6"/>
  <c r="F25" i="6" s="1"/>
  <c r="D25" i="6"/>
  <c r="H24" i="6"/>
  <c r="I24" i="6" s="1"/>
  <c r="F24" i="6"/>
  <c r="E24" i="6"/>
  <c r="D24" i="6"/>
  <c r="H23" i="6"/>
  <c r="I23" i="6" s="1"/>
  <c r="E23" i="6"/>
  <c r="D23" i="6"/>
  <c r="F23" i="6" s="1"/>
  <c r="I22" i="6"/>
  <c r="H22" i="6"/>
  <c r="E22" i="6"/>
  <c r="D22" i="6"/>
  <c r="F22" i="6" s="1"/>
  <c r="H21" i="6"/>
  <c r="I21" i="6" s="1"/>
  <c r="E21" i="6"/>
  <c r="D21" i="6"/>
  <c r="F21" i="6" s="1"/>
  <c r="H20" i="6"/>
  <c r="I20" i="6" s="1"/>
  <c r="E20" i="6"/>
  <c r="D20" i="6"/>
  <c r="H19" i="6"/>
  <c r="I19" i="6" s="1"/>
  <c r="E19" i="6"/>
  <c r="F19" i="6" s="1"/>
  <c r="D19" i="6"/>
  <c r="B19" i="6"/>
  <c r="H18" i="6"/>
  <c r="I18" i="6" s="1"/>
  <c r="F18" i="6"/>
  <c r="E18" i="6"/>
  <c r="D18" i="6"/>
  <c r="H17" i="6"/>
  <c r="I17" i="6" s="1"/>
  <c r="E17" i="6"/>
  <c r="D17" i="6"/>
  <c r="F17" i="6" s="1"/>
  <c r="I16" i="6"/>
  <c r="H16" i="6"/>
  <c r="E16" i="6"/>
  <c r="D16" i="6"/>
  <c r="F16" i="6" s="1"/>
  <c r="H15" i="6"/>
  <c r="I15" i="6" s="1"/>
  <c r="E15" i="6"/>
  <c r="D15" i="6"/>
  <c r="F15" i="6" s="1"/>
  <c r="H14" i="6"/>
  <c r="I14" i="6" s="1"/>
  <c r="F14" i="6"/>
  <c r="E14" i="6"/>
  <c r="D14" i="6"/>
  <c r="H13" i="6"/>
  <c r="I13" i="6" s="1"/>
  <c r="E13" i="6"/>
  <c r="D13" i="6"/>
  <c r="F13" i="6" s="1"/>
  <c r="I12" i="6"/>
  <c r="H12" i="6"/>
  <c r="E12" i="6"/>
  <c r="D12" i="6"/>
  <c r="F12" i="6" s="1"/>
  <c r="H11" i="6"/>
  <c r="I11" i="6" s="1"/>
  <c r="E11" i="6"/>
  <c r="D11" i="6"/>
  <c r="F11" i="6" s="1"/>
  <c r="B11" i="6"/>
  <c r="H10" i="6"/>
  <c r="I10" i="6" s="1"/>
  <c r="E10" i="6"/>
  <c r="D10" i="6"/>
  <c r="F10" i="6" s="1"/>
  <c r="H9" i="6"/>
  <c r="I9" i="6" s="1"/>
  <c r="F9" i="6"/>
  <c r="E9" i="6"/>
  <c r="D9" i="6"/>
  <c r="H8" i="6"/>
  <c r="I8" i="6" s="1"/>
  <c r="E8" i="6"/>
  <c r="D8" i="6"/>
  <c r="F8" i="6" s="1"/>
  <c r="I7" i="6"/>
  <c r="H7" i="6"/>
  <c r="E7" i="6"/>
  <c r="E35" i="6" s="1"/>
  <c r="E36" i="6" s="1"/>
  <c r="D7" i="6"/>
  <c r="F7" i="6" s="1"/>
  <c r="H6" i="6"/>
  <c r="I6" i="6" s="1"/>
  <c r="E6" i="6"/>
  <c r="D6" i="6"/>
  <c r="F6" i="6" s="1"/>
  <c r="B6" i="6"/>
  <c r="H5" i="6"/>
  <c r="H37" i="6" s="1"/>
  <c r="E5" i="6"/>
  <c r="D5" i="6"/>
  <c r="D35" i="6" s="1"/>
  <c r="D36" i="6" s="1"/>
  <c r="I4" i="6"/>
  <c r="J4" i="6" s="1"/>
  <c r="E4" i="6"/>
  <c r="D4" i="6"/>
  <c r="F4" i="6" s="1"/>
  <c r="G4" i="6" s="1"/>
  <c r="I33" i="5"/>
  <c r="H33" i="5"/>
  <c r="E33" i="5"/>
  <c r="D33" i="5"/>
  <c r="H32" i="5"/>
  <c r="I32" i="5" s="1"/>
  <c r="E32" i="5"/>
  <c r="D32" i="5"/>
  <c r="F32" i="5" s="1"/>
  <c r="H31" i="5"/>
  <c r="I31" i="5" s="1"/>
  <c r="E31" i="5"/>
  <c r="D31" i="5"/>
  <c r="H30" i="5"/>
  <c r="I30" i="5" s="1"/>
  <c r="E30" i="5"/>
  <c r="D30" i="5"/>
  <c r="F30" i="5" s="1"/>
  <c r="H29" i="5"/>
  <c r="I29" i="5" s="1"/>
  <c r="F29" i="5"/>
  <c r="E29" i="5"/>
  <c r="D29" i="5"/>
  <c r="H28" i="5"/>
  <c r="I28" i="5" s="1"/>
  <c r="F28" i="5"/>
  <c r="E28" i="5"/>
  <c r="D28" i="5"/>
  <c r="H27" i="5"/>
  <c r="I27" i="5" s="1"/>
  <c r="E27" i="5"/>
  <c r="D27" i="5"/>
  <c r="F27" i="5" s="1"/>
  <c r="H26" i="5"/>
  <c r="I26" i="5" s="1"/>
  <c r="E26" i="5"/>
  <c r="D26" i="5"/>
  <c r="H25" i="5"/>
  <c r="I25" i="5" s="1"/>
  <c r="E25" i="5"/>
  <c r="D25" i="5"/>
  <c r="F25" i="5" s="1"/>
  <c r="H24" i="5"/>
  <c r="I24" i="5" s="1"/>
  <c r="E24" i="5"/>
  <c r="D24" i="5"/>
  <c r="F24" i="5" s="1"/>
  <c r="H23" i="5"/>
  <c r="I23" i="5" s="1"/>
  <c r="E23" i="5"/>
  <c r="D23" i="5"/>
  <c r="F23" i="5" s="1"/>
  <c r="H22" i="5"/>
  <c r="I22" i="5" s="1"/>
  <c r="E22" i="5"/>
  <c r="D22" i="5"/>
  <c r="F22" i="5" s="1"/>
  <c r="H21" i="5"/>
  <c r="I21" i="5" s="1"/>
  <c r="E21" i="5"/>
  <c r="D21" i="5"/>
  <c r="F21" i="5" s="1"/>
  <c r="H20" i="5"/>
  <c r="I20" i="5" s="1"/>
  <c r="E20" i="5"/>
  <c r="D20" i="5"/>
  <c r="F20" i="5" s="1"/>
  <c r="H19" i="5"/>
  <c r="I19" i="5" s="1"/>
  <c r="E19" i="5"/>
  <c r="D19" i="5"/>
  <c r="B19" i="5"/>
  <c r="H18" i="5"/>
  <c r="I18" i="5" s="1"/>
  <c r="E18" i="5"/>
  <c r="D18" i="5"/>
  <c r="I17" i="5"/>
  <c r="H17" i="5"/>
  <c r="E17" i="5"/>
  <c r="F17" i="5" s="1"/>
  <c r="D17" i="5"/>
  <c r="H16" i="5"/>
  <c r="I16" i="5" s="1"/>
  <c r="E16" i="5"/>
  <c r="F16" i="5" s="1"/>
  <c r="D16" i="5"/>
  <c r="I15" i="5"/>
  <c r="H15" i="5"/>
  <c r="E15" i="5"/>
  <c r="D15" i="5"/>
  <c r="H14" i="5"/>
  <c r="I14" i="5" s="1"/>
  <c r="E14" i="5"/>
  <c r="D14" i="5"/>
  <c r="F14" i="5" s="1"/>
  <c r="H13" i="5"/>
  <c r="I13" i="5" s="1"/>
  <c r="E13" i="5"/>
  <c r="D13" i="5"/>
  <c r="H12" i="5"/>
  <c r="I12" i="5" s="1"/>
  <c r="F12" i="5"/>
  <c r="E12" i="5"/>
  <c r="D12" i="5"/>
  <c r="H11" i="5"/>
  <c r="I11" i="5" s="1"/>
  <c r="E11" i="5"/>
  <c r="D11" i="5"/>
  <c r="F11" i="5" s="1"/>
  <c r="B11" i="5"/>
  <c r="I10" i="5"/>
  <c r="H10" i="5"/>
  <c r="E10" i="5"/>
  <c r="D10" i="5"/>
  <c r="H9" i="5"/>
  <c r="I9" i="5" s="1"/>
  <c r="E9" i="5"/>
  <c r="D9" i="5"/>
  <c r="F9" i="5" s="1"/>
  <c r="H8" i="5"/>
  <c r="I8" i="5" s="1"/>
  <c r="E8" i="5"/>
  <c r="D8" i="5"/>
  <c r="F8" i="5" s="1"/>
  <c r="H7" i="5"/>
  <c r="I7" i="5" s="1"/>
  <c r="E7" i="5"/>
  <c r="D7" i="5"/>
  <c r="F7" i="5" s="1"/>
  <c r="H6" i="5"/>
  <c r="I6" i="5" s="1"/>
  <c r="E6" i="5"/>
  <c r="D6" i="5"/>
  <c r="F6" i="5" s="1"/>
  <c r="B6" i="5"/>
  <c r="I5" i="5"/>
  <c r="J5" i="5" s="1"/>
  <c r="H5" i="5"/>
  <c r="E5" i="5"/>
  <c r="E35" i="5" s="1"/>
  <c r="E36" i="5" s="1"/>
  <c r="D5" i="5"/>
  <c r="I4" i="5"/>
  <c r="E4" i="5"/>
  <c r="F4" i="5" s="1"/>
  <c r="G4" i="5" s="1"/>
  <c r="D4" i="5"/>
  <c r="I33" i="4"/>
  <c r="H33" i="4"/>
  <c r="E33" i="4"/>
  <c r="D33" i="4"/>
  <c r="H32" i="4"/>
  <c r="I32" i="4" s="1"/>
  <c r="E32" i="4"/>
  <c r="D32" i="4"/>
  <c r="F32" i="4" s="1"/>
  <c r="H31" i="4"/>
  <c r="I31" i="4" s="1"/>
  <c r="E31" i="4"/>
  <c r="D31" i="4"/>
  <c r="H30" i="4"/>
  <c r="I30" i="4" s="1"/>
  <c r="E30" i="4"/>
  <c r="D30" i="4"/>
  <c r="F30" i="4" s="1"/>
  <c r="I29" i="4"/>
  <c r="H29" i="4"/>
  <c r="E29" i="4"/>
  <c r="D29" i="4"/>
  <c r="F29" i="4" s="1"/>
  <c r="H28" i="4"/>
  <c r="I28" i="4" s="1"/>
  <c r="E28" i="4"/>
  <c r="F28" i="4" s="1"/>
  <c r="D28" i="4"/>
  <c r="I27" i="4"/>
  <c r="H27" i="4"/>
  <c r="E27" i="4"/>
  <c r="D27" i="4"/>
  <c r="H26" i="4"/>
  <c r="I26" i="4" s="1"/>
  <c r="E26" i="4"/>
  <c r="D26" i="4"/>
  <c r="F26" i="4" s="1"/>
  <c r="H25" i="4"/>
  <c r="I25" i="4" s="1"/>
  <c r="E25" i="4"/>
  <c r="D25" i="4"/>
  <c r="H24" i="4"/>
  <c r="I24" i="4" s="1"/>
  <c r="E24" i="4"/>
  <c r="D24" i="4"/>
  <c r="F24" i="4" s="1"/>
  <c r="H23" i="4"/>
  <c r="I23" i="4" s="1"/>
  <c r="E23" i="4"/>
  <c r="D23" i="4"/>
  <c r="F23" i="4" s="1"/>
  <c r="I22" i="4"/>
  <c r="H22" i="4"/>
  <c r="E22" i="4"/>
  <c r="D22" i="4"/>
  <c r="F22" i="4" s="1"/>
  <c r="H21" i="4"/>
  <c r="I21" i="4" s="1"/>
  <c r="E21" i="4"/>
  <c r="D21" i="4"/>
  <c r="F21" i="4" s="1"/>
  <c r="H20" i="4"/>
  <c r="I20" i="4" s="1"/>
  <c r="E20" i="4"/>
  <c r="D20" i="4"/>
  <c r="F20" i="4" s="1"/>
  <c r="H19" i="4"/>
  <c r="I19" i="4" s="1"/>
  <c r="E19" i="4"/>
  <c r="D19" i="4"/>
  <c r="B19" i="4"/>
  <c r="H18" i="4"/>
  <c r="I18" i="4" s="1"/>
  <c r="E18" i="4"/>
  <c r="D18" i="4"/>
  <c r="H17" i="4"/>
  <c r="I17" i="4" s="1"/>
  <c r="E17" i="4"/>
  <c r="D17" i="4"/>
  <c r="F17" i="4" s="1"/>
  <c r="I16" i="4"/>
  <c r="H16" i="4"/>
  <c r="E16" i="4"/>
  <c r="D16" i="4"/>
  <c r="F16" i="4" s="1"/>
  <c r="H15" i="4"/>
  <c r="I15" i="4" s="1"/>
  <c r="E15" i="4"/>
  <c r="D15" i="4"/>
  <c r="F15" i="4" s="1"/>
  <c r="H14" i="4"/>
  <c r="I14" i="4" s="1"/>
  <c r="E14" i="4"/>
  <c r="D14" i="4"/>
  <c r="H13" i="4"/>
  <c r="I13" i="4" s="1"/>
  <c r="E13" i="4"/>
  <c r="D13" i="4"/>
  <c r="F13" i="4" s="1"/>
  <c r="I12" i="4"/>
  <c r="H12" i="4"/>
  <c r="E12" i="4"/>
  <c r="D12" i="4"/>
  <c r="F12" i="4" s="1"/>
  <c r="H11" i="4"/>
  <c r="I11" i="4" s="1"/>
  <c r="E11" i="4"/>
  <c r="D11" i="4"/>
  <c r="F11" i="4" s="1"/>
  <c r="B11" i="4"/>
  <c r="H10" i="4"/>
  <c r="I10" i="4" s="1"/>
  <c r="E10" i="4"/>
  <c r="D10" i="4"/>
  <c r="H9" i="4"/>
  <c r="I9" i="4" s="1"/>
  <c r="E9" i="4"/>
  <c r="D9" i="4"/>
  <c r="F9" i="4" s="1"/>
  <c r="H8" i="4"/>
  <c r="I8" i="4" s="1"/>
  <c r="E8" i="4"/>
  <c r="F8" i="4" s="1"/>
  <c r="D8" i="4"/>
  <c r="H7" i="4"/>
  <c r="I7" i="4" s="1"/>
  <c r="F7" i="4"/>
  <c r="E7" i="4"/>
  <c r="D7" i="4"/>
  <c r="H6" i="4"/>
  <c r="I6" i="4" s="1"/>
  <c r="E6" i="4"/>
  <c r="D6" i="4"/>
  <c r="F6" i="4" s="1"/>
  <c r="B6" i="4"/>
  <c r="I5" i="4"/>
  <c r="H5" i="4"/>
  <c r="E5" i="4"/>
  <c r="D5" i="4"/>
  <c r="J4" i="4"/>
  <c r="J5" i="4" s="1"/>
  <c r="J6" i="4" s="1"/>
  <c r="J7" i="4" s="1"/>
  <c r="J8" i="4" s="1"/>
  <c r="J9" i="4" s="1"/>
  <c r="J10" i="4" s="1"/>
  <c r="J11" i="4" s="1"/>
  <c r="J12" i="4" s="1"/>
  <c r="J13" i="4" s="1"/>
  <c r="J14" i="4" s="1"/>
  <c r="J15" i="4" s="1"/>
  <c r="J16" i="4" s="1"/>
  <c r="J17" i="4" s="1"/>
  <c r="J18" i="4" s="1"/>
  <c r="J19" i="4" s="1"/>
  <c r="J20" i="4" s="1"/>
  <c r="J21" i="4" s="1"/>
  <c r="J22" i="4" s="1"/>
  <c r="J23" i="4" s="1"/>
  <c r="J24" i="4" s="1"/>
  <c r="J25" i="4" s="1"/>
  <c r="J26" i="4" s="1"/>
  <c r="J27" i="4" s="1"/>
  <c r="J28" i="4" s="1"/>
  <c r="J29" i="4" s="1"/>
  <c r="J30" i="4" s="1"/>
  <c r="J31" i="4" s="1"/>
  <c r="J32" i="4" s="1"/>
  <c r="J33" i="4" s="1"/>
  <c r="B21" i="4" s="1"/>
  <c r="B24" i="4" s="1"/>
  <c r="B26" i="4" s="1"/>
  <c r="I4" i="4"/>
  <c r="E4" i="4"/>
  <c r="F4" i="4" s="1"/>
  <c r="G4" i="4" s="1"/>
  <c r="D4" i="4"/>
  <c r="G35" i="3"/>
  <c r="I33" i="3"/>
  <c r="E33" i="3"/>
  <c r="D33" i="3"/>
  <c r="H32" i="3"/>
  <c r="I32" i="3" s="1"/>
  <c r="E32" i="3"/>
  <c r="D32" i="3"/>
  <c r="F32" i="3" s="1"/>
  <c r="H31" i="3"/>
  <c r="I31" i="3" s="1"/>
  <c r="E31" i="3"/>
  <c r="D31" i="3"/>
  <c r="H30" i="3"/>
  <c r="I30" i="3" s="1"/>
  <c r="E30" i="3"/>
  <c r="D30" i="3"/>
  <c r="F30" i="3" s="1"/>
  <c r="H29" i="3"/>
  <c r="I29" i="3" s="1"/>
  <c r="F29" i="3"/>
  <c r="E29" i="3"/>
  <c r="D29" i="3"/>
  <c r="H28" i="3"/>
  <c r="I28" i="3" s="1"/>
  <c r="F28" i="3"/>
  <c r="E28" i="3"/>
  <c r="D28" i="3"/>
  <c r="H27" i="3"/>
  <c r="I27" i="3" s="1"/>
  <c r="E27" i="3"/>
  <c r="D27" i="3"/>
  <c r="F27" i="3" s="1"/>
  <c r="H26" i="3"/>
  <c r="I26" i="3" s="1"/>
  <c r="E26" i="3"/>
  <c r="D26" i="3"/>
  <c r="H25" i="3"/>
  <c r="I25" i="3" s="1"/>
  <c r="E25" i="3"/>
  <c r="D25" i="3"/>
  <c r="F25" i="3" s="1"/>
  <c r="H24" i="3"/>
  <c r="I24" i="3" s="1"/>
  <c r="E24" i="3"/>
  <c r="D24" i="3"/>
  <c r="F24" i="3" s="1"/>
  <c r="H23" i="3"/>
  <c r="I23" i="3" s="1"/>
  <c r="E23" i="3"/>
  <c r="D23" i="3"/>
  <c r="F23" i="3" s="1"/>
  <c r="H22" i="3"/>
  <c r="I22" i="3" s="1"/>
  <c r="E22" i="3"/>
  <c r="D22" i="3"/>
  <c r="F22" i="3" s="1"/>
  <c r="H21" i="3"/>
  <c r="I21" i="3" s="1"/>
  <c r="E21" i="3"/>
  <c r="D21" i="3"/>
  <c r="H20" i="3"/>
  <c r="I20" i="3" s="1"/>
  <c r="E20" i="3"/>
  <c r="D20" i="3"/>
  <c r="H19" i="3"/>
  <c r="I19" i="3" s="1"/>
  <c r="E19" i="3"/>
  <c r="D19" i="3"/>
  <c r="F19" i="3" s="1"/>
  <c r="B19" i="3"/>
  <c r="H18" i="3"/>
  <c r="I18" i="3" s="1"/>
  <c r="E18" i="3"/>
  <c r="D18" i="3"/>
  <c r="F18" i="3" s="1"/>
  <c r="H17" i="3"/>
  <c r="I17" i="3" s="1"/>
  <c r="E17" i="3"/>
  <c r="D17" i="3"/>
  <c r="F17" i="3" s="1"/>
  <c r="H16" i="3"/>
  <c r="I16" i="3" s="1"/>
  <c r="F16" i="3"/>
  <c r="E16" i="3"/>
  <c r="D16" i="3"/>
  <c r="H15" i="3"/>
  <c r="I15" i="3" s="1"/>
  <c r="E15" i="3"/>
  <c r="D15" i="3"/>
  <c r="F15" i="3" s="1"/>
  <c r="H14" i="3"/>
  <c r="I14" i="3" s="1"/>
  <c r="E14" i="3"/>
  <c r="D14" i="3"/>
  <c r="H13" i="3"/>
  <c r="I13" i="3" s="1"/>
  <c r="E13" i="3"/>
  <c r="D13" i="3"/>
  <c r="H12" i="3"/>
  <c r="I12" i="3" s="1"/>
  <c r="E12" i="3"/>
  <c r="F12" i="3" s="1"/>
  <c r="D12" i="3"/>
  <c r="H11" i="3"/>
  <c r="I11" i="3" s="1"/>
  <c r="E11" i="3"/>
  <c r="D11" i="3"/>
  <c r="B11" i="3"/>
  <c r="H10" i="3"/>
  <c r="I10" i="3" s="1"/>
  <c r="E10" i="3"/>
  <c r="D10" i="3"/>
  <c r="F10" i="3" s="1"/>
  <c r="H9" i="3"/>
  <c r="I9" i="3" s="1"/>
  <c r="E9" i="3"/>
  <c r="D9" i="3"/>
  <c r="H8" i="3"/>
  <c r="I8" i="3" s="1"/>
  <c r="E8" i="3"/>
  <c r="D8" i="3"/>
  <c r="F8" i="3" s="1"/>
  <c r="H7" i="3"/>
  <c r="I7" i="3" s="1"/>
  <c r="E7" i="3"/>
  <c r="D7" i="3"/>
  <c r="F7" i="3" s="1"/>
  <c r="H6" i="3"/>
  <c r="I6" i="3" s="1"/>
  <c r="E6" i="3"/>
  <c r="D6" i="3"/>
  <c r="F6" i="3" s="1"/>
  <c r="B6" i="3"/>
  <c r="H5" i="3"/>
  <c r="E5" i="3"/>
  <c r="D5" i="3"/>
  <c r="I4" i="3"/>
  <c r="J4" i="3" s="1"/>
  <c r="E4" i="3"/>
  <c r="E35" i="3" s="1"/>
  <c r="E36" i="3" s="1"/>
  <c r="D4" i="3"/>
  <c r="G40" i="2"/>
  <c r="H35" i="2"/>
  <c r="J33" i="2"/>
  <c r="E33" i="2"/>
  <c r="D33" i="2"/>
  <c r="F33" i="2" s="1"/>
  <c r="J32" i="2"/>
  <c r="E32" i="2"/>
  <c r="D32" i="2"/>
  <c r="J31" i="2"/>
  <c r="E31" i="2"/>
  <c r="D31" i="2"/>
  <c r="F31" i="2" s="1"/>
  <c r="J30" i="2"/>
  <c r="E30" i="2"/>
  <c r="D30" i="2"/>
  <c r="F30" i="2" s="1"/>
  <c r="J29" i="2"/>
  <c r="E29" i="2"/>
  <c r="D29" i="2"/>
  <c r="F29" i="2" s="1"/>
  <c r="J28" i="2"/>
  <c r="E28" i="2"/>
  <c r="D28" i="2"/>
  <c r="F28" i="2" s="1"/>
  <c r="J27" i="2"/>
  <c r="E27" i="2"/>
  <c r="D27" i="2"/>
  <c r="F27" i="2" s="1"/>
  <c r="J26" i="2"/>
  <c r="E26" i="2"/>
  <c r="F26" i="2" s="1"/>
  <c r="D26" i="2"/>
  <c r="J25" i="2"/>
  <c r="E25" i="2"/>
  <c r="F25" i="2" s="1"/>
  <c r="D25" i="2"/>
  <c r="J24" i="2"/>
  <c r="E24" i="2"/>
  <c r="D24" i="2"/>
  <c r="F24" i="2" s="1"/>
  <c r="J23" i="2"/>
  <c r="E23" i="2"/>
  <c r="D23" i="2"/>
  <c r="F23" i="2" s="1"/>
  <c r="J22" i="2"/>
  <c r="E22" i="2"/>
  <c r="D22" i="2"/>
  <c r="F22" i="2" s="1"/>
  <c r="J21" i="2"/>
  <c r="E21" i="2"/>
  <c r="D21" i="2"/>
  <c r="B21" i="2"/>
  <c r="J20" i="2"/>
  <c r="E20" i="2"/>
  <c r="D20" i="2"/>
  <c r="F20" i="2" s="1"/>
  <c r="J19" i="2"/>
  <c r="E19" i="2"/>
  <c r="D19" i="2"/>
  <c r="F19" i="2" s="1"/>
  <c r="J18" i="2"/>
  <c r="F18" i="2"/>
  <c r="E18" i="2"/>
  <c r="D18" i="2"/>
  <c r="J17" i="2"/>
  <c r="E17" i="2"/>
  <c r="D17" i="2"/>
  <c r="J16" i="2"/>
  <c r="E16" i="2"/>
  <c r="D16" i="2"/>
  <c r="J15" i="2"/>
  <c r="E15" i="2"/>
  <c r="D15" i="2"/>
  <c r="F15" i="2" s="1"/>
  <c r="J14" i="2"/>
  <c r="E14" i="2"/>
  <c r="D14" i="2"/>
  <c r="J13" i="2"/>
  <c r="E13" i="2"/>
  <c r="D13" i="2"/>
  <c r="J12" i="2"/>
  <c r="E12" i="2"/>
  <c r="D12" i="2"/>
  <c r="F12" i="2" s="1"/>
  <c r="J11" i="2"/>
  <c r="E11" i="2"/>
  <c r="D11" i="2"/>
  <c r="F11" i="2" s="1"/>
  <c r="B11" i="2"/>
  <c r="J10" i="2"/>
  <c r="E10" i="2"/>
  <c r="D10" i="2"/>
  <c r="F10" i="2" s="1"/>
  <c r="J9" i="2"/>
  <c r="E9" i="2"/>
  <c r="D9" i="2"/>
  <c r="J8" i="2"/>
  <c r="E8" i="2"/>
  <c r="D8" i="2"/>
  <c r="F8" i="2" s="1"/>
  <c r="J7" i="2"/>
  <c r="E7" i="2"/>
  <c r="D7" i="2"/>
  <c r="F7" i="2" s="1"/>
  <c r="J6" i="2"/>
  <c r="E6" i="2"/>
  <c r="D6" i="2"/>
  <c r="B6" i="2"/>
  <c r="J5" i="2"/>
  <c r="E5" i="2"/>
  <c r="D5" i="2"/>
  <c r="J4" i="2"/>
  <c r="I4" i="2"/>
  <c r="E4" i="2"/>
  <c r="D4" i="2"/>
  <c r="H34" i="1"/>
  <c r="I33" i="1"/>
  <c r="E33" i="1"/>
  <c r="D33" i="1"/>
  <c r="I32" i="1"/>
  <c r="E32" i="1"/>
  <c r="D32" i="1"/>
  <c r="F32" i="1" s="1"/>
  <c r="I31" i="1"/>
  <c r="F31" i="1"/>
  <c r="E31" i="1"/>
  <c r="D31" i="1"/>
  <c r="I30" i="1"/>
  <c r="E30" i="1"/>
  <c r="D30" i="1"/>
  <c r="I29" i="1"/>
  <c r="E29" i="1"/>
  <c r="F29" i="1" s="1"/>
  <c r="D29" i="1"/>
  <c r="I28" i="1"/>
  <c r="E28" i="1"/>
  <c r="D28" i="1"/>
  <c r="F28" i="1" s="1"/>
  <c r="I27" i="1"/>
  <c r="E27" i="1"/>
  <c r="D27" i="1"/>
  <c r="F27" i="1" s="1"/>
  <c r="I26" i="1"/>
  <c r="E26" i="1"/>
  <c r="D26" i="1"/>
  <c r="F26" i="1" s="1"/>
  <c r="I25" i="1"/>
  <c r="E25" i="1"/>
  <c r="D25" i="1"/>
  <c r="F25" i="1" s="1"/>
  <c r="I24" i="1"/>
  <c r="F24" i="1"/>
  <c r="E24" i="1"/>
  <c r="D24" i="1"/>
  <c r="I23" i="1"/>
  <c r="E23" i="1"/>
  <c r="D23" i="1"/>
  <c r="I22" i="1"/>
  <c r="E22" i="1"/>
  <c r="D22" i="1"/>
  <c r="F22" i="1" s="1"/>
  <c r="I21" i="1"/>
  <c r="E21" i="1"/>
  <c r="D21" i="1"/>
  <c r="F21" i="1" s="1"/>
  <c r="I20" i="1"/>
  <c r="E20" i="1"/>
  <c r="D20" i="1"/>
  <c r="F20" i="1" s="1"/>
  <c r="I19" i="1"/>
  <c r="E19" i="1"/>
  <c r="D19" i="1"/>
  <c r="F19" i="1" s="1"/>
  <c r="B19" i="1"/>
  <c r="I18" i="1"/>
  <c r="E18" i="1"/>
  <c r="D18" i="1"/>
  <c r="F18" i="1" s="1"/>
  <c r="I17" i="1"/>
  <c r="E17" i="1"/>
  <c r="D17" i="1"/>
  <c r="F17" i="1" s="1"/>
  <c r="I16" i="1"/>
  <c r="E16" i="1"/>
  <c r="D16" i="1"/>
  <c r="F16" i="1" s="1"/>
  <c r="I15" i="1"/>
  <c r="F15" i="1"/>
  <c r="E15" i="1"/>
  <c r="D15" i="1"/>
  <c r="I14" i="1"/>
  <c r="F14" i="1"/>
  <c r="E14" i="1"/>
  <c r="D14" i="1"/>
  <c r="I13" i="1"/>
  <c r="E13" i="1"/>
  <c r="D13" i="1"/>
  <c r="I12" i="1"/>
  <c r="E12" i="1"/>
  <c r="F12" i="1" s="1"/>
  <c r="D12" i="1"/>
  <c r="I11" i="1"/>
  <c r="E11" i="1"/>
  <c r="D11" i="1"/>
  <c r="F11" i="1" s="1"/>
  <c r="I10" i="1"/>
  <c r="E10" i="1"/>
  <c r="D10" i="1"/>
  <c r="F10" i="1" s="1"/>
  <c r="I9" i="1"/>
  <c r="E9" i="1"/>
  <c r="D9" i="1"/>
  <c r="F9" i="1" s="1"/>
  <c r="B9" i="1"/>
  <c r="I8" i="1"/>
  <c r="E8" i="1"/>
  <c r="D8" i="1"/>
  <c r="F8" i="1" s="1"/>
  <c r="I7" i="1"/>
  <c r="E7" i="1"/>
  <c r="D7" i="1"/>
  <c r="F7" i="1" s="1"/>
  <c r="I6" i="1"/>
  <c r="E6" i="1"/>
  <c r="D6" i="1"/>
  <c r="F6" i="1" s="1"/>
  <c r="I5" i="1"/>
  <c r="E5" i="1"/>
  <c r="D5" i="1"/>
  <c r="F5" i="1" s="1"/>
  <c r="G5" i="1" s="1"/>
  <c r="J4" i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I4" i="1"/>
  <c r="E4" i="1"/>
  <c r="D4" i="1"/>
  <c r="D35" i="1" s="1"/>
  <c r="D36" i="1" s="1"/>
  <c r="B19" i="10" l="1"/>
  <c r="C19" i="10" s="1"/>
  <c r="G6" i="1"/>
  <c r="G7" i="1" s="1"/>
  <c r="G8" i="1" s="1"/>
  <c r="G9" i="1" s="1"/>
  <c r="G10" i="1" s="1"/>
  <c r="G11" i="1" s="1"/>
  <c r="G12" i="1" s="1"/>
  <c r="F4" i="1"/>
  <c r="F33" i="1"/>
  <c r="E35" i="2"/>
  <c r="F16" i="2"/>
  <c r="E35" i="1"/>
  <c r="E36" i="1" s="1"/>
  <c r="F13" i="1"/>
  <c r="F23" i="1"/>
  <c r="F30" i="1"/>
  <c r="F9" i="2"/>
  <c r="J6" i="7"/>
  <c r="J7" i="7" s="1"/>
  <c r="F14" i="7"/>
  <c r="F18" i="7"/>
  <c r="F19" i="7"/>
  <c r="F25" i="7"/>
  <c r="F31" i="7"/>
  <c r="F10" i="8"/>
  <c r="F11" i="8"/>
  <c r="F31" i="8"/>
  <c r="F32" i="8"/>
  <c r="F33" i="8"/>
  <c r="H39" i="3"/>
  <c r="F20" i="3"/>
  <c r="F21" i="3"/>
  <c r="F31" i="3"/>
  <c r="D35" i="4"/>
  <c r="D36" i="4" s="1"/>
  <c r="F14" i="4"/>
  <c r="F18" i="4"/>
  <c r="F19" i="4"/>
  <c r="F25" i="4"/>
  <c r="F31" i="4"/>
  <c r="H37" i="5"/>
  <c r="F13" i="5"/>
  <c r="F26" i="5"/>
  <c r="F33" i="5"/>
  <c r="I5" i="3"/>
  <c r="J5" i="3" s="1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6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J32" i="3" s="1"/>
  <c r="J33" i="3" s="1"/>
  <c r="B21" i="3" s="1"/>
  <c r="B24" i="3" s="1"/>
  <c r="B26" i="3" s="1"/>
  <c r="B29" i="3" s="1"/>
  <c r="B35" i="3" s="1"/>
  <c r="E35" i="4"/>
  <c r="E36" i="4" s="1"/>
  <c r="J6" i="5"/>
  <c r="J7" i="5" s="1"/>
  <c r="J8" i="5" s="1"/>
  <c r="J9" i="5" s="1"/>
  <c r="J10" i="5" s="1"/>
  <c r="J11" i="5" s="1"/>
  <c r="J12" i="5" s="1"/>
  <c r="J13" i="5" s="1"/>
  <c r="J14" i="5" s="1"/>
  <c r="J15" i="5" s="1"/>
  <c r="J16" i="5" s="1"/>
  <c r="J17" i="5" s="1"/>
  <c r="F4" i="7"/>
  <c r="G4" i="7" s="1"/>
  <c r="G5" i="7" s="1"/>
  <c r="G6" i="7" s="1"/>
  <c r="G7" i="7" s="1"/>
  <c r="G8" i="7" s="1"/>
  <c r="G9" i="7" s="1"/>
  <c r="G10" i="7" s="1"/>
  <c r="G11" i="7" s="1"/>
  <c r="G12" i="7" s="1"/>
  <c r="G13" i="7" s="1"/>
  <c r="G14" i="7" s="1"/>
  <c r="G15" i="7" s="1"/>
  <c r="G16" i="7" s="1"/>
  <c r="G17" i="7" s="1"/>
  <c r="G18" i="7" s="1"/>
  <c r="G19" i="7" s="1"/>
  <c r="G20" i="7" s="1"/>
  <c r="G21" i="7" s="1"/>
  <c r="G22" i="7" s="1"/>
  <c r="G23" i="7" s="1"/>
  <c r="G24" i="7" s="1"/>
  <c r="G25" i="7" s="1"/>
  <c r="G26" i="7" s="1"/>
  <c r="G27" i="7" s="1"/>
  <c r="G28" i="7" s="1"/>
  <c r="G29" i="7" s="1"/>
  <c r="G30" i="7" s="1"/>
  <c r="G31" i="7" s="1"/>
  <c r="G32" i="7" s="1"/>
  <c r="G33" i="7" s="1"/>
  <c r="E35" i="7"/>
  <c r="E36" i="7" s="1"/>
  <c r="D40" i="8"/>
  <c r="D41" i="8" s="1"/>
  <c r="E40" i="8"/>
  <c r="E41" i="8" s="1"/>
  <c r="F4" i="2"/>
  <c r="F5" i="2"/>
  <c r="G5" i="2" s="1"/>
  <c r="F6" i="2"/>
  <c r="F13" i="2"/>
  <c r="F14" i="2"/>
  <c r="F17" i="2"/>
  <c r="F21" i="2"/>
  <c r="F32" i="2"/>
  <c r="D35" i="3"/>
  <c r="D36" i="3" s="1"/>
  <c r="F5" i="3"/>
  <c r="F9" i="3"/>
  <c r="F11" i="3"/>
  <c r="F13" i="3"/>
  <c r="F14" i="3"/>
  <c r="F26" i="3"/>
  <c r="F33" i="3"/>
  <c r="H37" i="4"/>
  <c r="B32" i="4" s="1"/>
  <c r="F10" i="4"/>
  <c r="F27" i="4"/>
  <c r="F33" i="4"/>
  <c r="D35" i="5"/>
  <c r="D36" i="5" s="1"/>
  <c r="F10" i="5"/>
  <c r="F15" i="5"/>
  <c r="F18" i="5"/>
  <c r="F19" i="5"/>
  <c r="F31" i="5"/>
  <c r="F20" i="6"/>
  <c r="F27" i="6"/>
  <c r="H37" i="7"/>
  <c r="F9" i="7"/>
  <c r="F11" i="7"/>
  <c r="F15" i="7"/>
  <c r="F20" i="7"/>
  <c r="F21" i="7"/>
  <c r="F26" i="7"/>
  <c r="F32" i="7"/>
  <c r="F14" i="8"/>
  <c r="F15" i="8"/>
  <c r="F16" i="8"/>
  <c r="F19" i="8"/>
  <c r="F20" i="8"/>
  <c r="F37" i="8"/>
  <c r="G19" i="10"/>
  <c r="G20" i="10"/>
  <c r="D21" i="10"/>
  <c r="B20" i="10"/>
  <c r="C20" i="10" s="1"/>
  <c r="F20" i="10" s="1"/>
  <c r="F19" i="10"/>
  <c r="G5" i="8"/>
  <c r="G6" i="8" s="1"/>
  <c r="G7" i="8" s="1"/>
  <c r="G8" i="8" s="1"/>
  <c r="G9" i="8" s="1"/>
  <c r="G10" i="8" s="1"/>
  <c r="G11" i="8" s="1"/>
  <c r="G12" i="8" s="1"/>
  <c r="G13" i="8" s="1"/>
  <c r="I4" i="8"/>
  <c r="J4" i="8" s="1"/>
  <c r="J5" i="8" s="1"/>
  <c r="J6" i="8" s="1"/>
  <c r="J7" i="8" s="1"/>
  <c r="J8" i="8" s="1"/>
  <c r="J9" i="8" s="1"/>
  <c r="J10" i="8" s="1"/>
  <c r="J11" i="8" s="1"/>
  <c r="J12" i="8" s="1"/>
  <c r="J13" i="8" s="1"/>
  <c r="J14" i="8" s="1"/>
  <c r="J15" i="8" s="1"/>
  <c r="J16" i="8" s="1"/>
  <c r="J17" i="8" s="1"/>
  <c r="J18" i="8" s="1"/>
  <c r="J19" i="8" s="1"/>
  <c r="J20" i="8" s="1"/>
  <c r="J21" i="8" s="1"/>
  <c r="J22" i="8" s="1"/>
  <c r="J23" i="8" s="1"/>
  <c r="J24" i="8" s="1"/>
  <c r="J25" i="8" s="1"/>
  <c r="J26" i="8" s="1"/>
  <c r="J27" i="8" s="1"/>
  <c r="J28" i="8" s="1"/>
  <c r="J29" i="8" s="1"/>
  <c r="J30" i="8" s="1"/>
  <c r="J31" i="8" s="1"/>
  <c r="J32" i="8" s="1"/>
  <c r="J33" i="8" s="1"/>
  <c r="J34" i="8" s="1"/>
  <c r="J35" i="8" s="1"/>
  <c r="J36" i="8" s="1"/>
  <c r="J37" i="8" s="1"/>
  <c r="J38" i="8" s="1"/>
  <c r="B21" i="8" s="1"/>
  <c r="B24" i="8" s="1"/>
  <c r="B26" i="8" s="1"/>
  <c r="B29" i="8" s="1"/>
  <c r="B35" i="8" s="1"/>
  <c r="J8" i="7"/>
  <c r="J9" i="7" s="1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J30" i="7" s="1"/>
  <c r="J31" i="7" s="1"/>
  <c r="J32" i="7" s="1"/>
  <c r="J33" i="7" s="1"/>
  <c r="B21" i="7" s="1"/>
  <c r="B24" i="7" s="1"/>
  <c r="B26" i="7" s="1"/>
  <c r="J5" i="6"/>
  <c r="J6" i="6" s="1"/>
  <c r="J7" i="6" s="1"/>
  <c r="J8" i="6" s="1"/>
  <c r="J9" i="6" s="1"/>
  <c r="J10" i="6" s="1"/>
  <c r="J11" i="6" s="1"/>
  <c r="J12" i="6" s="1"/>
  <c r="J13" i="6" s="1"/>
  <c r="J14" i="6" s="1"/>
  <c r="J15" i="6" s="1"/>
  <c r="J16" i="6" s="1"/>
  <c r="J17" i="6" s="1"/>
  <c r="J18" i="6" s="1"/>
  <c r="J19" i="6" s="1"/>
  <c r="J20" i="6" s="1"/>
  <c r="J21" i="6" s="1"/>
  <c r="J22" i="6" s="1"/>
  <c r="J23" i="6" s="1"/>
  <c r="J24" i="6" s="1"/>
  <c r="J25" i="6" s="1"/>
  <c r="J26" i="6" s="1"/>
  <c r="J27" i="6" s="1"/>
  <c r="J28" i="6" s="1"/>
  <c r="J29" i="6" s="1"/>
  <c r="J30" i="6" s="1"/>
  <c r="J31" i="6" s="1"/>
  <c r="J32" i="6" s="1"/>
  <c r="J33" i="6" s="1"/>
  <c r="B21" i="6" s="1"/>
  <c r="B24" i="6" s="1"/>
  <c r="B26" i="6" s="1"/>
  <c r="B29" i="6" s="1"/>
  <c r="B35" i="6" s="1"/>
  <c r="G5" i="6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I5" i="6"/>
  <c r="F5" i="6"/>
  <c r="J18" i="5"/>
  <c r="J19" i="5" s="1"/>
  <c r="J20" i="5" s="1"/>
  <c r="J21" i="5" s="1"/>
  <c r="J22" i="5" s="1"/>
  <c r="J23" i="5" s="1"/>
  <c r="J24" i="5" s="1"/>
  <c r="J25" i="5" s="1"/>
  <c r="J26" i="5" s="1"/>
  <c r="J27" i="5" s="1"/>
  <c r="J28" i="5" s="1"/>
  <c r="J29" i="5" s="1"/>
  <c r="J30" i="5" s="1"/>
  <c r="J31" i="5" s="1"/>
  <c r="J32" i="5" s="1"/>
  <c r="J33" i="5" s="1"/>
  <c r="B21" i="5" s="1"/>
  <c r="B24" i="5" s="1"/>
  <c r="B26" i="5" s="1"/>
  <c r="B29" i="5" s="1"/>
  <c r="B35" i="5" s="1"/>
  <c r="F5" i="5"/>
  <c r="G5" i="5" s="1"/>
  <c r="G6" i="5" s="1"/>
  <c r="G7" i="5" s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8" i="5" s="1"/>
  <c r="G19" i="5" s="1"/>
  <c r="G20" i="5" s="1"/>
  <c r="G21" i="5" s="1"/>
  <c r="G22" i="5" s="1"/>
  <c r="G23" i="5" s="1"/>
  <c r="G24" i="5" s="1"/>
  <c r="G25" i="5" s="1"/>
  <c r="G26" i="5" s="1"/>
  <c r="G27" i="5" s="1"/>
  <c r="G28" i="5" s="1"/>
  <c r="G29" i="5" s="1"/>
  <c r="G30" i="5" s="1"/>
  <c r="G31" i="5" s="1"/>
  <c r="G32" i="5" s="1"/>
  <c r="G33" i="5" s="1"/>
  <c r="F5" i="4"/>
  <c r="G5" i="4" s="1"/>
  <c r="G6" i="4" s="1"/>
  <c r="G7" i="4" s="1"/>
  <c r="G8" i="4" s="1"/>
  <c r="G9" i="4" s="1"/>
  <c r="G10" i="4" s="1"/>
  <c r="G11" i="4" s="1"/>
  <c r="G12" i="4" s="1"/>
  <c r="G13" i="4" s="1"/>
  <c r="G14" i="4" s="1"/>
  <c r="G15" i="4" s="1"/>
  <c r="G16" i="4" s="1"/>
  <c r="G17" i="4" s="1"/>
  <c r="G18" i="4" s="1"/>
  <c r="G19" i="4" s="1"/>
  <c r="G20" i="4" s="1"/>
  <c r="G21" i="4" s="1"/>
  <c r="G22" i="4" s="1"/>
  <c r="G23" i="4" s="1"/>
  <c r="G24" i="4" s="1"/>
  <c r="G25" i="4" s="1"/>
  <c r="G26" i="4" s="1"/>
  <c r="G27" i="4" s="1"/>
  <c r="G28" i="4" s="1"/>
  <c r="G29" i="4" s="1"/>
  <c r="G30" i="4" s="1"/>
  <c r="G31" i="4" s="1"/>
  <c r="G32" i="4" s="1"/>
  <c r="G33" i="4" s="1"/>
  <c r="F4" i="3"/>
  <c r="G4" i="3" s="1"/>
  <c r="G5" i="3" s="1"/>
  <c r="G6" i="3" s="1"/>
  <c r="G7" i="3" s="1"/>
  <c r="G8" i="3" s="1"/>
  <c r="G9" i="3" s="1"/>
  <c r="G10" i="3" s="1"/>
  <c r="D35" i="2"/>
  <c r="D36" i="2" s="1"/>
  <c r="I5" i="2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7" i="2" s="1"/>
  <c r="B23" i="1"/>
  <c r="B15" i="1"/>
  <c r="G14" i="8" l="1"/>
  <c r="G15" i="8" s="1"/>
  <c r="G16" i="8" s="1"/>
  <c r="G17" i="8" s="1"/>
  <c r="G18" i="8" s="1"/>
  <c r="G19" i="8" s="1"/>
  <c r="G20" i="8" s="1"/>
  <c r="G21" i="8" s="1"/>
  <c r="G22" i="8" s="1"/>
  <c r="G23" i="8" s="1"/>
  <c r="G24" i="8" s="1"/>
  <c r="G25" i="8" s="1"/>
  <c r="G26" i="8" s="1"/>
  <c r="G27" i="8" s="1"/>
  <c r="G28" i="8" s="1"/>
  <c r="G29" i="8" s="1"/>
  <c r="G30" i="8" s="1"/>
  <c r="G31" i="8" s="1"/>
  <c r="G32" i="8" s="1"/>
  <c r="G33" i="8" s="1"/>
  <c r="G34" i="8" s="1"/>
  <c r="G35" i="8" s="1"/>
  <c r="G36" i="8" s="1"/>
  <c r="G37" i="8" s="1"/>
  <c r="G38" i="8" s="1"/>
  <c r="B29" i="4"/>
  <c r="B35" i="4" s="1"/>
  <c r="G13" i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B29" i="7"/>
  <c r="B35" i="7" s="1"/>
  <c r="G11" i="3"/>
  <c r="G12" i="3" s="1"/>
  <c r="G13" i="3" s="1"/>
  <c r="G14" i="3" s="1"/>
  <c r="G15" i="3" s="1"/>
  <c r="G16" i="3" s="1"/>
  <c r="G17" i="3" s="1"/>
  <c r="G18" i="3" s="1"/>
  <c r="G19" i="3" s="1"/>
  <c r="G20" i="3" s="1"/>
  <c r="G21" i="3" s="1"/>
  <c r="G22" i="3" s="1"/>
  <c r="G23" i="3" s="1"/>
  <c r="G24" i="3" s="1"/>
  <c r="G25" i="3" s="1"/>
  <c r="G26" i="3" s="1"/>
  <c r="G27" i="3" s="1"/>
  <c r="G28" i="3" s="1"/>
  <c r="G29" i="3" s="1"/>
  <c r="G30" i="3" s="1"/>
  <c r="G31" i="3" s="1"/>
  <c r="G32" i="3" s="1"/>
  <c r="G33" i="3" s="1"/>
  <c r="G6" i="2"/>
  <c r="G7" i="2" s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D22" i="10"/>
  <c r="B21" i="10"/>
  <c r="C21" i="10" s="1"/>
  <c r="F21" i="10" s="1"/>
  <c r="G21" i="10"/>
  <c r="B32" i="8"/>
  <c r="B32" i="7"/>
  <c r="B32" i="6"/>
  <c r="B32" i="5"/>
  <c r="B32" i="3"/>
  <c r="B17" i="2"/>
  <c r="B23" i="2"/>
  <c r="B26" i="2"/>
  <c r="F35" i="2"/>
  <c r="B31" i="1"/>
  <c r="B25" i="1"/>
  <c r="B28" i="1" s="1"/>
  <c r="B34" i="1" s="1"/>
  <c r="E20" i="10" l="1"/>
  <c r="G22" i="10"/>
  <c r="D23" i="10"/>
  <c r="B22" i="10"/>
  <c r="C22" i="10" s="1"/>
  <c r="F22" i="10" s="1"/>
  <c r="B34" i="2"/>
  <c r="B28" i="2"/>
  <c r="B31" i="2" s="1"/>
  <c r="B37" i="2" s="1"/>
  <c r="E21" i="10" l="1"/>
  <c r="D24" i="10"/>
  <c r="B23" i="10"/>
  <c r="C23" i="10" s="1"/>
  <c r="F23" i="10" s="1"/>
  <c r="G23" i="10"/>
  <c r="E22" i="10" l="1"/>
  <c r="G24" i="10"/>
  <c r="D25" i="10"/>
  <c r="B24" i="10"/>
  <c r="C24" i="10" s="1"/>
  <c r="F24" i="10" s="1"/>
  <c r="E23" i="10" l="1"/>
  <c r="D26" i="10"/>
  <c r="B25" i="10"/>
  <c r="C25" i="10" s="1"/>
  <c r="F25" i="10" s="1"/>
  <c r="G25" i="10"/>
  <c r="E24" i="10" l="1"/>
  <c r="G26" i="10"/>
  <c r="D27" i="10"/>
  <c r="B26" i="10"/>
  <c r="C26" i="10" s="1"/>
  <c r="F26" i="10" s="1"/>
  <c r="D28" i="10" l="1"/>
  <c r="B27" i="10"/>
  <c r="C27" i="10" s="1"/>
  <c r="F27" i="10" s="1"/>
  <c r="G27" i="10"/>
  <c r="E25" i="10"/>
  <c r="E26" i="10" l="1"/>
  <c r="G28" i="10"/>
  <c r="D29" i="10"/>
  <c r="B28" i="10"/>
  <c r="C28" i="10" s="1"/>
  <c r="F28" i="10" s="1"/>
  <c r="E27" i="10" l="1"/>
  <c r="D30" i="10"/>
  <c r="B29" i="10"/>
  <c r="C29" i="10" s="1"/>
  <c r="F29" i="10" s="1"/>
  <c r="G29" i="10"/>
  <c r="E28" i="10" l="1"/>
  <c r="G30" i="10"/>
  <c r="D31" i="10"/>
  <c r="B30" i="10"/>
  <c r="C30" i="10" s="1"/>
  <c r="F30" i="10" s="1"/>
  <c r="E29" i="10" l="1"/>
  <c r="D32" i="10"/>
  <c r="B31" i="10"/>
  <c r="C31" i="10" s="1"/>
  <c r="F31" i="10" s="1"/>
  <c r="G31" i="10"/>
  <c r="E30" i="10" l="1"/>
  <c r="G32" i="10"/>
  <c r="D33" i="10"/>
  <c r="B32" i="10"/>
  <c r="C32" i="10" s="1"/>
  <c r="F32" i="10" s="1"/>
  <c r="E31" i="10" l="1"/>
  <c r="D34" i="10"/>
  <c r="B33" i="10"/>
  <c r="C33" i="10" s="1"/>
  <c r="F33" i="10" s="1"/>
  <c r="G33" i="10"/>
  <c r="G34" i="10" l="1"/>
  <c r="D35" i="10"/>
  <c r="B34" i="10"/>
  <c r="C34" i="10" s="1"/>
  <c r="F34" i="10" s="1"/>
  <c r="E32" i="10"/>
  <c r="E33" i="10" l="1"/>
  <c r="D36" i="10"/>
  <c r="B35" i="10"/>
  <c r="C35" i="10" s="1"/>
  <c r="F35" i="10" s="1"/>
  <c r="G35" i="10"/>
  <c r="E34" i="10" l="1"/>
  <c r="G36" i="10"/>
  <c r="D37" i="10"/>
  <c r="B36" i="10"/>
  <c r="C36" i="10" s="1"/>
  <c r="F36" i="10" s="1"/>
  <c r="E35" i="10" l="1"/>
  <c r="D38" i="10"/>
  <c r="B37" i="10"/>
  <c r="C37" i="10" s="1"/>
  <c r="F37" i="10" s="1"/>
  <c r="G37" i="10"/>
  <c r="E36" i="10" l="1"/>
  <c r="G38" i="10"/>
  <c r="D39" i="10"/>
  <c r="B38" i="10"/>
  <c r="C38" i="10" s="1"/>
  <c r="F38" i="10" s="1"/>
  <c r="D40" i="10" l="1"/>
  <c r="B39" i="10"/>
  <c r="C39" i="10" s="1"/>
  <c r="F39" i="10" s="1"/>
  <c r="G39" i="10"/>
  <c r="E37" i="10"/>
  <c r="E38" i="10" l="1"/>
  <c r="G40" i="10"/>
  <c r="D41" i="10"/>
  <c r="B40" i="10"/>
  <c r="C40" i="10" s="1"/>
  <c r="F40" i="10" s="1"/>
  <c r="E39" i="10" l="1"/>
  <c r="D42" i="10"/>
  <c r="B41" i="10"/>
  <c r="C41" i="10" s="1"/>
  <c r="F41" i="10" s="1"/>
  <c r="G41" i="10"/>
  <c r="E40" i="10" l="1"/>
  <c r="G42" i="10"/>
  <c r="D43" i="10"/>
  <c r="B42" i="10"/>
  <c r="C42" i="10" s="1"/>
  <c r="F42" i="10" s="1"/>
  <c r="D44" i="10" l="1"/>
  <c r="B43" i="10"/>
  <c r="C43" i="10" s="1"/>
  <c r="F43" i="10" s="1"/>
  <c r="G43" i="10"/>
  <c r="E41" i="10"/>
  <c r="E42" i="10" l="1"/>
  <c r="G44" i="10"/>
  <c r="D45" i="10"/>
  <c r="B44" i="10"/>
  <c r="C44" i="10" s="1"/>
  <c r="F44" i="10" s="1"/>
  <c r="D46" i="10" l="1"/>
  <c r="B45" i="10"/>
  <c r="C45" i="10" s="1"/>
  <c r="F45" i="10" s="1"/>
  <c r="G45" i="10"/>
  <c r="E43" i="10"/>
  <c r="E44" i="10" l="1"/>
  <c r="G46" i="10"/>
  <c r="D47" i="10"/>
  <c r="B46" i="10"/>
  <c r="C46" i="10" s="1"/>
  <c r="F46" i="10" s="1"/>
  <c r="D48" i="10" l="1"/>
  <c r="B47" i="10"/>
  <c r="C47" i="10" s="1"/>
  <c r="F47" i="10" s="1"/>
  <c r="G47" i="10"/>
  <c r="E45" i="10"/>
  <c r="E46" i="10" l="1"/>
  <c r="G48" i="10"/>
  <c r="D49" i="10"/>
  <c r="B48" i="10"/>
  <c r="C48" i="10" s="1"/>
  <c r="F48" i="10" s="1"/>
  <c r="E47" i="10" l="1"/>
  <c r="D50" i="10"/>
  <c r="B49" i="10"/>
  <c r="C49" i="10" s="1"/>
  <c r="F49" i="10" s="1"/>
  <c r="G49" i="10"/>
  <c r="E48" i="10" l="1"/>
  <c r="G50" i="10"/>
  <c r="D51" i="10"/>
  <c r="B50" i="10"/>
  <c r="C50" i="10" s="1"/>
  <c r="F50" i="10" s="1"/>
  <c r="E49" i="10" l="1"/>
  <c r="D52" i="10"/>
  <c r="B51" i="10"/>
  <c r="C51" i="10" s="1"/>
  <c r="F51" i="10" s="1"/>
  <c r="G51" i="10"/>
  <c r="E50" i="10" l="1"/>
  <c r="G52" i="10"/>
  <c r="E51" i="10"/>
  <c r="D53" i="10"/>
  <c r="B52" i="10"/>
  <c r="C52" i="10" s="1"/>
  <c r="F52" i="10" s="1"/>
  <c r="D54" i="10" l="1"/>
  <c r="B53" i="10"/>
  <c r="C53" i="10" s="1"/>
  <c r="F53" i="10" s="1"/>
  <c r="G53" i="10"/>
  <c r="E52" i="10" l="1"/>
  <c r="G54" i="10"/>
  <c r="D55" i="10"/>
  <c r="B54" i="10"/>
  <c r="C54" i="10" s="1"/>
  <c r="F54" i="10" s="1"/>
  <c r="E53" i="10" l="1"/>
  <c r="D56" i="10"/>
  <c r="B55" i="10"/>
  <c r="C55" i="10" s="1"/>
  <c r="F55" i="10" s="1"/>
  <c r="G55" i="10"/>
  <c r="E54" i="10" l="1"/>
  <c r="G56" i="10"/>
  <c r="D57" i="10"/>
  <c r="B56" i="10"/>
  <c r="C56" i="10" s="1"/>
  <c r="F56" i="10" s="1"/>
  <c r="E55" i="10" l="1"/>
  <c r="D58" i="10"/>
  <c r="B57" i="10"/>
  <c r="C57" i="10" s="1"/>
  <c r="F57" i="10" s="1"/>
  <c r="G57" i="10"/>
  <c r="E56" i="10" l="1"/>
  <c r="G58" i="10"/>
  <c r="D59" i="10"/>
  <c r="B58" i="10"/>
  <c r="C58" i="10" s="1"/>
  <c r="F58" i="10" s="1"/>
  <c r="D60" i="10" l="1"/>
  <c r="B59" i="10"/>
  <c r="C59" i="10" s="1"/>
  <c r="F59" i="10" s="1"/>
  <c r="G59" i="10"/>
  <c r="E57" i="10"/>
  <c r="E58" i="10" l="1"/>
  <c r="G60" i="10"/>
  <c r="E59" i="10"/>
  <c r="D61" i="10"/>
  <c r="B60" i="10"/>
  <c r="C60" i="10" s="1"/>
  <c r="F60" i="10" s="1"/>
  <c r="D62" i="10" l="1"/>
  <c r="B61" i="10"/>
  <c r="C61" i="10" s="1"/>
  <c r="F61" i="10" s="1"/>
  <c r="G61" i="10"/>
  <c r="E60" i="10" l="1"/>
  <c r="G62" i="10"/>
  <c r="D63" i="10"/>
  <c r="B62" i="10"/>
  <c r="C62" i="10" s="1"/>
  <c r="F62" i="10" s="1"/>
  <c r="D64" i="10" l="1"/>
  <c r="B63" i="10"/>
  <c r="C63" i="10" s="1"/>
  <c r="F63" i="10" s="1"/>
  <c r="G63" i="10"/>
  <c r="E61" i="10"/>
  <c r="E62" i="10" l="1"/>
  <c r="G64" i="10"/>
  <c r="E63" i="10"/>
  <c r="D65" i="10"/>
  <c r="B64" i="10"/>
  <c r="C64" i="10" s="1"/>
  <c r="F64" i="10" s="1"/>
  <c r="D66" i="10" l="1"/>
  <c r="B65" i="10"/>
  <c r="C65" i="10" s="1"/>
  <c r="F65" i="10" s="1"/>
  <c r="G65" i="10"/>
  <c r="E64" i="10" l="1"/>
  <c r="G66" i="10"/>
  <c r="D67" i="10"/>
  <c r="B66" i="10"/>
  <c r="C66" i="10" s="1"/>
  <c r="F66" i="10" s="1"/>
  <c r="D68" i="10" l="1"/>
  <c r="B67" i="10"/>
  <c r="C67" i="10" s="1"/>
  <c r="F67" i="10" s="1"/>
  <c r="G67" i="10"/>
  <c r="E65" i="10"/>
  <c r="E66" i="10" l="1"/>
  <c r="G68" i="10"/>
  <c r="D69" i="10"/>
  <c r="B68" i="10"/>
  <c r="C68" i="10" s="1"/>
  <c r="F68" i="10" s="1"/>
  <c r="E67" i="10" l="1"/>
  <c r="D70" i="10"/>
  <c r="B69" i="10"/>
  <c r="C69" i="10" s="1"/>
  <c r="F69" i="10" s="1"/>
  <c r="G69" i="10"/>
  <c r="G70" i="10" l="1"/>
  <c r="D71" i="10"/>
  <c r="B70" i="10"/>
  <c r="C70" i="10" s="1"/>
  <c r="F70" i="10" s="1"/>
  <c r="E68" i="10"/>
  <c r="G71" i="10" l="1"/>
  <c r="B71" i="10"/>
  <c r="C71" i="10" s="1"/>
  <c r="F71" i="10" s="1"/>
  <c r="D72" i="10"/>
  <c r="E69" i="10"/>
  <c r="D73" i="10" l="1"/>
  <c r="G72" i="10"/>
  <c r="B72" i="10"/>
  <c r="C72" i="10" s="1"/>
  <c r="F72" i="10" s="1"/>
  <c r="E70" i="10"/>
  <c r="E71" i="10" l="1"/>
  <c r="G73" i="10"/>
  <c r="D74" i="10"/>
  <c r="B73" i="10"/>
  <c r="C73" i="10" s="1"/>
  <c r="F73" i="10" s="1"/>
  <c r="D75" i="10" l="1"/>
  <c r="G74" i="10"/>
  <c r="B74" i="10"/>
  <c r="C74" i="10" s="1"/>
  <c r="F74" i="10" s="1"/>
  <c r="E72" i="10"/>
  <c r="E73" i="10" l="1"/>
  <c r="G75" i="10"/>
  <c r="B75" i="10"/>
  <c r="C75" i="10" s="1"/>
  <c r="F75" i="10" s="1"/>
  <c r="D76" i="10"/>
  <c r="E74" i="10" l="1"/>
  <c r="G76" i="10"/>
  <c r="B76" i="10"/>
  <c r="C76" i="10" s="1"/>
  <c r="F76" i="10" s="1"/>
  <c r="D77" i="10"/>
  <c r="E75" i="10" l="1"/>
  <c r="G77" i="10"/>
  <c r="B77" i="10"/>
  <c r="C77" i="10" s="1"/>
  <c r="F77" i="10" s="1"/>
  <c r="D78" i="10"/>
  <c r="E76" i="10" l="1"/>
  <c r="G78" i="10"/>
  <c r="B78" i="10"/>
  <c r="C78" i="10" s="1"/>
  <c r="F78" i="10" s="1"/>
  <c r="D79" i="10"/>
  <c r="E77" i="10" l="1"/>
  <c r="G79" i="10"/>
  <c r="D80" i="10"/>
  <c r="B79" i="10"/>
  <c r="C79" i="10" s="1"/>
  <c r="F79" i="10" s="1"/>
  <c r="E78" i="10" l="1"/>
  <c r="D81" i="10"/>
  <c r="G80" i="10"/>
  <c r="B80" i="10"/>
  <c r="C80" i="10" s="1"/>
  <c r="F80" i="10" s="1"/>
  <c r="E79" i="10" l="1"/>
  <c r="G81" i="10"/>
  <c r="D82" i="10"/>
  <c r="B81" i="10"/>
  <c r="C81" i="10" s="1"/>
  <c r="F81" i="10" s="1"/>
  <c r="E80" i="10" l="1"/>
  <c r="D83" i="10"/>
  <c r="E81" i="10"/>
  <c r="G82" i="10"/>
  <c r="B82" i="10"/>
  <c r="C82" i="10" s="1"/>
  <c r="F82" i="10"/>
  <c r="G83" i="10" l="1"/>
  <c r="B83" i="10"/>
  <c r="C83" i="10" s="1"/>
  <c r="F83" i="10" s="1"/>
  <c r="D84" i="10"/>
  <c r="E82" i="10" l="1"/>
  <c r="G84" i="10"/>
  <c r="B84" i="10"/>
  <c r="C84" i="10" s="1"/>
  <c r="F84" i="10" s="1"/>
  <c r="D85" i="10"/>
  <c r="E83" i="10" l="1"/>
  <c r="G85" i="10"/>
  <c r="B85" i="10"/>
  <c r="C85" i="10" s="1"/>
  <c r="F85" i="10" s="1"/>
  <c r="D86" i="10"/>
  <c r="E84" i="10" l="1"/>
  <c r="G86" i="10"/>
  <c r="B86" i="10"/>
  <c r="C86" i="10" s="1"/>
  <c r="F86" i="10" s="1"/>
  <c r="D87" i="10"/>
  <c r="E85" i="10" l="1"/>
  <c r="G87" i="10"/>
  <c r="D88" i="10"/>
  <c r="B87" i="10"/>
  <c r="C87" i="10" s="1"/>
  <c r="F87" i="10" s="1"/>
  <c r="E86" i="10" l="1"/>
  <c r="D89" i="10"/>
  <c r="G88" i="10"/>
  <c r="B88" i="10"/>
  <c r="C88" i="10" s="1"/>
  <c r="F88" i="10" s="1"/>
  <c r="E87" i="10" l="1"/>
  <c r="G89" i="10"/>
  <c r="D90" i="10"/>
  <c r="B89" i="10"/>
  <c r="C89" i="10" s="1"/>
  <c r="F89" i="10" s="1"/>
  <c r="E88" i="10" l="1"/>
  <c r="D91" i="10"/>
  <c r="G90" i="10"/>
  <c r="B90" i="10"/>
  <c r="C90" i="10" s="1"/>
  <c r="F90" i="10" s="1"/>
  <c r="E89" i="10" l="1"/>
  <c r="G91" i="10"/>
  <c r="B91" i="10"/>
  <c r="C91" i="10" s="1"/>
  <c r="F91" i="10" s="1"/>
  <c r="D92" i="10"/>
  <c r="E90" i="10" l="1"/>
  <c r="G92" i="10"/>
  <c r="B92" i="10"/>
  <c r="C92" i="10" s="1"/>
  <c r="F92" i="10" s="1"/>
  <c r="D93" i="10"/>
  <c r="E91" i="10" l="1"/>
  <c r="G93" i="10"/>
  <c r="B93" i="10"/>
  <c r="C93" i="10" s="1"/>
  <c r="F93" i="10" s="1"/>
  <c r="D94" i="10"/>
  <c r="E92" i="10" l="1"/>
  <c r="G94" i="10"/>
  <c r="B94" i="10"/>
  <c r="C94" i="10" s="1"/>
  <c r="F94" i="10" s="1"/>
  <c r="D95" i="10"/>
  <c r="E93" i="10" l="1"/>
  <c r="G95" i="10"/>
  <c r="D96" i="10"/>
  <c r="B95" i="10"/>
  <c r="C95" i="10" s="1"/>
  <c r="F95" i="10" s="1"/>
  <c r="E94" i="10" l="1"/>
  <c r="D97" i="10"/>
  <c r="E95" i="10"/>
  <c r="G96" i="10"/>
  <c r="B96" i="10"/>
  <c r="C96" i="10" s="1"/>
  <c r="F96" i="10" s="1"/>
  <c r="G97" i="10" l="1"/>
  <c r="D98" i="10"/>
  <c r="B97" i="10"/>
  <c r="C97" i="10" s="1"/>
  <c r="F97" i="10" s="1"/>
  <c r="E96" i="10" l="1"/>
  <c r="D99" i="10"/>
  <c r="G98" i="10"/>
  <c r="B98" i="10"/>
  <c r="C98" i="10" s="1"/>
  <c r="F98" i="10" s="1"/>
  <c r="E97" i="10" l="1"/>
  <c r="G99" i="10"/>
  <c r="D100" i="10"/>
  <c r="B99" i="10"/>
  <c r="C99" i="10" s="1"/>
  <c r="F99" i="10" s="1"/>
  <c r="E98" i="10" l="1"/>
  <c r="D101" i="10"/>
  <c r="B100" i="10"/>
  <c r="C100" i="10" s="1"/>
  <c r="F100" i="10" s="1"/>
  <c r="G100" i="10"/>
  <c r="G101" i="10" l="1"/>
  <c r="D102" i="10"/>
  <c r="B101" i="10"/>
  <c r="C101" i="10" s="1"/>
  <c r="F101" i="10" s="1"/>
  <c r="E99" i="10"/>
  <c r="G102" i="10" l="1"/>
  <c r="D103" i="10"/>
  <c r="B102" i="10"/>
  <c r="C102" i="10" s="1"/>
  <c r="F102" i="10" s="1"/>
  <c r="E100" i="10"/>
  <c r="E101" i="10" l="1"/>
  <c r="G103" i="10"/>
  <c r="D104" i="10"/>
  <c r="B103" i="10"/>
  <c r="C103" i="10" s="1"/>
  <c r="F103" i="10" s="1"/>
  <c r="E102" i="10" l="1"/>
  <c r="D105" i="10"/>
  <c r="B104" i="10"/>
  <c r="C104" i="10" s="1"/>
  <c r="F104" i="10" s="1"/>
  <c r="G104" i="10"/>
  <c r="G105" i="10" l="1"/>
  <c r="D106" i="10"/>
  <c r="B105" i="10"/>
  <c r="C105" i="10" s="1"/>
  <c r="F105" i="10" s="1"/>
  <c r="E103" i="10"/>
  <c r="G106" i="10" l="1"/>
  <c r="D107" i="10"/>
  <c r="B106" i="10"/>
  <c r="C106" i="10" s="1"/>
  <c r="F106" i="10" s="1"/>
  <c r="E104" i="10"/>
  <c r="G107" i="10" l="1"/>
  <c r="D108" i="10"/>
  <c r="B107" i="10"/>
  <c r="C107" i="10" s="1"/>
  <c r="F107" i="10" s="1"/>
  <c r="E105" i="10"/>
  <c r="D109" i="10" l="1"/>
  <c r="B108" i="10"/>
  <c r="C108" i="10" s="1"/>
  <c r="F108" i="10" s="1"/>
  <c r="G108" i="10"/>
  <c r="E106" i="10"/>
  <c r="E107" i="10" l="1"/>
  <c r="G109" i="10"/>
  <c r="D110" i="10"/>
  <c r="B109" i="10"/>
  <c r="C109" i="10" s="1"/>
  <c r="F109" i="10" s="1"/>
  <c r="E108" i="10" l="1"/>
  <c r="G110" i="10"/>
  <c r="D111" i="10"/>
  <c r="B110" i="10"/>
  <c r="C110" i="10" s="1"/>
  <c r="F110" i="10" s="1"/>
  <c r="E109" i="10" l="1"/>
  <c r="G111" i="10"/>
  <c r="E110" i="10"/>
  <c r="D112" i="10"/>
  <c r="B111" i="10"/>
  <c r="C111" i="10" s="1"/>
  <c r="F111" i="10" s="1"/>
  <c r="D113" i="10" l="1"/>
  <c r="B112" i="10"/>
  <c r="C112" i="10" s="1"/>
  <c r="F112" i="10" s="1"/>
  <c r="G112" i="10"/>
  <c r="E111" i="10"/>
  <c r="G113" i="10" l="1"/>
  <c r="D114" i="10"/>
  <c r="B113" i="10"/>
  <c r="C113" i="10" s="1"/>
  <c r="F113" i="10" s="1"/>
  <c r="G114" i="10" l="1"/>
  <c r="D115" i="10"/>
  <c r="B114" i="10"/>
  <c r="C114" i="10" s="1"/>
  <c r="F114" i="10" s="1"/>
  <c r="E112" i="10"/>
  <c r="G115" i="10" l="1"/>
  <c r="D116" i="10"/>
  <c r="B115" i="10"/>
  <c r="C115" i="10" s="1"/>
  <c r="F115" i="10" s="1"/>
  <c r="E113" i="10"/>
  <c r="E114" i="10" l="1"/>
  <c r="D117" i="10"/>
  <c r="B116" i="10"/>
  <c r="C116" i="10" s="1"/>
  <c r="F116" i="10" s="1"/>
  <c r="G116" i="10"/>
  <c r="G117" i="10" l="1"/>
  <c r="D118" i="10"/>
  <c r="B117" i="10"/>
  <c r="C117" i="10" s="1"/>
  <c r="F117" i="10" s="1"/>
  <c r="E115" i="10"/>
  <c r="G118" i="10" l="1"/>
  <c r="D119" i="10"/>
  <c r="B118" i="10"/>
  <c r="C118" i="10" s="1"/>
  <c r="F118" i="10" s="1"/>
  <c r="E116" i="10"/>
  <c r="E117" i="10" l="1"/>
  <c r="G119" i="10"/>
  <c r="E118" i="10"/>
  <c r="D120" i="10"/>
  <c r="B119" i="10"/>
  <c r="C119" i="10" s="1"/>
  <c r="F119" i="10" s="1"/>
  <c r="D121" i="10" l="1"/>
  <c r="B120" i="10"/>
  <c r="C120" i="10" s="1"/>
  <c r="F120" i="10" s="1"/>
  <c r="G120" i="10"/>
  <c r="E119" i="10"/>
  <c r="G121" i="10" l="1"/>
  <c r="D122" i="10"/>
  <c r="B121" i="10"/>
  <c r="C121" i="10" s="1"/>
  <c r="F121" i="10" s="1"/>
  <c r="G122" i="10" l="1"/>
  <c r="D123" i="10"/>
  <c r="B122" i="10"/>
  <c r="C122" i="10" s="1"/>
  <c r="F122" i="10" s="1"/>
  <c r="E120" i="10"/>
  <c r="G123" i="10" l="1"/>
  <c r="D124" i="10"/>
  <c r="B123" i="10"/>
  <c r="C123" i="10" s="1"/>
  <c r="F123" i="10" s="1"/>
  <c r="E121" i="10"/>
  <c r="D125" i="10" l="1"/>
  <c r="B124" i="10"/>
  <c r="C124" i="10" s="1"/>
  <c r="F124" i="10" s="1"/>
  <c r="G124" i="10"/>
  <c r="E122" i="10"/>
  <c r="E123" i="10" l="1"/>
  <c r="G125" i="10"/>
  <c r="D126" i="10"/>
  <c r="B125" i="10"/>
  <c r="C125" i="10" s="1"/>
  <c r="F125" i="10" s="1"/>
  <c r="G126" i="10" l="1"/>
  <c r="D127" i="10"/>
  <c r="B126" i="10"/>
  <c r="C126" i="10" s="1"/>
  <c r="F126" i="10" s="1"/>
  <c r="E124" i="10"/>
  <c r="E125" i="10" l="1"/>
  <c r="G127" i="10"/>
  <c r="E126" i="10"/>
  <c r="D128" i="10"/>
  <c r="B127" i="10"/>
  <c r="C127" i="10" s="1"/>
  <c r="F127" i="10" s="1"/>
  <c r="D129" i="10" l="1"/>
  <c r="B128" i="10"/>
  <c r="C128" i="10" s="1"/>
  <c r="F128" i="10" s="1"/>
  <c r="G128" i="10"/>
  <c r="E127" i="10"/>
  <c r="G129" i="10" l="1"/>
  <c r="D130" i="10"/>
  <c r="B129" i="10"/>
  <c r="C129" i="10" s="1"/>
  <c r="F129" i="10" s="1"/>
  <c r="G130" i="10" l="1"/>
  <c r="D131" i="10"/>
  <c r="B130" i="10"/>
  <c r="C130" i="10" s="1"/>
  <c r="F130" i="10" s="1"/>
  <c r="E128" i="10"/>
  <c r="E129" i="10" l="1"/>
  <c r="G131" i="10"/>
  <c r="E130" i="10"/>
  <c r="D132" i="10"/>
  <c r="B131" i="10"/>
  <c r="C131" i="10" s="1"/>
  <c r="F131" i="10" s="1"/>
  <c r="D133" i="10" l="1"/>
  <c r="B132" i="10"/>
  <c r="C132" i="10" s="1"/>
  <c r="F132" i="10" s="1"/>
  <c r="G132" i="10"/>
  <c r="E131" i="10"/>
  <c r="G133" i="10" l="1"/>
  <c r="D134" i="10"/>
  <c r="B133" i="10"/>
  <c r="C133" i="10" s="1"/>
  <c r="F133" i="10" s="1"/>
  <c r="G134" i="10" l="1"/>
  <c r="D135" i="10"/>
  <c r="B134" i="10"/>
  <c r="C134" i="10" s="1"/>
  <c r="F134" i="10" s="1"/>
  <c r="E132" i="10"/>
  <c r="E133" i="10" l="1"/>
  <c r="G135" i="10"/>
  <c r="D136" i="10"/>
  <c r="B135" i="10"/>
  <c r="C135" i="10" s="1"/>
  <c r="F135" i="10" s="1"/>
  <c r="E134" i="10" l="1"/>
  <c r="D137" i="10"/>
  <c r="B136" i="10"/>
  <c r="C136" i="10" s="1"/>
  <c r="F136" i="10" s="1"/>
  <c r="G136" i="10"/>
  <c r="G137" i="10" l="1"/>
  <c r="D138" i="10"/>
  <c r="B137" i="10"/>
  <c r="C137" i="10" s="1"/>
  <c r="F137" i="10" s="1"/>
  <c r="E135" i="10"/>
  <c r="G138" i="10" l="1"/>
  <c r="D139" i="10"/>
  <c r="B138" i="10"/>
  <c r="C138" i="10" s="1"/>
  <c r="F138" i="10" s="1"/>
  <c r="E136" i="10"/>
  <c r="G139" i="10" l="1"/>
  <c r="D140" i="10"/>
  <c r="B139" i="10"/>
  <c r="C139" i="10" s="1"/>
  <c r="F139" i="10" s="1"/>
  <c r="E137" i="10"/>
  <c r="D141" i="10" l="1"/>
  <c r="B140" i="10"/>
  <c r="C140" i="10" s="1"/>
  <c r="F140" i="10" s="1"/>
  <c r="G140" i="10"/>
  <c r="E138" i="10"/>
  <c r="E139" i="10" l="1"/>
  <c r="G141" i="10"/>
  <c r="D142" i="10"/>
  <c r="B141" i="10"/>
  <c r="C141" i="10" s="1"/>
  <c r="F141" i="10" s="1"/>
  <c r="G142" i="10" l="1"/>
  <c r="D143" i="10"/>
  <c r="B142" i="10"/>
  <c r="C142" i="10" s="1"/>
  <c r="F142" i="10" s="1"/>
  <c r="E140" i="10"/>
  <c r="G143" i="10" l="1"/>
  <c r="D144" i="10"/>
  <c r="B143" i="10"/>
  <c r="C143" i="10" s="1"/>
  <c r="F143" i="10" s="1"/>
  <c r="E141" i="10"/>
  <c r="D145" i="10" l="1"/>
  <c r="B144" i="10"/>
  <c r="C144" i="10" s="1"/>
  <c r="F144" i="10" s="1"/>
  <c r="G144" i="10"/>
  <c r="E143" i="10"/>
  <c r="E142" i="10"/>
  <c r="G145" i="10" l="1"/>
  <c r="D146" i="10"/>
  <c r="B145" i="10"/>
  <c r="C145" i="10" s="1"/>
  <c r="F145" i="10" s="1"/>
  <c r="G146" i="10" l="1"/>
  <c r="D147" i="10"/>
  <c r="B146" i="10"/>
  <c r="C146" i="10" s="1"/>
  <c r="F146" i="10" s="1"/>
  <c r="E144" i="10"/>
  <c r="G147" i="10" l="1"/>
  <c r="D148" i="10"/>
  <c r="B147" i="10"/>
  <c r="C147" i="10" s="1"/>
  <c r="F147" i="10" s="1"/>
  <c r="E145" i="10"/>
  <c r="D149" i="10" l="1"/>
  <c r="B148" i="10"/>
  <c r="C148" i="10" s="1"/>
  <c r="F148" i="10" s="1"/>
  <c r="G148" i="10"/>
  <c r="E147" i="10"/>
  <c r="E146" i="10"/>
  <c r="G149" i="10" l="1"/>
  <c r="D150" i="10"/>
  <c r="B149" i="10"/>
  <c r="C149" i="10" s="1"/>
  <c r="F149" i="10" s="1"/>
  <c r="E148" i="10" l="1"/>
  <c r="G150" i="10"/>
  <c r="D151" i="10"/>
  <c r="B150" i="10"/>
  <c r="C150" i="10" s="1"/>
  <c r="F150" i="10" s="1"/>
  <c r="G151" i="10" l="1"/>
  <c r="D152" i="10"/>
  <c r="B151" i="10"/>
  <c r="C151" i="10" s="1"/>
  <c r="F151" i="10" s="1"/>
  <c r="E149" i="10"/>
  <c r="G152" i="10" l="1"/>
  <c r="D153" i="10"/>
  <c r="B152" i="10"/>
  <c r="C152" i="10" s="1"/>
  <c r="F152" i="10" s="1"/>
  <c r="E150" i="10"/>
  <c r="G153" i="10" l="1"/>
  <c r="D154" i="10"/>
  <c r="B153" i="10"/>
  <c r="C153" i="10" s="1"/>
  <c r="F153" i="10" s="1"/>
  <c r="E151" i="10"/>
  <c r="G154" i="10" l="1"/>
  <c r="B154" i="10"/>
  <c r="C154" i="10" s="1"/>
  <c r="F154" i="10" s="1"/>
  <c r="D155" i="10"/>
  <c r="E152" i="10"/>
  <c r="E153" i="10" l="1"/>
  <c r="G155" i="10"/>
  <c r="D156" i="10"/>
  <c r="B155" i="10"/>
  <c r="C155" i="10" s="1"/>
  <c r="F155" i="10" s="1"/>
  <c r="E154" i="10" l="1"/>
  <c r="G156" i="10"/>
  <c r="B156" i="10"/>
  <c r="C156" i="10" s="1"/>
  <c r="F156" i="10" s="1"/>
  <c r="D157" i="10"/>
  <c r="E155" i="10" l="1"/>
  <c r="G157" i="10"/>
  <c r="D158" i="10"/>
  <c r="B157" i="10"/>
  <c r="C157" i="10" s="1"/>
  <c r="F157" i="10" s="1"/>
  <c r="G158" i="10" l="1"/>
  <c r="D159" i="10"/>
  <c r="B158" i="10"/>
  <c r="C158" i="10" s="1"/>
  <c r="F158" i="10" s="1"/>
  <c r="E156" i="10"/>
  <c r="G159" i="10" l="1"/>
  <c r="D160" i="10"/>
  <c r="B159" i="10"/>
  <c r="C159" i="10" s="1"/>
  <c r="F159" i="10" s="1"/>
  <c r="E157" i="10"/>
  <c r="G160" i="10" l="1"/>
  <c r="D161" i="10"/>
  <c r="B160" i="10"/>
  <c r="C160" i="10" s="1"/>
  <c r="F160" i="10" s="1"/>
  <c r="E158" i="10"/>
  <c r="G161" i="10" l="1"/>
  <c r="D162" i="10"/>
  <c r="B161" i="10"/>
  <c r="C161" i="10" s="1"/>
  <c r="F161" i="10" s="1"/>
  <c r="E159" i="10"/>
  <c r="G162" i="10" l="1"/>
  <c r="B162" i="10"/>
  <c r="C162" i="10" s="1"/>
  <c r="F162" i="10" s="1"/>
  <c r="D163" i="10"/>
  <c r="E160" i="10"/>
  <c r="G163" i="10" l="1"/>
  <c r="D164" i="10"/>
  <c r="B163" i="10"/>
  <c r="C163" i="10" s="1"/>
  <c r="F163" i="10" s="1"/>
  <c r="E161" i="10"/>
  <c r="G164" i="10" l="1"/>
  <c r="B164" i="10"/>
  <c r="C164" i="10" s="1"/>
  <c r="F164" i="10" s="1"/>
  <c r="D165" i="10"/>
  <c r="E162" i="10"/>
  <c r="E163" i="10" l="1"/>
  <c r="G165" i="10"/>
  <c r="E164" i="10"/>
  <c r="D166" i="10"/>
  <c r="B165" i="10"/>
  <c r="C165" i="10" s="1"/>
  <c r="F165" i="10" s="1"/>
  <c r="G166" i="10" l="1"/>
  <c r="D167" i="10"/>
  <c r="B166" i="10"/>
  <c r="C166" i="10" s="1"/>
  <c r="F166" i="10" s="1"/>
  <c r="G167" i="10" l="1"/>
  <c r="D168" i="10"/>
  <c r="B167" i="10"/>
  <c r="C167" i="10" s="1"/>
  <c r="F167" i="10" s="1"/>
  <c r="E165" i="10"/>
  <c r="G168" i="10" l="1"/>
  <c r="D169" i="10"/>
  <c r="B168" i="10"/>
  <c r="C168" i="10" s="1"/>
  <c r="F168" i="10" s="1"/>
  <c r="E166" i="10"/>
  <c r="G169" i="10" l="1"/>
  <c r="D170" i="10"/>
  <c r="B169" i="10"/>
  <c r="C169" i="10" s="1"/>
  <c r="F169" i="10" s="1"/>
  <c r="E167" i="10"/>
  <c r="G170" i="10" l="1"/>
  <c r="B170" i="10"/>
  <c r="C170" i="10" s="1"/>
  <c r="F170" i="10" s="1"/>
  <c r="D171" i="10"/>
  <c r="E168" i="10"/>
  <c r="E169" i="10" l="1"/>
  <c r="G171" i="10"/>
  <c r="E170" i="10"/>
  <c r="D172" i="10"/>
  <c r="B171" i="10"/>
  <c r="C171" i="10" s="1"/>
  <c r="F171" i="10" s="1"/>
  <c r="G172" i="10" l="1"/>
  <c r="D173" i="10"/>
  <c r="B172" i="10"/>
  <c r="C172" i="10" s="1"/>
  <c r="F172" i="10" s="1"/>
  <c r="G173" i="10" l="1"/>
  <c r="D174" i="10"/>
  <c r="B173" i="10"/>
  <c r="C173" i="10" s="1"/>
  <c r="F173" i="10" s="1"/>
  <c r="E171" i="10"/>
  <c r="G174" i="10" l="1"/>
  <c r="D175" i="10"/>
  <c r="B174" i="10"/>
  <c r="C174" i="10" s="1"/>
  <c r="F174" i="10" s="1"/>
  <c r="E172" i="10"/>
  <c r="G175" i="10" l="1"/>
  <c r="D176" i="10"/>
  <c r="B175" i="10"/>
  <c r="C175" i="10" s="1"/>
  <c r="F175" i="10" s="1"/>
  <c r="E173" i="10"/>
  <c r="G176" i="10" l="1"/>
  <c r="D177" i="10"/>
  <c r="B176" i="10"/>
  <c r="C176" i="10" s="1"/>
  <c r="F176" i="10" s="1"/>
  <c r="E174" i="10"/>
  <c r="G177" i="10" l="1"/>
  <c r="D178" i="10"/>
  <c r="B177" i="10"/>
  <c r="C177" i="10" s="1"/>
  <c r="F177" i="10" s="1"/>
  <c r="E175" i="10"/>
  <c r="G178" i="10" l="1"/>
  <c r="D179" i="10"/>
  <c r="B178" i="10"/>
  <c r="C178" i="10" s="1"/>
  <c r="F178" i="10" s="1"/>
  <c r="E176" i="10"/>
  <c r="G179" i="10" l="1"/>
  <c r="D180" i="10"/>
  <c r="B179" i="10"/>
  <c r="C179" i="10" s="1"/>
  <c r="F179" i="10" s="1"/>
  <c r="E177" i="10"/>
  <c r="G180" i="10" l="1"/>
  <c r="D181" i="10"/>
  <c r="B180" i="10"/>
  <c r="C180" i="10" s="1"/>
  <c r="F180" i="10" s="1"/>
  <c r="E178" i="10"/>
  <c r="G181" i="10" l="1"/>
  <c r="D182" i="10"/>
  <c r="B181" i="10"/>
  <c r="C181" i="10" s="1"/>
  <c r="F181" i="10" s="1"/>
  <c r="E179" i="10"/>
  <c r="G182" i="10" l="1"/>
  <c r="D183" i="10"/>
  <c r="B182" i="10"/>
  <c r="C182" i="10" s="1"/>
  <c r="F182" i="10" s="1"/>
  <c r="E180" i="10"/>
  <c r="G183" i="10" l="1"/>
  <c r="D184" i="10"/>
  <c r="B183" i="10"/>
  <c r="C183" i="10" s="1"/>
  <c r="F183" i="10" s="1"/>
  <c r="E181" i="10"/>
  <c r="G184" i="10" l="1"/>
  <c r="D185" i="10"/>
  <c r="B184" i="10"/>
  <c r="C184" i="10" s="1"/>
  <c r="F184" i="10" s="1"/>
  <c r="E182" i="10"/>
  <c r="G185" i="10" l="1"/>
  <c r="D186" i="10"/>
  <c r="B185" i="10"/>
  <c r="C185" i="10" s="1"/>
  <c r="F185" i="10" s="1"/>
  <c r="E183" i="10"/>
  <c r="G186" i="10" l="1"/>
  <c r="D187" i="10"/>
  <c r="B186" i="10"/>
  <c r="C186" i="10" s="1"/>
  <c r="F186" i="10" s="1"/>
  <c r="E184" i="10"/>
  <c r="G187" i="10" l="1"/>
  <c r="D188" i="10"/>
  <c r="B187" i="10"/>
  <c r="C187" i="10" s="1"/>
  <c r="F187" i="10" s="1"/>
  <c r="E185" i="10"/>
  <c r="G188" i="10" l="1"/>
  <c r="D189" i="10"/>
  <c r="B188" i="10"/>
  <c r="C188" i="10" s="1"/>
  <c r="F188" i="10" s="1"/>
  <c r="E186" i="10"/>
  <c r="G189" i="10" l="1"/>
  <c r="D190" i="10"/>
  <c r="B189" i="10"/>
  <c r="C189" i="10" s="1"/>
  <c r="F189" i="10" s="1"/>
  <c r="E187" i="10"/>
  <c r="G190" i="10" l="1"/>
  <c r="D191" i="10"/>
  <c r="B190" i="10"/>
  <c r="C190" i="10" s="1"/>
  <c r="F190" i="10" s="1"/>
  <c r="E188" i="10"/>
  <c r="G191" i="10" l="1"/>
  <c r="D192" i="10"/>
  <c r="B191" i="10"/>
  <c r="C191" i="10" s="1"/>
  <c r="F191" i="10" s="1"/>
  <c r="E189" i="10"/>
  <c r="E190" i="10" l="1"/>
  <c r="G192" i="10"/>
  <c r="E191" i="10"/>
  <c r="D193" i="10"/>
  <c r="B192" i="10"/>
  <c r="C192" i="10" s="1"/>
  <c r="F192" i="10" s="1"/>
  <c r="G193" i="10" l="1"/>
  <c r="D194" i="10"/>
  <c r="B193" i="10"/>
  <c r="C193" i="10" s="1"/>
  <c r="F193" i="10" s="1"/>
  <c r="G194" i="10" l="1"/>
  <c r="D195" i="10"/>
  <c r="B194" i="10"/>
  <c r="C194" i="10" s="1"/>
  <c r="F194" i="10" s="1"/>
  <c r="E192" i="10"/>
  <c r="E193" i="10" l="1"/>
  <c r="G195" i="10"/>
  <c r="E194" i="10"/>
  <c r="D196" i="10"/>
  <c r="B195" i="10"/>
  <c r="C195" i="10" s="1"/>
  <c r="F195" i="10" s="1"/>
  <c r="G196" i="10" l="1"/>
  <c r="D197" i="10"/>
  <c r="B196" i="10"/>
  <c r="C196" i="10" s="1"/>
  <c r="F196" i="10" s="1"/>
  <c r="G197" i="10" l="1"/>
  <c r="D198" i="10"/>
  <c r="B197" i="10"/>
  <c r="C197" i="10" s="1"/>
  <c r="F197" i="10" s="1"/>
  <c r="E195" i="10"/>
  <c r="G198" i="10" l="1"/>
  <c r="D199" i="10"/>
  <c r="B198" i="10"/>
  <c r="C198" i="10" s="1"/>
  <c r="F198" i="10" s="1"/>
  <c r="E196" i="10"/>
  <c r="G199" i="10" l="1"/>
  <c r="D200" i="10"/>
  <c r="B199" i="10"/>
  <c r="C199" i="10" s="1"/>
  <c r="F199" i="10" s="1"/>
  <c r="E197" i="10"/>
  <c r="E198" i="10" l="1"/>
  <c r="G200" i="10"/>
  <c r="D201" i="10"/>
  <c r="B200" i="10"/>
  <c r="C200" i="10" s="1"/>
  <c r="F200" i="10" s="1"/>
  <c r="G201" i="10" l="1"/>
  <c r="D202" i="10"/>
  <c r="B201" i="10"/>
  <c r="C201" i="10" s="1"/>
  <c r="F201" i="10" s="1"/>
  <c r="E199" i="10"/>
  <c r="E200" i="10" l="1"/>
  <c r="G202" i="10"/>
  <c r="D203" i="10"/>
  <c r="F202" i="10"/>
  <c r="B202" i="10"/>
  <c r="C202" i="10" s="1"/>
  <c r="E201" i="10" l="1"/>
  <c r="G203" i="10"/>
  <c r="E202" i="10"/>
  <c r="D204" i="10"/>
  <c r="B203" i="10"/>
  <c r="C203" i="10" s="1"/>
  <c r="F203" i="10" s="1"/>
  <c r="G204" i="10" l="1"/>
  <c r="D205" i="10"/>
  <c r="B204" i="10"/>
  <c r="C204" i="10" s="1"/>
  <c r="F204" i="10" s="1"/>
  <c r="G205" i="10" l="1"/>
  <c r="D206" i="10"/>
  <c r="B205" i="10"/>
  <c r="C205" i="10" s="1"/>
  <c r="F205" i="10" s="1"/>
  <c r="E203" i="10"/>
  <c r="G206" i="10" l="1"/>
  <c r="D207" i="10"/>
  <c r="B206" i="10"/>
  <c r="C206" i="10" s="1"/>
  <c r="F206" i="10" s="1"/>
  <c r="E204" i="10"/>
  <c r="G207" i="10" l="1"/>
  <c r="D208" i="10"/>
  <c r="B207" i="10"/>
  <c r="C207" i="10" s="1"/>
  <c r="F207" i="10" s="1"/>
  <c r="E205" i="10"/>
  <c r="E206" i="10" l="1"/>
  <c r="G208" i="10"/>
  <c r="E207" i="10"/>
  <c r="D209" i="10"/>
  <c r="B208" i="10"/>
  <c r="C208" i="10" s="1"/>
  <c r="F208" i="10" s="1"/>
  <c r="G209" i="10" l="1"/>
  <c r="D210" i="10"/>
  <c r="B209" i="10"/>
  <c r="C209" i="10" s="1"/>
  <c r="F209" i="10" s="1"/>
  <c r="G210" i="10" l="1"/>
  <c r="D211" i="10"/>
  <c r="B210" i="10"/>
  <c r="C210" i="10" s="1"/>
  <c r="F210" i="10" s="1"/>
  <c r="E208" i="10"/>
  <c r="G211" i="10" l="1"/>
  <c r="D212" i="10"/>
  <c r="B211" i="10"/>
  <c r="C211" i="10" s="1"/>
  <c r="F211" i="10" s="1"/>
  <c r="E209" i="10"/>
  <c r="E210" i="10" l="1"/>
  <c r="G212" i="10"/>
  <c r="E211" i="10"/>
  <c r="D213" i="10"/>
  <c r="B212" i="10"/>
  <c r="C212" i="10" s="1"/>
  <c r="F212" i="10" s="1"/>
  <c r="G213" i="10" l="1"/>
  <c r="D214" i="10"/>
  <c r="B213" i="10"/>
  <c r="C213" i="10" s="1"/>
  <c r="F213" i="10" s="1"/>
  <c r="G214" i="10" l="1"/>
  <c r="D215" i="10"/>
  <c r="B214" i="10"/>
  <c r="C214" i="10" s="1"/>
  <c r="F214" i="10" s="1"/>
  <c r="E212" i="10"/>
  <c r="G215" i="10" l="1"/>
  <c r="D216" i="10"/>
  <c r="B215" i="10"/>
  <c r="C215" i="10" s="1"/>
  <c r="F215" i="10" s="1"/>
  <c r="E213" i="10"/>
  <c r="G216" i="10" l="1"/>
  <c r="D217" i="10"/>
  <c r="B216" i="10"/>
  <c r="C216" i="10" s="1"/>
  <c r="F216" i="10" s="1"/>
  <c r="E214" i="10"/>
  <c r="E215" i="10" l="1"/>
  <c r="G217" i="10"/>
  <c r="D218" i="10"/>
  <c r="B217" i="10"/>
  <c r="C217" i="10" s="1"/>
  <c r="F217" i="10" s="1"/>
  <c r="G218" i="10" l="1"/>
  <c r="D219" i="10"/>
  <c r="B218" i="10"/>
  <c r="C218" i="10" s="1"/>
  <c r="F218" i="10" s="1"/>
  <c r="E216" i="10"/>
  <c r="G219" i="10" l="1"/>
  <c r="D220" i="10"/>
  <c r="B219" i="10"/>
  <c r="C219" i="10" s="1"/>
  <c r="F219" i="10" s="1"/>
  <c r="E217" i="10"/>
  <c r="E218" i="10" l="1"/>
  <c r="G220" i="10"/>
  <c r="E219" i="10"/>
  <c r="D221" i="10"/>
  <c r="B220" i="10"/>
  <c r="C220" i="10" s="1"/>
  <c r="F220" i="10" s="1"/>
  <c r="G221" i="10" l="1"/>
  <c r="D222" i="10"/>
  <c r="B221" i="10"/>
  <c r="C221" i="10" s="1"/>
  <c r="F221" i="10" s="1"/>
  <c r="G222" i="10" l="1"/>
  <c r="D223" i="10"/>
  <c r="B222" i="10"/>
  <c r="C222" i="10" s="1"/>
  <c r="F222" i="10" s="1"/>
  <c r="E220" i="10"/>
  <c r="G223" i="10" l="1"/>
  <c r="D224" i="10"/>
  <c r="B223" i="10"/>
  <c r="C223" i="10" s="1"/>
  <c r="F223" i="10" s="1"/>
  <c r="E221" i="10"/>
  <c r="G224" i="10" l="1"/>
  <c r="D225" i="10"/>
  <c r="B224" i="10"/>
  <c r="C224" i="10" s="1"/>
  <c r="F224" i="10" s="1"/>
  <c r="E222" i="10"/>
  <c r="E223" i="10" l="1"/>
  <c r="G225" i="10"/>
  <c r="E224" i="10"/>
  <c r="D226" i="10"/>
  <c r="B225" i="10"/>
  <c r="C225" i="10" s="1"/>
  <c r="F225" i="10" s="1"/>
  <c r="G226" i="10" l="1"/>
  <c r="D227" i="10"/>
  <c r="B226" i="10"/>
  <c r="C226" i="10" s="1"/>
  <c r="F226" i="10" s="1"/>
  <c r="G227" i="10" l="1"/>
  <c r="D228" i="10"/>
  <c r="B227" i="10"/>
  <c r="C227" i="10" s="1"/>
  <c r="F227" i="10" s="1"/>
  <c r="E225" i="10"/>
  <c r="E226" i="10" l="1"/>
  <c r="G228" i="10"/>
  <c r="E227" i="10"/>
  <c r="D229" i="10"/>
  <c r="B228" i="10"/>
  <c r="C228" i="10" s="1"/>
  <c r="F228" i="10" s="1"/>
  <c r="G229" i="10" l="1"/>
  <c r="D230" i="10"/>
  <c r="B229" i="10"/>
  <c r="C229" i="10" s="1"/>
  <c r="F229" i="10" s="1"/>
  <c r="G230" i="10" l="1"/>
  <c r="D231" i="10"/>
  <c r="B230" i="10"/>
  <c r="C230" i="10" s="1"/>
  <c r="F230" i="10" s="1"/>
  <c r="E228" i="10"/>
  <c r="E229" i="10" l="1"/>
  <c r="G231" i="10"/>
  <c r="E230" i="10"/>
  <c r="D232" i="10"/>
  <c r="B231" i="10"/>
  <c r="C231" i="10" s="1"/>
  <c r="F231" i="10" s="1"/>
  <c r="G232" i="10" l="1"/>
  <c r="D233" i="10"/>
  <c r="B232" i="10"/>
  <c r="C232" i="10" s="1"/>
  <c r="F232" i="10" s="1"/>
  <c r="G233" i="10" l="1"/>
  <c r="D234" i="10"/>
  <c r="B233" i="10"/>
  <c r="C233" i="10" s="1"/>
  <c r="F233" i="10" s="1"/>
  <c r="E231" i="10"/>
  <c r="E232" i="10" l="1"/>
  <c r="G234" i="10"/>
  <c r="E233" i="10"/>
  <c r="D235" i="10"/>
  <c r="B234" i="10"/>
  <c r="C234" i="10" s="1"/>
  <c r="F234" i="10" s="1"/>
  <c r="G235" i="10" l="1"/>
  <c r="D236" i="10"/>
  <c r="B235" i="10"/>
  <c r="C235" i="10" s="1"/>
  <c r="F235" i="10" s="1"/>
  <c r="G236" i="10" l="1"/>
  <c r="D237" i="10"/>
  <c r="B236" i="10"/>
  <c r="C236" i="10" s="1"/>
  <c r="F236" i="10" s="1"/>
  <c r="E234" i="10"/>
  <c r="G237" i="10" l="1"/>
  <c r="D238" i="10"/>
  <c r="B237" i="10"/>
  <c r="C237" i="10" s="1"/>
  <c r="F237" i="10" s="1"/>
  <c r="E235" i="10"/>
  <c r="G238" i="10" l="1"/>
  <c r="D239" i="10"/>
  <c r="B238" i="10"/>
  <c r="C238" i="10" s="1"/>
  <c r="F238" i="10" s="1"/>
  <c r="E236" i="10"/>
  <c r="G239" i="10" l="1"/>
  <c r="D240" i="10"/>
  <c r="B239" i="10"/>
  <c r="C239" i="10" s="1"/>
  <c r="F239" i="10" s="1"/>
  <c r="E237" i="10"/>
  <c r="G240" i="10" l="1"/>
  <c r="D241" i="10"/>
  <c r="B240" i="10"/>
  <c r="C240" i="10" s="1"/>
  <c r="F240" i="10" s="1"/>
  <c r="E238" i="10"/>
  <c r="G241" i="10" l="1"/>
  <c r="D242" i="10"/>
  <c r="B241" i="10"/>
  <c r="C241" i="10" s="1"/>
  <c r="F241" i="10" s="1"/>
  <c r="E239" i="10"/>
  <c r="G242" i="10" l="1"/>
  <c r="D243" i="10"/>
  <c r="B242" i="10"/>
  <c r="C242" i="10" s="1"/>
  <c r="F242" i="10" s="1"/>
  <c r="E240" i="10"/>
  <c r="G243" i="10" l="1"/>
  <c r="D244" i="10"/>
  <c r="B243" i="10"/>
  <c r="C243" i="10" s="1"/>
  <c r="F243" i="10" s="1"/>
  <c r="E241" i="10"/>
  <c r="G244" i="10" l="1"/>
  <c r="D245" i="10"/>
  <c r="B244" i="10"/>
  <c r="C244" i="10" s="1"/>
  <c r="F244" i="10" s="1"/>
  <c r="E242" i="10"/>
  <c r="G245" i="10" l="1"/>
  <c r="B245" i="10"/>
  <c r="C245" i="10" s="1"/>
  <c r="F245" i="10" s="1"/>
  <c r="D246" i="10"/>
  <c r="E243" i="10"/>
  <c r="E244" i="10" l="1"/>
  <c r="G246" i="10"/>
  <c r="B246" i="10"/>
  <c r="C246" i="10" s="1"/>
  <c r="F246" i="10" s="1"/>
  <c r="D247" i="10"/>
  <c r="E245" i="10" l="1"/>
  <c r="G247" i="10"/>
  <c r="F247" i="10"/>
  <c r="D248" i="10"/>
  <c r="B247" i="10"/>
  <c r="C247" i="10" s="1"/>
  <c r="E246" i="10" l="1"/>
  <c r="D249" i="10"/>
  <c r="E247" i="10"/>
  <c r="G248" i="10"/>
  <c r="B248" i="10"/>
  <c r="C248" i="10" s="1"/>
  <c r="F248" i="10" s="1"/>
  <c r="G249" i="10" l="1"/>
  <c r="D250" i="10"/>
  <c r="B249" i="10"/>
  <c r="C249" i="10" s="1"/>
  <c r="F249" i="10" s="1"/>
  <c r="D251" i="10" l="1"/>
  <c r="G250" i="10"/>
  <c r="B250" i="10"/>
  <c r="C250" i="10" s="1"/>
  <c r="F250" i="10" s="1"/>
  <c r="E248" i="10"/>
  <c r="E249" i="10" l="1"/>
  <c r="G251" i="10"/>
  <c r="B251" i="10"/>
  <c r="C251" i="10" s="1"/>
  <c r="F251" i="10" s="1"/>
  <c r="D252" i="10"/>
  <c r="E250" i="10" l="1"/>
  <c r="G252" i="10"/>
  <c r="B252" i="10"/>
  <c r="C252" i="10" s="1"/>
  <c r="F252" i="10" s="1"/>
  <c r="D253" i="10"/>
  <c r="E251" i="10" l="1"/>
  <c r="G253" i="10"/>
  <c r="B253" i="10"/>
  <c r="C253" i="10" s="1"/>
  <c r="F253" i="10" s="1"/>
  <c r="D254" i="10"/>
  <c r="E252" i="10" l="1"/>
  <c r="G254" i="10"/>
  <c r="B254" i="10"/>
  <c r="C254" i="10" s="1"/>
  <c r="F254" i="10" s="1"/>
  <c r="D255" i="10"/>
  <c r="E253" i="10" l="1"/>
  <c r="G255" i="10"/>
  <c r="D256" i="10"/>
  <c r="B255" i="10"/>
  <c r="C255" i="10" s="1"/>
  <c r="F255" i="10" s="1"/>
  <c r="E254" i="10" l="1"/>
  <c r="D257" i="10"/>
  <c r="E255" i="10"/>
  <c r="G256" i="10"/>
  <c r="B256" i="10"/>
  <c r="C256" i="10" s="1"/>
  <c r="F256" i="10" s="1"/>
  <c r="G257" i="10" l="1"/>
  <c r="D258" i="10"/>
  <c r="B257" i="10"/>
  <c r="C257" i="10" s="1"/>
  <c r="F257" i="10" s="1"/>
  <c r="D259" i="10" l="1"/>
  <c r="G258" i="10"/>
  <c r="B258" i="10"/>
  <c r="C258" i="10" s="1"/>
  <c r="F258" i="10" s="1"/>
  <c r="E256" i="10"/>
  <c r="E257" i="10" l="1"/>
  <c r="G259" i="10"/>
  <c r="B259" i="10"/>
  <c r="C259" i="10" s="1"/>
  <c r="F259" i="10" s="1"/>
  <c r="D260" i="10"/>
  <c r="E258" i="10" l="1"/>
  <c r="G260" i="10"/>
  <c r="B260" i="10"/>
  <c r="C260" i="10" s="1"/>
  <c r="F260" i="10" s="1"/>
  <c r="D261" i="10"/>
  <c r="E259" i="10" l="1"/>
  <c r="G261" i="10"/>
  <c r="B261" i="10"/>
  <c r="C261" i="10" s="1"/>
  <c r="F261" i="10" s="1"/>
  <c r="D262" i="10"/>
  <c r="E260" i="10" l="1"/>
  <c r="G262" i="10"/>
  <c r="B262" i="10"/>
  <c r="C262" i="10" s="1"/>
  <c r="F262" i="10" s="1"/>
  <c r="D263" i="10"/>
  <c r="E261" i="10" l="1"/>
  <c r="G263" i="10"/>
  <c r="D264" i="10"/>
  <c r="B263" i="10"/>
  <c r="C263" i="10" s="1"/>
  <c r="F263" i="10" s="1"/>
  <c r="E262" i="10" l="1"/>
  <c r="D265" i="10"/>
  <c r="G264" i="10"/>
  <c r="B264" i="10"/>
  <c r="C264" i="10" s="1"/>
  <c r="F264" i="10" s="1"/>
  <c r="E263" i="10" l="1"/>
  <c r="G265" i="10"/>
  <c r="D266" i="10"/>
  <c r="B265" i="10"/>
  <c r="C265" i="10" s="1"/>
  <c r="F265" i="10" s="1"/>
  <c r="E264" i="10" l="1"/>
  <c r="D267" i="10"/>
  <c r="E265" i="10"/>
  <c r="G266" i="10"/>
  <c r="B266" i="10"/>
  <c r="C266" i="10" s="1"/>
  <c r="F266" i="10"/>
  <c r="G267" i="10" l="1"/>
  <c r="B267" i="10"/>
  <c r="C267" i="10" s="1"/>
  <c r="F267" i="10" s="1"/>
  <c r="D268" i="10"/>
  <c r="E266" i="10" l="1"/>
  <c r="G268" i="10"/>
  <c r="B268" i="10"/>
  <c r="C268" i="10" s="1"/>
  <c r="F268" i="10" s="1"/>
  <c r="D269" i="10"/>
  <c r="E267" i="10" l="1"/>
  <c r="G269" i="10"/>
  <c r="B269" i="10"/>
  <c r="C269" i="10" s="1"/>
  <c r="F269" i="10" s="1"/>
  <c r="D270" i="10"/>
  <c r="E268" i="10" l="1"/>
  <c r="G270" i="10"/>
  <c r="B270" i="10"/>
  <c r="C270" i="10" s="1"/>
  <c r="F270" i="10" s="1"/>
  <c r="D271" i="10"/>
  <c r="E269" i="10" l="1"/>
  <c r="G271" i="10"/>
  <c r="D272" i="10"/>
  <c r="B271" i="10"/>
  <c r="C271" i="10" s="1"/>
  <c r="F271" i="10" s="1"/>
  <c r="E270" i="10" l="1"/>
  <c r="D273" i="10"/>
  <c r="B272" i="10"/>
  <c r="C272" i="10" s="1"/>
  <c r="F272" i="10" s="1"/>
  <c r="G272" i="10"/>
  <c r="E271" i="10" l="1"/>
  <c r="G273" i="10"/>
  <c r="D274" i="10"/>
  <c r="B273" i="10"/>
  <c r="C273" i="10" s="1"/>
  <c r="F273" i="10" s="1"/>
  <c r="D275" i="10" l="1"/>
  <c r="B274" i="10"/>
  <c r="C274" i="10" s="1"/>
  <c r="F274" i="10" s="1"/>
  <c r="G274" i="10"/>
  <c r="E272" i="10"/>
  <c r="G275" i="10" l="1"/>
  <c r="D276" i="10"/>
  <c r="B275" i="10"/>
  <c r="C275" i="10" s="1"/>
  <c r="F275" i="10" s="1"/>
  <c r="E273" i="10"/>
  <c r="D277" i="10" l="1"/>
  <c r="B276" i="10"/>
  <c r="C276" i="10" s="1"/>
  <c r="F276" i="10" s="1"/>
  <c r="G276" i="10"/>
  <c r="E274" i="10"/>
  <c r="E275" i="10" l="1"/>
  <c r="G277" i="10"/>
  <c r="D278" i="10"/>
  <c r="B277" i="10"/>
  <c r="C277" i="10" s="1"/>
  <c r="F277" i="10" s="1"/>
  <c r="D279" i="10" l="1"/>
  <c r="B278" i="10"/>
  <c r="C278" i="10" s="1"/>
  <c r="F278" i="10" s="1"/>
  <c r="G278" i="10"/>
  <c r="E276" i="10"/>
  <c r="G279" i="10" l="1"/>
  <c r="D280" i="10"/>
  <c r="B279" i="10"/>
  <c r="C279" i="10" s="1"/>
  <c r="F279" i="10" s="1"/>
  <c r="E277" i="10"/>
  <c r="D281" i="10" l="1"/>
  <c r="B280" i="10"/>
  <c r="C280" i="10" s="1"/>
  <c r="F280" i="10" s="1"/>
  <c r="G280" i="10"/>
  <c r="E279" i="10"/>
  <c r="E278" i="10"/>
  <c r="G281" i="10" l="1"/>
  <c r="D282" i="10"/>
  <c r="B281" i="10"/>
  <c r="C281" i="10" s="1"/>
  <c r="F281" i="10" s="1"/>
  <c r="D283" i="10" l="1"/>
  <c r="B282" i="10"/>
  <c r="C282" i="10" s="1"/>
  <c r="F282" i="10" s="1"/>
  <c r="G282" i="10"/>
  <c r="E280" i="10"/>
  <c r="G283" i="10" l="1"/>
  <c r="D284" i="10"/>
  <c r="B283" i="10"/>
  <c r="C283" i="10" s="1"/>
  <c r="F283" i="10" s="1"/>
  <c r="E281" i="10"/>
  <c r="D285" i="10" l="1"/>
  <c r="B284" i="10"/>
  <c r="C284" i="10" s="1"/>
  <c r="F284" i="10" s="1"/>
  <c r="G284" i="10"/>
  <c r="E282" i="10"/>
  <c r="E283" i="10" l="1"/>
  <c r="G285" i="10"/>
  <c r="D286" i="10"/>
  <c r="B285" i="10"/>
  <c r="C285" i="10" s="1"/>
  <c r="F285" i="10" s="1"/>
  <c r="D287" i="10" l="1"/>
  <c r="B286" i="10"/>
  <c r="C286" i="10" s="1"/>
  <c r="F286" i="10" s="1"/>
  <c r="G286" i="10"/>
  <c r="E284" i="10"/>
  <c r="G287" i="10" l="1"/>
  <c r="D288" i="10"/>
  <c r="B287" i="10"/>
  <c r="C287" i="10" s="1"/>
  <c r="F287" i="10" s="1"/>
  <c r="E285" i="10"/>
  <c r="D289" i="10" l="1"/>
  <c r="B288" i="10"/>
  <c r="C288" i="10" s="1"/>
  <c r="F288" i="10" s="1"/>
  <c r="G288" i="10"/>
  <c r="E287" i="10"/>
  <c r="E286" i="10"/>
  <c r="G289" i="10" l="1"/>
  <c r="D290" i="10"/>
  <c r="B289" i="10"/>
  <c r="C289" i="10" s="1"/>
  <c r="F289" i="10" s="1"/>
  <c r="D291" i="10" l="1"/>
  <c r="B290" i="10"/>
  <c r="C290" i="10" s="1"/>
  <c r="F290" i="10" s="1"/>
  <c r="G290" i="10"/>
  <c r="E288" i="10"/>
  <c r="G291" i="10" l="1"/>
  <c r="D292" i="10"/>
  <c r="B291" i="10"/>
  <c r="C291" i="10" s="1"/>
  <c r="F291" i="10" s="1"/>
  <c r="E289" i="10"/>
  <c r="D293" i="10" l="1"/>
  <c r="B292" i="10"/>
  <c r="C292" i="10" s="1"/>
  <c r="F292" i="10" s="1"/>
  <c r="G292" i="10"/>
  <c r="E291" i="10"/>
  <c r="E290" i="10"/>
  <c r="G293" i="10" l="1"/>
  <c r="D294" i="10"/>
  <c r="B293" i="10"/>
  <c r="C293" i="10" s="1"/>
  <c r="F293" i="10" s="1"/>
  <c r="E292" i="10" l="1"/>
  <c r="D295" i="10"/>
  <c r="B294" i="10"/>
  <c r="C294" i="10" s="1"/>
  <c r="F294" i="10" s="1"/>
  <c r="G294" i="10"/>
  <c r="G295" i="10" l="1"/>
  <c r="D296" i="10"/>
  <c r="B295" i="10"/>
  <c r="C295" i="10" s="1"/>
  <c r="F295" i="10" s="1"/>
  <c r="E293" i="10"/>
  <c r="D297" i="10" l="1"/>
  <c r="B296" i="10"/>
  <c r="C296" i="10" s="1"/>
  <c r="F296" i="10" s="1"/>
  <c r="G296" i="10"/>
  <c r="E295" i="10"/>
  <c r="E294" i="10"/>
  <c r="G297" i="10" l="1"/>
  <c r="D298" i="10"/>
  <c r="B297" i="10"/>
  <c r="C297" i="10" s="1"/>
  <c r="F297" i="10" s="1"/>
  <c r="D299" i="10" l="1"/>
  <c r="B298" i="10"/>
  <c r="C298" i="10" s="1"/>
  <c r="F298" i="10" s="1"/>
  <c r="G298" i="10"/>
  <c r="E296" i="10"/>
  <c r="G299" i="10" l="1"/>
  <c r="D300" i="10"/>
  <c r="B299" i="10"/>
  <c r="C299" i="10" s="1"/>
  <c r="F299" i="10" s="1"/>
  <c r="E297" i="10"/>
  <c r="D301" i="10" l="1"/>
  <c r="B300" i="10"/>
  <c r="C300" i="10" s="1"/>
  <c r="F300" i="10" s="1"/>
  <c r="G300" i="10"/>
  <c r="E298" i="10"/>
  <c r="E299" i="10" l="1"/>
  <c r="G301" i="10"/>
  <c r="D302" i="10"/>
  <c r="B301" i="10"/>
  <c r="C301" i="10" s="1"/>
  <c r="F301" i="10" s="1"/>
  <c r="E300" i="10" l="1"/>
  <c r="D303" i="10"/>
  <c r="B302" i="10"/>
  <c r="C302" i="10" s="1"/>
  <c r="F302" i="10" s="1"/>
  <c r="G302" i="10"/>
  <c r="G303" i="10" l="1"/>
  <c r="D304" i="10"/>
  <c r="B303" i="10"/>
  <c r="C303" i="10" s="1"/>
  <c r="F303" i="10" s="1"/>
  <c r="E301" i="10"/>
  <c r="D305" i="10" l="1"/>
  <c r="B304" i="10"/>
  <c r="C304" i="10" s="1"/>
  <c r="F304" i="10" s="1"/>
  <c r="G304" i="10"/>
  <c r="E302" i="10"/>
  <c r="E303" i="10" l="1"/>
  <c r="G305" i="10"/>
  <c r="D306" i="10"/>
  <c r="F305" i="10"/>
  <c r="B305" i="10"/>
  <c r="C305" i="10" s="1"/>
  <c r="D307" i="10" l="1"/>
  <c r="B306" i="10"/>
  <c r="C306" i="10" s="1"/>
  <c r="F306" i="10" s="1"/>
  <c r="G306" i="10"/>
  <c r="E304" i="10"/>
  <c r="G307" i="10" l="1"/>
  <c r="D308" i="10"/>
  <c r="B307" i="10"/>
  <c r="C307" i="10" s="1"/>
  <c r="F307" i="10" s="1"/>
  <c r="E305" i="10"/>
  <c r="D309" i="10" l="1"/>
  <c r="B308" i="10"/>
  <c r="C308" i="10" s="1"/>
  <c r="F308" i="10" s="1"/>
  <c r="G308" i="10"/>
  <c r="E307" i="10"/>
  <c r="E306" i="10"/>
  <c r="G309" i="10" l="1"/>
  <c r="D310" i="10"/>
  <c r="B309" i="10"/>
  <c r="C309" i="10" s="1"/>
  <c r="F309" i="10" s="1"/>
  <c r="D311" i="10" l="1"/>
  <c r="B310" i="10"/>
  <c r="C310" i="10" s="1"/>
  <c r="F310" i="10" s="1"/>
  <c r="G310" i="10"/>
  <c r="E308" i="10"/>
  <c r="G311" i="10" l="1"/>
  <c r="D312" i="10"/>
  <c r="B311" i="10"/>
  <c r="C311" i="10" s="1"/>
  <c r="F311" i="10" s="1"/>
  <c r="E309" i="10"/>
  <c r="D313" i="10" l="1"/>
  <c r="B312" i="10"/>
  <c r="C312" i="10" s="1"/>
  <c r="F312" i="10" s="1"/>
  <c r="G312" i="10"/>
  <c r="E311" i="10"/>
  <c r="E310" i="10"/>
  <c r="G313" i="10" l="1"/>
  <c r="D314" i="10"/>
  <c r="B313" i="10"/>
  <c r="C313" i="10" s="1"/>
  <c r="F313" i="10" s="1"/>
  <c r="D315" i="10" l="1"/>
  <c r="B314" i="10"/>
  <c r="C314" i="10" s="1"/>
  <c r="F314" i="10" s="1"/>
  <c r="G314" i="10"/>
  <c r="E312" i="10"/>
  <c r="G315" i="10" l="1"/>
  <c r="D316" i="10"/>
  <c r="B315" i="10"/>
  <c r="C315" i="10" s="1"/>
  <c r="F315" i="10" s="1"/>
  <c r="E313" i="10"/>
  <c r="D317" i="10" l="1"/>
  <c r="B316" i="10"/>
  <c r="C316" i="10" s="1"/>
  <c r="F316" i="10" s="1"/>
  <c r="G316" i="10"/>
  <c r="E314" i="10"/>
  <c r="E315" i="10" l="1"/>
  <c r="G317" i="10"/>
  <c r="D318" i="10"/>
  <c r="B317" i="10"/>
  <c r="C317" i="10" s="1"/>
  <c r="F317" i="10" s="1"/>
  <c r="E316" i="10" l="1"/>
  <c r="D319" i="10"/>
  <c r="B318" i="10"/>
  <c r="C318" i="10" s="1"/>
  <c r="F318" i="10" s="1"/>
  <c r="G318" i="10"/>
  <c r="G319" i="10" l="1"/>
  <c r="D320" i="10"/>
  <c r="B319" i="10"/>
  <c r="C319" i="10" s="1"/>
  <c r="F319" i="10" s="1"/>
  <c r="E317" i="10"/>
  <c r="D321" i="10" l="1"/>
  <c r="B320" i="10"/>
  <c r="C320" i="10" s="1"/>
  <c r="F320" i="10" s="1"/>
  <c r="G320" i="10"/>
  <c r="E319" i="10"/>
  <c r="E318" i="10"/>
  <c r="G321" i="10" l="1"/>
  <c r="D322" i="10"/>
  <c r="B321" i="10"/>
  <c r="C321" i="10" s="1"/>
  <c r="F321" i="10" s="1"/>
  <c r="E320" i="10" l="1"/>
  <c r="D323" i="10"/>
  <c r="B322" i="10"/>
  <c r="C322" i="10" s="1"/>
  <c r="F322" i="10" s="1"/>
  <c r="G322" i="10"/>
  <c r="G323" i="10" l="1"/>
  <c r="D324" i="10"/>
  <c r="B323" i="10"/>
  <c r="C323" i="10" s="1"/>
  <c r="F323" i="10" s="1"/>
  <c r="E321" i="10"/>
  <c r="D325" i="10" l="1"/>
  <c r="B324" i="10"/>
  <c r="C324" i="10" s="1"/>
  <c r="F324" i="10" s="1"/>
  <c r="G324" i="10"/>
  <c r="E322" i="10"/>
  <c r="E323" i="10" l="1"/>
  <c r="G325" i="10"/>
  <c r="D326" i="10"/>
  <c r="B325" i="10"/>
  <c r="C325" i="10" s="1"/>
  <c r="F325" i="10" s="1"/>
  <c r="E324" i="10" l="1"/>
  <c r="G326" i="10"/>
  <c r="D327" i="10"/>
  <c r="B326" i="10"/>
  <c r="C326" i="10" s="1"/>
  <c r="F326" i="10" s="1"/>
  <c r="E325" i="10" l="1"/>
  <c r="G327" i="10"/>
  <c r="E326" i="10"/>
  <c r="D328" i="10"/>
  <c r="B327" i="10"/>
  <c r="C327" i="10" s="1"/>
  <c r="F327" i="10" s="1"/>
  <c r="G328" i="10" l="1"/>
  <c r="B328" i="10"/>
  <c r="C328" i="10" s="1"/>
  <c r="F328" i="10" s="1"/>
  <c r="D329" i="10"/>
  <c r="G329" i="10" l="1"/>
  <c r="D330" i="10"/>
  <c r="B329" i="10"/>
  <c r="C329" i="10" s="1"/>
  <c r="F329" i="10" s="1"/>
  <c r="E327" i="10"/>
  <c r="G330" i="10" l="1"/>
  <c r="B330" i="10"/>
  <c r="C330" i="10" s="1"/>
  <c r="F330" i="10" s="1"/>
  <c r="D331" i="10"/>
  <c r="E328" i="10"/>
  <c r="E329" i="10" l="1"/>
  <c r="G331" i="10"/>
  <c r="D332" i="10"/>
  <c r="B331" i="10"/>
  <c r="C331" i="10" s="1"/>
  <c r="F331" i="10" s="1"/>
  <c r="E330" i="10" l="1"/>
  <c r="G332" i="10"/>
  <c r="D333" i="10"/>
  <c r="B332" i="10"/>
  <c r="C332" i="10" s="1"/>
  <c r="F332" i="10" s="1"/>
  <c r="E331" i="10" l="1"/>
  <c r="G333" i="10"/>
  <c r="E332" i="10"/>
  <c r="D334" i="10"/>
  <c r="B333" i="10"/>
  <c r="C333" i="10" s="1"/>
  <c r="F333" i="10" s="1"/>
  <c r="G334" i="10" l="1"/>
  <c r="D335" i="10"/>
  <c r="B334" i="10"/>
  <c r="C334" i="10" s="1"/>
  <c r="F334" i="10" s="1"/>
  <c r="G335" i="10" l="1"/>
  <c r="D336" i="10"/>
  <c r="B335" i="10"/>
  <c r="C335" i="10" s="1"/>
  <c r="F335" i="10" s="1"/>
  <c r="E333" i="10"/>
  <c r="G336" i="10" l="1"/>
  <c r="B336" i="10"/>
  <c r="C336" i="10" s="1"/>
  <c r="F336" i="10" s="1"/>
  <c r="D337" i="10"/>
  <c r="E334" i="10"/>
  <c r="G337" i="10" l="1"/>
  <c r="D338" i="10"/>
  <c r="B337" i="10"/>
  <c r="C337" i="10" s="1"/>
  <c r="F337" i="10" s="1"/>
  <c r="E335" i="10"/>
  <c r="G338" i="10" l="1"/>
  <c r="B338" i="10"/>
  <c r="C338" i="10" s="1"/>
  <c r="F338" i="10" s="1"/>
  <c r="D339" i="10"/>
  <c r="E336" i="10"/>
  <c r="E337" i="10" l="1"/>
  <c r="G339" i="10"/>
  <c r="D340" i="10"/>
  <c r="B339" i="10"/>
  <c r="C339" i="10" s="1"/>
  <c r="F339" i="10" s="1"/>
  <c r="E338" i="10" l="1"/>
  <c r="G340" i="10"/>
  <c r="E339" i="10"/>
  <c r="D341" i="10"/>
  <c r="B340" i="10"/>
  <c r="C340" i="10" s="1"/>
  <c r="F340" i="10" s="1"/>
  <c r="G341" i="10" l="1"/>
  <c r="D342" i="10"/>
  <c r="B341" i="10"/>
  <c r="C341" i="10" s="1"/>
  <c r="F341" i="10" s="1"/>
  <c r="G342" i="10" l="1"/>
  <c r="D343" i="10"/>
  <c r="B342" i="10"/>
  <c r="C342" i="10" s="1"/>
  <c r="F342" i="10" s="1"/>
  <c r="E340" i="10"/>
  <c r="G343" i="10" l="1"/>
  <c r="D344" i="10"/>
  <c r="B343" i="10"/>
  <c r="C343" i="10" s="1"/>
  <c r="F343" i="10" s="1"/>
  <c r="E341" i="10"/>
  <c r="G344" i="10" l="1"/>
  <c r="B344" i="10"/>
  <c r="C344" i="10" s="1"/>
  <c r="F344" i="10" s="1"/>
  <c r="D345" i="10"/>
  <c r="E342" i="10"/>
  <c r="E343" i="10" l="1"/>
  <c r="G345" i="10"/>
  <c r="E344" i="10"/>
  <c r="D346" i="10"/>
  <c r="B345" i="10"/>
  <c r="C345" i="10" s="1"/>
  <c r="F345" i="10" s="1"/>
  <c r="G346" i="10" l="1"/>
  <c r="B346" i="10"/>
  <c r="C346" i="10" s="1"/>
  <c r="F346" i="10" s="1"/>
  <c r="D347" i="10"/>
  <c r="E345" i="10" l="1"/>
  <c r="G347" i="10"/>
  <c r="E346" i="10"/>
  <c r="D348" i="10"/>
  <c r="B347" i="10"/>
  <c r="C347" i="10" s="1"/>
  <c r="F347" i="10" s="1"/>
  <c r="G348" i="10" l="1"/>
  <c r="D349" i="10"/>
  <c r="B348" i="10"/>
  <c r="C348" i="10" s="1"/>
  <c r="F348" i="10" s="1"/>
  <c r="G349" i="10" l="1"/>
  <c r="D350" i="10"/>
  <c r="B349" i="10"/>
  <c r="C349" i="10" s="1"/>
  <c r="F349" i="10" s="1"/>
  <c r="E347" i="10"/>
  <c r="G350" i="10" l="1"/>
  <c r="D351" i="10"/>
  <c r="B350" i="10"/>
  <c r="C350" i="10" s="1"/>
  <c r="F350" i="10" s="1"/>
  <c r="E348" i="10"/>
  <c r="G351" i="10" l="1"/>
  <c r="D352" i="10"/>
  <c r="B351" i="10"/>
  <c r="C351" i="10" s="1"/>
  <c r="F351" i="10" s="1"/>
  <c r="E349" i="10"/>
  <c r="G352" i="10" l="1"/>
  <c r="D353" i="10"/>
  <c r="B352" i="10"/>
  <c r="C352" i="10" s="1"/>
  <c r="F352" i="10" s="1"/>
  <c r="E350" i="10"/>
  <c r="G353" i="10" l="1"/>
  <c r="D354" i="10"/>
  <c r="B353" i="10"/>
  <c r="C353" i="10" s="1"/>
  <c r="F353" i="10" s="1"/>
  <c r="E351" i="10"/>
  <c r="G354" i="10" l="1"/>
  <c r="D355" i="10"/>
  <c r="B354" i="10"/>
  <c r="C354" i="10" s="1"/>
  <c r="F354" i="10" s="1"/>
  <c r="E352" i="10"/>
  <c r="G355" i="10" l="1"/>
  <c r="D356" i="10"/>
  <c r="B355" i="10"/>
  <c r="C355" i="10" s="1"/>
  <c r="F355" i="10" s="1"/>
  <c r="E353" i="10"/>
  <c r="G356" i="10" l="1"/>
  <c r="D357" i="10"/>
  <c r="B356" i="10"/>
  <c r="C356" i="10" s="1"/>
  <c r="F356" i="10" s="1"/>
  <c r="E354" i="10"/>
  <c r="G357" i="10" l="1"/>
  <c r="D358" i="10"/>
  <c r="B357" i="10"/>
  <c r="C357" i="10" s="1"/>
  <c r="F357" i="10" s="1"/>
  <c r="E355" i="10"/>
  <c r="G358" i="10" l="1"/>
  <c r="D359" i="10"/>
  <c r="B358" i="10"/>
  <c r="C358" i="10" s="1"/>
  <c r="F358" i="10" s="1"/>
  <c r="E356" i="10"/>
  <c r="G359" i="10" l="1"/>
  <c r="D360" i="10"/>
  <c r="B359" i="10"/>
  <c r="C359" i="10" s="1"/>
  <c r="F359" i="10" s="1"/>
  <c r="E357" i="10"/>
  <c r="G360" i="10" l="1"/>
  <c r="D361" i="10"/>
  <c r="B360" i="10"/>
  <c r="C360" i="10" s="1"/>
  <c r="F360" i="10" s="1"/>
  <c r="E358" i="10"/>
  <c r="G361" i="10" l="1"/>
  <c r="D362" i="10"/>
  <c r="B361" i="10"/>
  <c r="C361" i="10" s="1"/>
  <c r="F361" i="10" s="1"/>
  <c r="E359" i="10"/>
  <c r="E360" i="10" l="1"/>
  <c r="G362" i="10"/>
  <c r="D363" i="10"/>
  <c r="B362" i="10"/>
  <c r="C362" i="10" s="1"/>
  <c r="F362" i="10" s="1"/>
  <c r="E361" i="10" l="1"/>
  <c r="G363" i="10"/>
  <c r="E362" i="10"/>
  <c r="D364" i="10"/>
  <c r="B363" i="10"/>
  <c r="C363" i="10" s="1"/>
  <c r="F363" i="10" s="1"/>
  <c r="G364" i="10" l="1"/>
  <c r="D365" i="10"/>
  <c r="B364" i="10"/>
  <c r="C364" i="10" s="1"/>
  <c r="F364" i="10" s="1"/>
  <c r="G365" i="10" l="1"/>
  <c r="D366" i="10"/>
  <c r="B365" i="10"/>
  <c r="C365" i="10" s="1"/>
  <c r="F365" i="10" s="1"/>
  <c r="E363" i="10"/>
  <c r="G366" i="10" l="1"/>
  <c r="D367" i="10"/>
  <c r="B366" i="10"/>
  <c r="C366" i="10" s="1"/>
  <c r="F366" i="10" s="1"/>
  <c r="E364" i="10"/>
  <c r="G367" i="10" l="1"/>
  <c r="D368" i="10"/>
  <c r="B367" i="10"/>
  <c r="C367" i="10" s="1"/>
  <c r="F367" i="10" s="1"/>
  <c r="E365" i="10"/>
  <c r="G368" i="10" l="1"/>
  <c r="D369" i="10"/>
  <c r="B368" i="10"/>
  <c r="C368" i="10" s="1"/>
  <c r="F368" i="10" s="1"/>
  <c r="E366" i="10"/>
  <c r="G369" i="10" l="1"/>
  <c r="D370" i="10"/>
  <c r="B369" i="10"/>
  <c r="C369" i="10" s="1"/>
  <c r="F369" i="10" s="1"/>
  <c r="E367" i="10"/>
  <c r="G370" i="10" l="1"/>
  <c r="D371" i="10"/>
  <c r="B370" i="10"/>
  <c r="C370" i="10" s="1"/>
  <c r="F370" i="10" s="1"/>
  <c r="E368" i="10"/>
  <c r="G371" i="10" l="1"/>
  <c r="D372" i="10"/>
  <c r="B371" i="10"/>
  <c r="C371" i="10" s="1"/>
  <c r="F371" i="10" s="1"/>
  <c r="E369" i="10"/>
  <c r="G372" i="10" l="1"/>
  <c r="D373" i="10"/>
  <c r="B372" i="10"/>
  <c r="C372" i="10" s="1"/>
  <c r="F372" i="10" s="1"/>
  <c r="E370" i="10"/>
  <c r="G373" i="10" l="1"/>
  <c r="D374" i="10"/>
  <c r="B373" i="10"/>
  <c r="C373" i="10" s="1"/>
  <c r="F373" i="10" s="1"/>
  <c r="E371" i="10"/>
  <c r="G374" i="10" l="1"/>
  <c r="D375" i="10"/>
  <c r="B374" i="10"/>
  <c r="C374" i="10" s="1"/>
  <c r="F374" i="10" s="1"/>
  <c r="E372" i="10"/>
  <c r="G375" i="10" l="1"/>
  <c r="D376" i="10"/>
  <c r="B375" i="10"/>
  <c r="C375" i="10" s="1"/>
  <c r="F375" i="10" s="1"/>
  <c r="E373" i="10"/>
  <c r="G376" i="10" l="1"/>
  <c r="D377" i="10"/>
  <c r="B376" i="10"/>
  <c r="C376" i="10" s="1"/>
  <c r="F376" i="10" s="1"/>
  <c r="E374" i="10"/>
  <c r="G377" i="10" l="1"/>
  <c r="D378" i="10"/>
  <c r="B377" i="10"/>
  <c r="C377" i="10" s="1"/>
  <c r="F377" i="10" s="1"/>
  <c r="E375" i="10"/>
  <c r="G378" i="10" l="1"/>
  <c r="D379" i="10"/>
  <c r="B378" i="10"/>
  <c r="C378" i="10" s="1"/>
  <c r="F378" i="10" s="1"/>
  <c r="E376" i="10"/>
  <c r="G379" i="10" l="1"/>
  <c r="D380" i="10"/>
  <c r="B379" i="10"/>
  <c r="C379" i="10" s="1"/>
  <c r="F379" i="10" s="1"/>
  <c r="E377" i="10"/>
  <c r="G380" i="10" l="1"/>
  <c r="D381" i="10"/>
  <c r="B380" i="10"/>
  <c r="C380" i="10" s="1"/>
  <c r="F380" i="10" s="1"/>
  <c r="E378" i="10"/>
  <c r="G381" i="10" l="1"/>
  <c r="D382" i="10"/>
  <c r="B381" i="10"/>
  <c r="C381" i="10" s="1"/>
  <c r="F381" i="10" s="1"/>
  <c r="E379" i="10"/>
  <c r="G382" i="10" l="1"/>
  <c r="D383" i="10"/>
  <c r="B382" i="10"/>
  <c r="C382" i="10" s="1"/>
  <c r="F382" i="10" s="1"/>
  <c r="E380" i="10"/>
  <c r="G383" i="10" l="1"/>
  <c r="D384" i="10"/>
  <c r="B383" i="10"/>
  <c r="C383" i="10" s="1"/>
  <c r="F383" i="10" s="1"/>
  <c r="E381" i="10"/>
  <c r="G384" i="10" l="1"/>
  <c r="D385" i="10"/>
  <c r="B384" i="10"/>
  <c r="C384" i="10" s="1"/>
  <c r="F384" i="10" s="1"/>
  <c r="E382" i="10"/>
  <c r="G385" i="10" l="1"/>
  <c r="D386" i="10"/>
  <c r="B385" i="10"/>
  <c r="C385" i="10" s="1"/>
  <c r="F385" i="10" s="1"/>
  <c r="E383" i="10"/>
  <c r="G386" i="10" l="1"/>
  <c r="D387" i="10"/>
  <c r="B386" i="10"/>
  <c r="C386" i="10" s="1"/>
  <c r="F386" i="10" s="1"/>
  <c r="E384" i="10"/>
  <c r="G387" i="10" l="1"/>
  <c r="D388" i="10"/>
  <c r="B387" i="10"/>
  <c r="C387" i="10" s="1"/>
  <c r="F387" i="10" s="1"/>
  <c r="E385" i="10"/>
  <c r="G388" i="10" l="1"/>
  <c r="D389" i="10"/>
  <c r="B388" i="10"/>
  <c r="C388" i="10" s="1"/>
  <c r="F388" i="10" s="1"/>
  <c r="E386" i="10"/>
  <c r="G389" i="10" l="1"/>
  <c r="D390" i="10"/>
  <c r="B389" i="10"/>
  <c r="C389" i="10" s="1"/>
  <c r="F389" i="10" s="1"/>
  <c r="E387" i="10"/>
  <c r="G390" i="10" l="1"/>
  <c r="D391" i="10"/>
  <c r="B390" i="10"/>
  <c r="C390" i="10" s="1"/>
  <c r="F390" i="10" s="1"/>
  <c r="E388" i="10"/>
  <c r="G391" i="10" l="1"/>
  <c r="D392" i="10"/>
  <c r="B391" i="10"/>
  <c r="C391" i="10" s="1"/>
  <c r="F391" i="10" s="1"/>
  <c r="E389" i="10"/>
  <c r="G392" i="10" l="1"/>
  <c r="D393" i="10"/>
  <c r="B392" i="10"/>
  <c r="C392" i="10" s="1"/>
  <c r="F392" i="10" s="1"/>
  <c r="E390" i="10"/>
  <c r="G393" i="10" l="1"/>
  <c r="D394" i="10"/>
  <c r="B393" i="10"/>
  <c r="C393" i="10" s="1"/>
  <c r="F393" i="10" s="1"/>
  <c r="E391" i="10"/>
  <c r="G394" i="10" l="1"/>
  <c r="D395" i="10"/>
  <c r="B394" i="10"/>
  <c r="C394" i="10" s="1"/>
  <c r="F394" i="10" s="1"/>
  <c r="E392" i="10"/>
  <c r="G395" i="10" l="1"/>
  <c r="D396" i="10"/>
  <c r="B395" i="10"/>
  <c r="C395" i="10" s="1"/>
  <c r="F395" i="10" s="1"/>
  <c r="E393" i="10"/>
  <c r="G396" i="10" l="1"/>
  <c r="D397" i="10"/>
  <c r="B396" i="10"/>
  <c r="C396" i="10" s="1"/>
  <c r="F396" i="10" s="1"/>
  <c r="E394" i="10"/>
  <c r="G397" i="10" l="1"/>
  <c r="D398" i="10"/>
  <c r="B397" i="10"/>
  <c r="C397" i="10" s="1"/>
  <c r="F397" i="10" s="1"/>
  <c r="E395" i="10"/>
  <c r="G398" i="10" l="1"/>
  <c r="D399" i="10"/>
  <c r="B398" i="10"/>
  <c r="C398" i="10" s="1"/>
  <c r="F398" i="10" s="1"/>
  <c r="E396" i="10"/>
  <c r="G399" i="10" l="1"/>
  <c r="D400" i="10"/>
  <c r="B399" i="10"/>
  <c r="C399" i="10" s="1"/>
  <c r="F399" i="10" s="1"/>
  <c r="E397" i="10"/>
  <c r="G400" i="10" l="1"/>
  <c r="D401" i="10"/>
  <c r="B400" i="10"/>
  <c r="C400" i="10" s="1"/>
  <c r="F400" i="10" s="1"/>
  <c r="E398" i="10"/>
  <c r="G401" i="10" l="1"/>
  <c r="D402" i="10"/>
  <c r="B401" i="10"/>
  <c r="C401" i="10" s="1"/>
  <c r="F401" i="10" s="1"/>
  <c r="E399" i="10"/>
  <c r="G402" i="10" l="1"/>
  <c r="D403" i="10"/>
  <c r="B402" i="10"/>
  <c r="C402" i="10" s="1"/>
  <c r="F402" i="10" s="1"/>
  <c r="E400" i="10"/>
  <c r="G403" i="10" l="1"/>
  <c r="D404" i="10"/>
  <c r="B403" i="10"/>
  <c r="C403" i="10" s="1"/>
  <c r="F403" i="10" s="1"/>
  <c r="E401" i="10"/>
  <c r="G404" i="10" l="1"/>
  <c r="D405" i="10"/>
  <c r="B404" i="10"/>
  <c r="C404" i="10" s="1"/>
  <c r="F404" i="10" s="1"/>
  <c r="E402" i="10"/>
  <c r="G405" i="10" l="1"/>
  <c r="D406" i="10"/>
  <c r="B405" i="10"/>
  <c r="C405" i="10" s="1"/>
  <c r="F405" i="10" s="1"/>
  <c r="E403" i="10"/>
  <c r="G406" i="10" l="1"/>
  <c r="D407" i="10"/>
  <c r="B406" i="10"/>
  <c r="C406" i="10" s="1"/>
  <c r="F406" i="10" s="1"/>
  <c r="E404" i="10"/>
  <c r="G407" i="10" l="1"/>
  <c r="D408" i="10"/>
  <c r="B407" i="10"/>
  <c r="C407" i="10" s="1"/>
  <c r="F407" i="10" s="1"/>
  <c r="E405" i="10"/>
  <c r="G408" i="10" l="1"/>
  <c r="D409" i="10"/>
  <c r="B408" i="10"/>
  <c r="C408" i="10" s="1"/>
  <c r="F408" i="10" s="1"/>
  <c r="E406" i="10"/>
  <c r="G409" i="10" l="1"/>
  <c r="D410" i="10"/>
  <c r="B409" i="10"/>
  <c r="C409" i="10" s="1"/>
  <c r="F409" i="10" s="1"/>
  <c r="E407" i="10"/>
  <c r="G410" i="10" l="1"/>
  <c r="D411" i="10"/>
  <c r="B410" i="10"/>
  <c r="C410" i="10" s="1"/>
  <c r="F410" i="10" s="1"/>
  <c r="E408" i="10"/>
  <c r="G411" i="10" l="1"/>
  <c r="D412" i="10"/>
  <c r="B411" i="10"/>
  <c r="C411" i="10" s="1"/>
  <c r="F411" i="10" s="1"/>
  <c r="E409" i="10"/>
  <c r="G412" i="10" l="1"/>
  <c r="D413" i="10"/>
  <c r="B412" i="10"/>
  <c r="C412" i="10" s="1"/>
  <c r="F412" i="10" s="1"/>
  <c r="E410" i="10"/>
  <c r="G413" i="10" l="1"/>
  <c r="D414" i="10"/>
  <c r="B413" i="10"/>
  <c r="C413" i="10" s="1"/>
  <c r="F413" i="10" s="1"/>
  <c r="E411" i="10"/>
  <c r="G414" i="10" l="1"/>
  <c r="D415" i="10"/>
  <c r="B414" i="10"/>
  <c r="C414" i="10" s="1"/>
  <c r="F414" i="10" s="1"/>
  <c r="E412" i="10"/>
  <c r="G415" i="10" l="1"/>
  <c r="D416" i="10"/>
  <c r="B415" i="10"/>
  <c r="C415" i="10" s="1"/>
  <c r="F415" i="10" s="1"/>
  <c r="E413" i="10"/>
  <c r="G416" i="10" l="1"/>
  <c r="D417" i="10"/>
  <c r="B416" i="10"/>
  <c r="C416" i="10" s="1"/>
  <c r="F416" i="10" s="1"/>
  <c r="E414" i="10"/>
  <c r="G417" i="10" l="1"/>
  <c r="D418" i="10"/>
  <c r="B417" i="10"/>
  <c r="C417" i="10" s="1"/>
  <c r="F417" i="10" s="1"/>
  <c r="E415" i="10"/>
  <c r="G418" i="10" l="1"/>
  <c r="D419" i="10"/>
  <c r="B418" i="10"/>
  <c r="C418" i="10" s="1"/>
  <c r="F418" i="10" s="1"/>
  <c r="E416" i="10"/>
  <c r="G419" i="10" l="1"/>
  <c r="D420" i="10"/>
  <c r="B419" i="10"/>
  <c r="C419" i="10" s="1"/>
  <c r="F419" i="10" s="1"/>
  <c r="E417" i="10"/>
  <c r="G420" i="10" l="1"/>
  <c r="D421" i="10"/>
  <c r="B420" i="10"/>
  <c r="C420" i="10" s="1"/>
  <c r="F420" i="10" s="1"/>
  <c r="E418" i="10"/>
  <c r="G421" i="10" l="1"/>
  <c r="D422" i="10"/>
  <c r="B421" i="10"/>
  <c r="C421" i="10" s="1"/>
  <c r="F421" i="10" s="1"/>
  <c r="E419" i="10"/>
  <c r="G422" i="10" l="1"/>
  <c r="D423" i="10"/>
  <c r="B422" i="10"/>
  <c r="C422" i="10" s="1"/>
  <c r="F422" i="10" s="1"/>
  <c r="E420" i="10"/>
  <c r="G423" i="10" l="1"/>
  <c r="D424" i="10"/>
  <c r="B423" i="10"/>
  <c r="C423" i="10" s="1"/>
  <c r="F423" i="10" s="1"/>
  <c r="E421" i="10"/>
  <c r="G424" i="10" l="1"/>
  <c r="D425" i="10"/>
  <c r="B424" i="10"/>
  <c r="C424" i="10" s="1"/>
  <c r="F424" i="10" s="1"/>
  <c r="E422" i="10"/>
  <c r="G425" i="10" l="1"/>
  <c r="D426" i="10"/>
  <c r="B425" i="10"/>
  <c r="C425" i="10" s="1"/>
  <c r="F425" i="10" s="1"/>
  <c r="E423" i="10"/>
  <c r="G426" i="10" l="1"/>
  <c r="D427" i="10"/>
  <c r="B426" i="10"/>
  <c r="C426" i="10" s="1"/>
  <c r="F426" i="10" s="1"/>
  <c r="E424" i="10"/>
  <c r="G427" i="10" l="1"/>
  <c r="B427" i="10"/>
  <c r="C427" i="10" s="1"/>
  <c r="F427" i="10" s="1"/>
  <c r="D428" i="10"/>
  <c r="E425" i="10"/>
  <c r="E426" i="10" l="1"/>
  <c r="G428" i="10"/>
  <c r="B428" i="10"/>
  <c r="C428" i="10" s="1"/>
  <c r="F428" i="10" s="1"/>
  <c r="D429" i="10"/>
  <c r="E427" i="10" l="1"/>
  <c r="G429" i="10"/>
  <c r="F429" i="10"/>
  <c r="D430" i="10"/>
  <c r="B429" i="10"/>
  <c r="C429" i="10" s="1"/>
  <c r="E428" i="10" l="1"/>
  <c r="D431" i="10"/>
  <c r="G430" i="10"/>
  <c r="B430" i="10"/>
  <c r="C430" i="10" s="1"/>
  <c r="F430" i="10" s="1"/>
  <c r="E429" i="10" l="1"/>
  <c r="G431" i="10"/>
  <c r="D432" i="10"/>
  <c r="B431" i="10"/>
  <c r="C431" i="10" s="1"/>
  <c r="F431" i="10" s="1"/>
  <c r="E430" i="10" l="1"/>
  <c r="D433" i="10"/>
  <c r="E431" i="10"/>
  <c r="G432" i="10"/>
  <c r="B432" i="10"/>
  <c r="C432" i="10" s="1"/>
  <c r="F432" i="10" s="1"/>
  <c r="G433" i="10" l="1"/>
  <c r="B433" i="10"/>
  <c r="C433" i="10" s="1"/>
  <c r="F433" i="10" s="1"/>
  <c r="D434" i="10"/>
  <c r="E432" i="10" l="1"/>
  <c r="G434" i="10"/>
  <c r="B434" i="10"/>
  <c r="C434" i="10" s="1"/>
  <c r="F434" i="10" s="1"/>
  <c r="D435" i="10"/>
  <c r="E433" i="10" l="1"/>
  <c r="G435" i="10"/>
  <c r="B435" i="10"/>
  <c r="C435" i="10" s="1"/>
  <c r="F435" i="10" s="1"/>
  <c r="D436" i="10"/>
  <c r="E434" i="10" l="1"/>
  <c r="G436" i="10"/>
  <c r="B436" i="10"/>
  <c r="C436" i="10" s="1"/>
  <c r="F436" i="10" s="1"/>
  <c r="D437" i="10"/>
  <c r="E435" i="10" l="1"/>
  <c r="G437" i="10"/>
  <c r="D438" i="10"/>
  <c r="B437" i="10"/>
  <c r="C437" i="10" s="1"/>
  <c r="F437" i="10" s="1"/>
  <c r="E436" i="10" l="1"/>
  <c r="D439" i="10"/>
  <c r="G438" i="10"/>
  <c r="B438" i="10"/>
  <c r="C438" i="10" s="1"/>
  <c r="F438" i="10" s="1"/>
  <c r="G439" i="10" l="1"/>
  <c r="D440" i="10"/>
  <c r="B439" i="10"/>
  <c r="C439" i="10" s="1"/>
  <c r="F439" i="10" s="1"/>
  <c r="E437" i="10"/>
  <c r="D441" i="10" l="1"/>
  <c r="G440" i="10"/>
  <c r="B440" i="10"/>
  <c r="C440" i="10" s="1"/>
  <c r="F440" i="10" s="1"/>
  <c r="E438" i="10"/>
  <c r="E439" i="10" l="1"/>
  <c r="G441" i="10"/>
  <c r="B441" i="10"/>
  <c r="C441" i="10" s="1"/>
  <c r="F441" i="10" s="1"/>
  <c r="D442" i="10"/>
  <c r="E440" i="10" l="1"/>
  <c r="G442" i="10"/>
  <c r="B442" i="10"/>
  <c r="C442" i="10" s="1"/>
  <c r="F442" i="10" s="1"/>
  <c r="D443" i="10"/>
  <c r="E441" i="10" l="1"/>
  <c r="G443" i="10"/>
  <c r="D444" i="10"/>
  <c r="B443" i="10"/>
  <c r="C443" i="10" s="1"/>
  <c r="F443" i="10" s="1"/>
  <c r="E442" i="10" l="1"/>
  <c r="D445" i="10"/>
  <c r="B444" i="10"/>
  <c r="C444" i="10" s="1"/>
  <c r="F444" i="10" s="1"/>
  <c r="G444" i="10"/>
  <c r="G445" i="10" l="1"/>
  <c r="D446" i="10"/>
  <c r="B445" i="10"/>
  <c r="C445" i="10" s="1"/>
  <c r="F445" i="10" s="1"/>
  <c r="E443" i="10"/>
  <c r="G446" i="10" l="1"/>
  <c r="D447" i="10"/>
  <c r="B446" i="10"/>
  <c r="C446" i="10" s="1"/>
  <c r="F446" i="10" s="1"/>
  <c r="E444" i="10"/>
  <c r="E445" i="10" l="1"/>
  <c r="G447" i="10"/>
  <c r="E446" i="10"/>
  <c r="D448" i="10"/>
  <c r="B447" i="10"/>
  <c r="C447" i="10" s="1"/>
  <c r="F447" i="10" s="1"/>
  <c r="D449" i="10" l="1"/>
  <c r="B448" i="10"/>
  <c r="C448" i="10" s="1"/>
  <c r="F448" i="10" s="1"/>
  <c r="G448" i="10"/>
  <c r="E447" i="10" l="1"/>
  <c r="G449" i="10"/>
  <c r="D450" i="10"/>
  <c r="B449" i="10"/>
  <c r="C449" i="10" s="1"/>
  <c r="F449" i="10" s="1"/>
  <c r="G450" i="10" l="1"/>
  <c r="D451" i="10"/>
  <c r="B450" i="10"/>
  <c r="C450" i="10" s="1"/>
  <c r="F450" i="10" s="1"/>
  <c r="E448" i="10"/>
  <c r="E449" i="10" l="1"/>
  <c r="G451" i="10"/>
  <c r="E450" i="10"/>
  <c r="D452" i="10"/>
  <c r="B451" i="10"/>
  <c r="C451" i="10" s="1"/>
  <c r="F451" i="10" s="1"/>
  <c r="D453" i="10" l="1"/>
  <c r="B452" i="10"/>
  <c r="C452" i="10" s="1"/>
  <c r="F452" i="10" s="1"/>
  <c r="G452" i="10"/>
  <c r="E451" i="10"/>
  <c r="G453" i="10" l="1"/>
  <c r="D454" i="10"/>
  <c r="B453" i="10"/>
  <c r="C453" i="10" s="1"/>
  <c r="F453" i="10" s="1"/>
  <c r="G454" i="10" l="1"/>
  <c r="D455" i="10"/>
  <c r="B454" i="10"/>
  <c r="C454" i="10" s="1"/>
  <c r="F454" i="10" s="1"/>
  <c r="E452" i="10"/>
  <c r="G455" i="10" l="1"/>
  <c r="D456" i="10"/>
  <c r="B455" i="10"/>
  <c r="C455" i="10" s="1"/>
  <c r="F455" i="10" s="1"/>
  <c r="E453" i="10"/>
  <c r="E454" i="10" l="1"/>
  <c r="D457" i="10"/>
  <c r="B456" i="10"/>
  <c r="C456" i="10" s="1"/>
  <c r="F456" i="10" s="1"/>
  <c r="G456" i="10"/>
  <c r="G457" i="10" l="1"/>
  <c r="D458" i="10"/>
  <c r="B457" i="10"/>
  <c r="C457" i="10" s="1"/>
  <c r="F457" i="10" s="1"/>
  <c r="E455" i="10"/>
  <c r="G458" i="10" l="1"/>
  <c r="D459" i="10"/>
  <c r="B458" i="10"/>
  <c r="C458" i="10" s="1"/>
  <c r="F458" i="10" s="1"/>
  <c r="E456" i="10"/>
  <c r="G459" i="10" l="1"/>
  <c r="D460" i="10"/>
  <c r="B459" i="10"/>
  <c r="C459" i="10" s="1"/>
  <c r="F459" i="10" s="1"/>
  <c r="E457" i="10"/>
  <c r="D461" i="10" l="1"/>
  <c r="B460" i="10"/>
  <c r="C460" i="10" s="1"/>
  <c r="F460" i="10" s="1"/>
  <c r="G460" i="10"/>
  <c r="E458" i="10"/>
  <c r="E459" i="10" l="1"/>
  <c r="G461" i="10"/>
  <c r="D462" i="10"/>
  <c r="B461" i="10"/>
  <c r="C461" i="10" s="1"/>
  <c r="F461" i="10" s="1"/>
  <c r="E460" i="10" l="1"/>
  <c r="G462" i="10"/>
  <c r="F462" i="10"/>
  <c r="D463" i="10"/>
  <c r="B462" i="10"/>
  <c r="C462" i="10" s="1"/>
  <c r="E461" i="10" l="1"/>
  <c r="G463" i="10"/>
  <c r="E462" i="10"/>
  <c r="D464" i="10"/>
  <c r="B463" i="10"/>
  <c r="C463" i="10" s="1"/>
  <c r="F463" i="10" s="1"/>
  <c r="D465" i="10" l="1"/>
  <c r="B464" i="10"/>
  <c r="C464" i="10" s="1"/>
  <c r="F464" i="10" s="1"/>
  <c r="G464" i="10"/>
  <c r="E463" i="10" l="1"/>
  <c r="G465" i="10"/>
  <c r="D466" i="10"/>
  <c r="B465" i="10"/>
  <c r="C465" i="10" s="1"/>
  <c r="F465" i="10" s="1"/>
  <c r="E464" i="10" l="1"/>
  <c r="G466" i="10"/>
  <c r="D467" i="10"/>
  <c r="B466" i="10"/>
  <c r="C466" i="10" s="1"/>
  <c r="F466" i="10" s="1"/>
  <c r="G467" i="10" l="1"/>
  <c r="D468" i="10"/>
  <c r="B467" i="10"/>
  <c r="C467" i="10" s="1"/>
  <c r="F467" i="10" s="1"/>
  <c r="E465" i="10"/>
  <c r="E466" i="10" l="1"/>
  <c r="D469" i="10"/>
  <c r="B468" i="10"/>
  <c r="C468" i="10" s="1"/>
  <c r="F468" i="10" s="1"/>
  <c r="G468" i="10"/>
  <c r="G469" i="10" l="1"/>
  <c r="D470" i="10"/>
  <c r="B469" i="10"/>
  <c r="C469" i="10" s="1"/>
  <c r="F469" i="10" s="1"/>
  <c r="E467" i="10"/>
  <c r="G470" i="10" l="1"/>
  <c r="D471" i="10"/>
  <c r="B470" i="10"/>
  <c r="C470" i="10" s="1"/>
  <c r="F470" i="10" s="1"/>
  <c r="E468" i="10"/>
  <c r="G471" i="10" l="1"/>
  <c r="D472" i="10"/>
  <c r="B471" i="10"/>
  <c r="C471" i="10" s="1"/>
  <c r="F471" i="10" s="1"/>
  <c r="E469" i="10"/>
  <c r="D473" i="10" l="1"/>
  <c r="B472" i="10"/>
  <c r="C472" i="10" s="1"/>
  <c r="F472" i="10" s="1"/>
  <c r="G472" i="10"/>
  <c r="E470" i="10"/>
  <c r="E471" i="10" l="1"/>
  <c r="G473" i="10"/>
  <c r="D474" i="10"/>
  <c r="B473" i="10"/>
  <c r="C473" i="10" s="1"/>
  <c r="F473" i="10" s="1"/>
  <c r="G474" i="10" l="1"/>
  <c r="D475" i="10"/>
  <c r="B474" i="10"/>
  <c r="C474" i="10" s="1"/>
  <c r="F474" i="10" s="1"/>
  <c r="E472" i="10"/>
  <c r="E473" i="10" l="1"/>
  <c r="G475" i="10"/>
  <c r="E474" i="10"/>
  <c r="D476" i="10"/>
  <c r="B475" i="10"/>
  <c r="C475" i="10" s="1"/>
  <c r="F475" i="10" s="1"/>
  <c r="D477" i="10" l="1"/>
  <c r="B476" i="10"/>
  <c r="C476" i="10" s="1"/>
  <c r="F476" i="10" s="1"/>
  <c r="G476" i="10"/>
  <c r="E475" i="10" l="1"/>
  <c r="G477" i="10"/>
  <c r="D478" i="10"/>
  <c r="B477" i="10"/>
  <c r="C477" i="10" s="1"/>
  <c r="F477" i="10" s="1"/>
  <c r="E476" i="10" l="1"/>
  <c r="G478" i="10"/>
  <c r="D479" i="10"/>
  <c r="B478" i="10"/>
  <c r="C478" i="10" s="1"/>
  <c r="F478" i="10" s="1"/>
  <c r="E477" i="10" l="1"/>
  <c r="G479" i="10"/>
  <c r="D480" i="10"/>
  <c r="B479" i="10"/>
  <c r="C479" i="10" s="1"/>
  <c r="F479" i="10" s="1"/>
  <c r="D481" i="10" l="1"/>
  <c r="B480" i="10"/>
  <c r="C480" i="10" s="1"/>
  <c r="F480" i="10" s="1"/>
  <c r="G480" i="10"/>
  <c r="E478" i="10"/>
  <c r="E479" i="10" l="1"/>
  <c r="G481" i="10"/>
  <c r="D482" i="10"/>
  <c r="B481" i="10"/>
  <c r="C481" i="10" s="1"/>
  <c r="F481" i="10" s="1"/>
  <c r="G482" i="10" l="1"/>
  <c r="D483" i="10"/>
  <c r="B482" i="10"/>
  <c r="C482" i="10" s="1"/>
  <c r="F482" i="10" s="1"/>
  <c r="E480" i="10"/>
  <c r="G483" i="10" l="1"/>
  <c r="D484" i="10"/>
  <c r="B483" i="10"/>
  <c r="C483" i="10" s="1"/>
  <c r="F483" i="10" s="1"/>
  <c r="E481" i="10"/>
  <c r="G484" i="10" l="1"/>
  <c r="D485" i="10"/>
  <c r="B484" i="10"/>
  <c r="C484" i="10" s="1"/>
  <c r="F484" i="10" s="1"/>
  <c r="E482" i="10"/>
  <c r="G485" i="10" l="1"/>
  <c r="D486" i="10"/>
  <c r="B485" i="10"/>
  <c r="C485" i="10" s="1"/>
  <c r="F485" i="10" s="1"/>
  <c r="E483" i="10"/>
  <c r="G486" i="10" l="1"/>
  <c r="D487" i="10"/>
  <c r="B486" i="10"/>
  <c r="C486" i="10" s="1"/>
  <c r="F486" i="10" s="1"/>
  <c r="E484" i="10"/>
  <c r="G487" i="10" l="1"/>
  <c r="D488" i="10"/>
  <c r="B487" i="10"/>
  <c r="C487" i="10" s="1"/>
  <c r="F487" i="10" s="1"/>
  <c r="E485" i="10"/>
  <c r="G488" i="10" l="1"/>
  <c r="B488" i="10"/>
  <c r="C488" i="10" s="1"/>
  <c r="F488" i="10" s="1"/>
  <c r="D489" i="10"/>
  <c r="E486" i="10"/>
  <c r="G489" i="10" l="1"/>
  <c r="D490" i="10"/>
  <c r="B489" i="10"/>
  <c r="C489" i="10" s="1"/>
  <c r="F489" i="10" s="1"/>
  <c r="E487" i="10"/>
  <c r="G490" i="10" l="1"/>
  <c r="B490" i="10"/>
  <c r="C490" i="10" s="1"/>
  <c r="F490" i="10" s="1"/>
  <c r="D491" i="10"/>
  <c r="E488" i="10"/>
  <c r="E489" i="10" l="1"/>
  <c r="G491" i="10"/>
  <c r="D492" i="10"/>
  <c r="B491" i="10"/>
  <c r="C491" i="10" s="1"/>
  <c r="F491" i="10" s="1"/>
  <c r="E490" i="10" l="1"/>
  <c r="G492" i="10"/>
  <c r="D493" i="10"/>
  <c r="B492" i="10"/>
  <c r="C492" i="10" s="1"/>
  <c r="F492" i="10" s="1"/>
  <c r="G493" i="10" l="1"/>
  <c r="D494" i="10"/>
  <c r="B493" i="10"/>
  <c r="C493" i="10" s="1"/>
  <c r="F493" i="10" s="1"/>
  <c r="E491" i="10"/>
  <c r="G494" i="10" l="1"/>
  <c r="D495" i="10"/>
  <c r="B494" i="10"/>
  <c r="C494" i="10" s="1"/>
  <c r="F494" i="10" s="1"/>
  <c r="E492" i="10"/>
  <c r="E493" i="10" l="1"/>
  <c r="G495" i="10"/>
  <c r="E494" i="10"/>
  <c r="D496" i="10"/>
  <c r="B495" i="10"/>
  <c r="C495" i="10" s="1"/>
  <c r="F495" i="10" s="1"/>
  <c r="G496" i="10" l="1"/>
  <c r="B496" i="10"/>
  <c r="C496" i="10" s="1"/>
  <c r="F496" i="10" s="1"/>
  <c r="D497" i="10"/>
  <c r="E495" i="10" l="1"/>
  <c r="G497" i="10"/>
  <c r="D498" i="10"/>
  <c r="B497" i="10"/>
  <c r="C497" i="10" s="1"/>
  <c r="F497" i="10" s="1"/>
  <c r="G498" i="10" l="1"/>
  <c r="B498" i="10"/>
  <c r="C498" i="10" s="1"/>
  <c r="F498" i="10" s="1"/>
  <c r="D499" i="10"/>
  <c r="E496" i="10"/>
  <c r="E497" i="10" l="1"/>
  <c r="G499" i="10"/>
  <c r="D500" i="10"/>
  <c r="B499" i="10"/>
  <c r="C499" i="10" s="1"/>
  <c r="F499" i="10" s="1"/>
  <c r="E498" i="10" l="1"/>
  <c r="G500" i="10"/>
  <c r="D501" i="10"/>
  <c r="B500" i="10"/>
  <c r="C500" i="10" s="1"/>
  <c r="F500" i="10" s="1"/>
  <c r="E499" i="10" l="1"/>
  <c r="G501" i="10"/>
  <c r="D502" i="10"/>
  <c r="B501" i="10"/>
  <c r="C501" i="10" s="1"/>
  <c r="F501" i="10" s="1"/>
  <c r="E500" i="10" l="1"/>
  <c r="G502" i="10"/>
  <c r="D503" i="10"/>
  <c r="B502" i="10"/>
  <c r="C502" i="10" s="1"/>
  <c r="F502" i="10" s="1"/>
  <c r="E501" i="10" l="1"/>
  <c r="G503" i="10"/>
  <c r="D504" i="10"/>
  <c r="B503" i="10"/>
  <c r="C503" i="10" s="1"/>
  <c r="F503" i="10" s="1"/>
  <c r="E502" i="10" l="1"/>
  <c r="G504" i="10"/>
  <c r="B504" i="10"/>
  <c r="C504" i="10" s="1"/>
  <c r="F504" i="10" s="1"/>
  <c r="D505" i="10"/>
  <c r="E503" i="10" l="1"/>
  <c r="G505" i="10"/>
  <c r="E504" i="10"/>
  <c r="D506" i="10"/>
  <c r="B505" i="10"/>
  <c r="C505" i="10" s="1"/>
  <c r="F505" i="10" s="1"/>
  <c r="G506" i="10" l="1"/>
  <c r="B506" i="10"/>
  <c r="C506" i="10" s="1"/>
  <c r="F506" i="10" s="1"/>
  <c r="D507" i="10"/>
  <c r="E505" i="10" l="1"/>
  <c r="G507" i="10"/>
  <c r="D508" i="10"/>
  <c r="B507" i="10"/>
  <c r="C507" i="10" s="1"/>
  <c r="F507" i="10" s="1"/>
  <c r="E506" i="10" l="1"/>
  <c r="G508" i="10"/>
  <c r="E507" i="10"/>
  <c r="D509" i="10"/>
  <c r="B508" i="10"/>
  <c r="C508" i="10" s="1"/>
  <c r="F508" i="10" s="1"/>
  <c r="G509" i="10" l="1"/>
  <c r="D510" i="10"/>
  <c r="B509" i="10"/>
  <c r="C509" i="10" s="1"/>
  <c r="F509" i="10" s="1"/>
  <c r="G510" i="10" l="1"/>
  <c r="D511" i="10"/>
  <c r="B510" i="10"/>
  <c r="C510" i="10" s="1"/>
  <c r="F510" i="10" s="1"/>
  <c r="E508" i="10"/>
  <c r="G511" i="10" l="1"/>
  <c r="D512" i="10"/>
  <c r="B511" i="10"/>
  <c r="C511" i="10" s="1"/>
  <c r="F511" i="10" s="1"/>
  <c r="E509" i="10"/>
  <c r="G512" i="10" l="1"/>
  <c r="D513" i="10"/>
  <c r="B512" i="10"/>
  <c r="C512" i="10" s="1"/>
  <c r="F512" i="10" s="1"/>
  <c r="E510" i="10"/>
  <c r="G513" i="10" l="1"/>
  <c r="D514" i="10"/>
  <c r="B513" i="10"/>
  <c r="C513" i="10" s="1"/>
  <c r="F513" i="10" s="1"/>
  <c r="E511" i="10"/>
  <c r="G514" i="10" l="1"/>
  <c r="D515" i="10"/>
  <c r="B514" i="10"/>
  <c r="C514" i="10" s="1"/>
  <c r="F514" i="10" s="1"/>
  <c r="E512" i="10"/>
  <c r="G515" i="10" l="1"/>
  <c r="D516" i="10"/>
  <c r="B515" i="10"/>
  <c r="C515" i="10" s="1"/>
  <c r="F515" i="10" s="1"/>
  <c r="E513" i="10"/>
  <c r="G516" i="10" l="1"/>
  <c r="D517" i="10"/>
  <c r="B516" i="10"/>
  <c r="C516" i="10" s="1"/>
  <c r="F516" i="10" s="1"/>
  <c r="E514" i="10"/>
  <c r="G517" i="10" l="1"/>
  <c r="D518" i="10"/>
  <c r="B517" i="10"/>
  <c r="C517" i="10" s="1"/>
  <c r="F517" i="10" s="1"/>
  <c r="E515" i="10"/>
  <c r="G518" i="10" l="1"/>
  <c r="D519" i="10"/>
  <c r="B518" i="10"/>
  <c r="C518" i="10" s="1"/>
  <c r="F518" i="10" s="1"/>
  <c r="E516" i="10"/>
  <c r="G519" i="10" l="1"/>
  <c r="D520" i="10"/>
  <c r="B519" i="10"/>
  <c r="C519" i="10" s="1"/>
  <c r="F519" i="10" s="1"/>
  <c r="E517" i="10"/>
  <c r="G520" i="10" l="1"/>
  <c r="D521" i="10"/>
  <c r="B520" i="10"/>
  <c r="C520" i="10" s="1"/>
  <c r="F520" i="10" s="1"/>
  <c r="E518" i="10"/>
  <c r="G521" i="10" l="1"/>
  <c r="D522" i="10"/>
  <c r="B521" i="10"/>
  <c r="C521" i="10" s="1"/>
  <c r="F521" i="10" s="1"/>
  <c r="E519" i="10"/>
  <c r="G522" i="10" l="1"/>
  <c r="D523" i="10"/>
  <c r="B522" i="10"/>
  <c r="C522" i="10" s="1"/>
  <c r="F522" i="10" s="1"/>
  <c r="E520" i="10"/>
  <c r="G523" i="10" l="1"/>
  <c r="D524" i="10"/>
  <c r="B523" i="10"/>
  <c r="C523" i="10" s="1"/>
  <c r="F523" i="10" s="1"/>
  <c r="E521" i="10"/>
  <c r="G524" i="10" l="1"/>
  <c r="D525" i="10"/>
  <c r="B524" i="10"/>
  <c r="C524" i="10" s="1"/>
  <c r="F524" i="10" s="1"/>
  <c r="E522" i="10"/>
  <c r="G525" i="10" l="1"/>
  <c r="D526" i="10"/>
  <c r="B525" i="10"/>
  <c r="C525" i="10" s="1"/>
  <c r="F525" i="10" s="1"/>
  <c r="E523" i="10"/>
  <c r="G526" i="10" l="1"/>
  <c r="D527" i="10"/>
  <c r="B526" i="10"/>
  <c r="C526" i="10" s="1"/>
  <c r="F526" i="10" s="1"/>
  <c r="E524" i="10"/>
  <c r="G527" i="10" l="1"/>
  <c r="D528" i="10"/>
  <c r="B527" i="10"/>
  <c r="C527" i="10" s="1"/>
  <c r="F527" i="10" s="1"/>
  <c r="E525" i="10"/>
  <c r="G528" i="10" l="1"/>
  <c r="D529" i="10"/>
  <c r="B528" i="10"/>
  <c r="C528" i="10" s="1"/>
  <c r="F528" i="10" s="1"/>
  <c r="E526" i="10"/>
  <c r="G529" i="10" l="1"/>
  <c r="D530" i="10"/>
  <c r="B529" i="10"/>
  <c r="C529" i="10" s="1"/>
  <c r="F529" i="10" s="1"/>
  <c r="E527" i="10"/>
  <c r="G530" i="10" l="1"/>
  <c r="D531" i="10"/>
  <c r="B530" i="10"/>
  <c r="C530" i="10" s="1"/>
  <c r="F530" i="10" s="1"/>
  <c r="E528" i="10"/>
  <c r="G531" i="10" l="1"/>
  <c r="D532" i="10"/>
  <c r="B531" i="10"/>
  <c r="C531" i="10" s="1"/>
  <c r="F531" i="10" s="1"/>
  <c r="E529" i="10"/>
  <c r="G532" i="10" l="1"/>
  <c r="D533" i="10"/>
  <c r="B532" i="10"/>
  <c r="C532" i="10" s="1"/>
  <c r="F532" i="10" s="1"/>
  <c r="E530" i="10"/>
  <c r="G533" i="10" l="1"/>
  <c r="D534" i="10"/>
  <c r="B533" i="10"/>
  <c r="C533" i="10" s="1"/>
  <c r="F533" i="10" s="1"/>
  <c r="E531" i="10"/>
  <c r="G534" i="10" l="1"/>
  <c r="D535" i="10"/>
  <c r="B534" i="10"/>
  <c r="C534" i="10" s="1"/>
  <c r="F534" i="10" s="1"/>
  <c r="E532" i="10"/>
  <c r="G535" i="10" l="1"/>
  <c r="D536" i="10"/>
  <c r="B535" i="10"/>
  <c r="C535" i="10" s="1"/>
  <c r="F535" i="10" s="1"/>
  <c r="E533" i="10"/>
  <c r="G536" i="10" l="1"/>
  <c r="D537" i="10"/>
  <c r="B536" i="10"/>
  <c r="C536" i="10" s="1"/>
  <c r="F536" i="10" s="1"/>
  <c r="E534" i="10"/>
  <c r="G537" i="10" l="1"/>
  <c r="D538" i="10"/>
  <c r="B537" i="10"/>
  <c r="C537" i="10" s="1"/>
  <c r="F537" i="10" s="1"/>
  <c r="E535" i="10"/>
  <c r="G538" i="10" l="1"/>
  <c r="D539" i="10"/>
  <c r="B538" i="10"/>
  <c r="C538" i="10" s="1"/>
  <c r="F538" i="10" s="1"/>
  <c r="E536" i="10"/>
  <c r="E537" i="10" l="1"/>
  <c r="G539" i="10"/>
  <c r="E538" i="10"/>
  <c r="D540" i="10"/>
  <c r="B539" i="10"/>
  <c r="C539" i="10" s="1"/>
  <c r="F539" i="10" s="1"/>
  <c r="G540" i="10" l="1"/>
  <c r="D541" i="10"/>
  <c r="B540" i="10"/>
  <c r="C540" i="10" s="1"/>
  <c r="F540" i="10" s="1"/>
  <c r="G541" i="10" l="1"/>
  <c r="D542" i="10"/>
  <c r="B541" i="10"/>
  <c r="C541" i="10" s="1"/>
  <c r="F541" i="10" s="1"/>
  <c r="E539" i="10"/>
  <c r="D543" i="10" l="1"/>
  <c r="G542" i="10"/>
  <c r="B542" i="10"/>
  <c r="C542" i="10" s="1"/>
  <c r="F542" i="10" s="1"/>
  <c r="E540" i="10"/>
  <c r="E541" i="10" l="1"/>
  <c r="G543" i="10"/>
  <c r="D544" i="10"/>
  <c r="B543" i="10"/>
  <c r="C543" i="10" s="1"/>
  <c r="F543" i="10" s="1"/>
  <c r="E542" i="10" l="1"/>
  <c r="D545" i="10"/>
  <c r="E543" i="10"/>
  <c r="G544" i="10"/>
  <c r="B544" i="10"/>
  <c r="C544" i="10" s="1"/>
  <c r="F544" i="10"/>
  <c r="G545" i="10" l="1"/>
  <c r="B545" i="10"/>
  <c r="C545" i="10" s="1"/>
  <c r="F545" i="10" s="1"/>
  <c r="D546" i="10"/>
  <c r="E544" i="10" l="1"/>
  <c r="G546" i="10"/>
  <c r="B546" i="10"/>
  <c r="C546" i="10" s="1"/>
  <c r="F546" i="10" s="1"/>
  <c r="D547" i="10"/>
  <c r="E545" i="10" l="1"/>
  <c r="G547" i="10"/>
  <c r="B547" i="10"/>
  <c r="C547" i="10" s="1"/>
  <c r="F547" i="10" s="1"/>
  <c r="D548" i="10"/>
  <c r="E546" i="10" l="1"/>
  <c r="G548" i="10"/>
  <c r="B548" i="10"/>
  <c r="C548" i="10" s="1"/>
  <c r="F548" i="10" s="1"/>
  <c r="D549" i="10"/>
  <c r="E547" i="10" l="1"/>
  <c r="G549" i="10"/>
  <c r="D550" i="10"/>
  <c r="B549" i="10"/>
  <c r="C549" i="10" s="1"/>
  <c r="F549" i="10" s="1"/>
  <c r="E548" i="10" l="1"/>
  <c r="D551" i="10"/>
  <c r="G550" i="10"/>
  <c r="B550" i="10"/>
  <c r="C550" i="10" s="1"/>
  <c r="F550" i="10" s="1"/>
  <c r="E549" i="10" l="1"/>
  <c r="G551" i="10"/>
  <c r="D552" i="10"/>
  <c r="B551" i="10"/>
  <c r="C551" i="10" s="1"/>
  <c r="F551" i="10" s="1"/>
  <c r="E550" i="10" l="1"/>
  <c r="D553" i="10"/>
  <c r="E551" i="10"/>
  <c r="G552" i="10"/>
  <c r="B552" i="10"/>
  <c r="C552" i="10" s="1"/>
  <c r="F552" i="10"/>
  <c r="G553" i="10" l="1"/>
  <c r="B553" i="10"/>
  <c r="C553" i="10" s="1"/>
  <c r="F553" i="10" s="1"/>
  <c r="D554" i="10"/>
  <c r="E552" i="10" l="1"/>
  <c r="G554" i="10"/>
  <c r="B554" i="10"/>
  <c r="C554" i="10" s="1"/>
  <c r="F554" i="10" s="1"/>
  <c r="D555" i="10"/>
  <c r="E553" i="10" l="1"/>
  <c r="G555" i="10"/>
  <c r="B555" i="10"/>
  <c r="C555" i="10" s="1"/>
  <c r="F555" i="10" s="1"/>
  <c r="D556" i="10"/>
  <c r="E554" i="10" l="1"/>
  <c r="G556" i="10"/>
  <c r="B556" i="10"/>
  <c r="C556" i="10" s="1"/>
  <c r="F556" i="10" s="1"/>
  <c r="D557" i="10"/>
  <c r="E555" i="10" l="1"/>
  <c r="G557" i="10"/>
  <c r="D558" i="10"/>
  <c r="B557" i="10"/>
  <c r="C557" i="10" s="1"/>
  <c r="F557" i="10" s="1"/>
  <c r="E556" i="10" l="1"/>
  <c r="D559" i="10"/>
  <c r="G558" i="10"/>
  <c r="B558" i="10"/>
  <c r="C558" i="10" s="1"/>
  <c r="F558" i="10" s="1"/>
  <c r="E557" i="10" l="1"/>
  <c r="G559" i="10"/>
  <c r="D560" i="10"/>
  <c r="B559" i="10"/>
  <c r="C559" i="10" s="1"/>
  <c r="F559" i="10" s="1"/>
  <c r="E558" i="10" l="1"/>
  <c r="D561" i="10"/>
  <c r="E559" i="10"/>
  <c r="G560" i="10"/>
  <c r="B560" i="10"/>
  <c r="C560" i="10" s="1"/>
  <c r="F560" i="10"/>
  <c r="G561" i="10" l="1"/>
  <c r="B561" i="10"/>
  <c r="C561" i="10" s="1"/>
  <c r="F561" i="10" s="1"/>
  <c r="D562" i="10"/>
  <c r="E560" i="10" l="1"/>
  <c r="G562" i="10"/>
  <c r="B562" i="10"/>
  <c r="C562" i="10" s="1"/>
  <c r="F562" i="10" s="1"/>
  <c r="D563" i="10"/>
  <c r="E561" i="10" l="1"/>
  <c r="G563" i="10"/>
  <c r="B563" i="10"/>
  <c r="C563" i="10" s="1"/>
  <c r="F563" i="10" s="1"/>
  <c r="D564" i="10"/>
  <c r="E562" i="10" l="1"/>
  <c r="G564" i="10"/>
  <c r="B564" i="10"/>
  <c r="C564" i="10" s="1"/>
  <c r="F564" i="10" s="1"/>
  <c r="D565" i="10"/>
  <c r="E563" i="10" l="1"/>
  <c r="G565" i="10"/>
  <c r="D566" i="10"/>
  <c r="B565" i="10"/>
  <c r="C565" i="10" s="1"/>
  <c r="F565" i="10" s="1"/>
  <c r="E564" i="10" l="1"/>
  <c r="D567" i="10"/>
  <c r="G566" i="10"/>
  <c r="B566" i="10"/>
  <c r="C566" i="10" s="1"/>
  <c r="F566" i="10" s="1"/>
  <c r="E565" i="10" l="1"/>
  <c r="G567" i="10"/>
  <c r="D568" i="10"/>
  <c r="B567" i="10"/>
  <c r="C567" i="10" s="1"/>
  <c r="F567" i="10" s="1"/>
  <c r="E566" i="10" l="1"/>
  <c r="D569" i="10"/>
  <c r="G568" i="10"/>
  <c r="B568" i="10"/>
  <c r="C568" i="10" s="1"/>
  <c r="F568" i="10" s="1"/>
  <c r="E567" i="10" l="1"/>
  <c r="G569" i="10"/>
  <c r="B569" i="10"/>
  <c r="C569" i="10" s="1"/>
  <c r="F569" i="10" s="1"/>
  <c r="D570" i="10"/>
  <c r="E568" i="10" l="1"/>
  <c r="G570" i="10"/>
  <c r="B570" i="10"/>
  <c r="C570" i="10" s="1"/>
  <c r="F570" i="10" s="1"/>
  <c r="D571" i="10"/>
  <c r="E569" i="10" l="1"/>
  <c r="G571" i="10"/>
  <c r="B571" i="10"/>
  <c r="C571" i="10" s="1"/>
  <c r="F571" i="10" s="1"/>
  <c r="D572" i="10"/>
  <c r="E570" i="10" l="1"/>
  <c r="G572" i="10"/>
  <c r="B572" i="10"/>
  <c r="C572" i="10" s="1"/>
  <c r="F572" i="10" s="1"/>
  <c r="D573" i="10"/>
  <c r="E571" i="10" l="1"/>
  <c r="G573" i="10"/>
  <c r="F573" i="10"/>
  <c r="D574" i="10"/>
  <c r="B573" i="10"/>
  <c r="C573" i="10" s="1"/>
  <c r="E572" i="10" l="1"/>
  <c r="D575" i="10"/>
  <c r="E573" i="10"/>
  <c r="G574" i="10"/>
  <c r="B574" i="10"/>
  <c r="C574" i="10" s="1"/>
  <c r="F574" i="10" s="1"/>
  <c r="G575" i="10" l="1"/>
  <c r="D576" i="10"/>
  <c r="B575" i="10"/>
  <c r="C575" i="10" s="1"/>
  <c r="F575" i="10" s="1"/>
  <c r="D577" i="10" l="1"/>
  <c r="G576" i="10"/>
  <c r="B576" i="10"/>
  <c r="C576" i="10" s="1"/>
  <c r="F576" i="10" s="1"/>
  <c r="E574" i="10"/>
  <c r="E575" i="10" l="1"/>
  <c r="G577" i="10"/>
  <c r="B577" i="10"/>
  <c r="C577" i="10" s="1"/>
  <c r="F577" i="10" s="1"/>
  <c r="D578" i="10"/>
  <c r="E576" i="10" l="1"/>
  <c r="G578" i="10"/>
  <c r="B578" i="10"/>
  <c r="C578" i="10" s="1"/>
  <c r="F578" i="10" s="1"/>
  <c r="D579" i="10"/>
  <c r="E577" i="10" l="1"/>
  <c r="G579" i="10"/>
  <c r="B579" i="10"/>
  <c r="C579" i="10" s="1"/>
  <c r="F579" i="10" s="1"/>
  <c r="D580" i="10"/>
  <c r="E578" i="10" l="1"/>
  <c r="G580" i="10"/>
  <c r="B580" i="10"/>
  <c r="C580" i="10" s="1"/>
  <c r="F580" i="10" s="1"/>
  <c r="D581" i="10"/>
  <c r="E579" i="10" l="1"/>
  <c r="G581" i="10"/>
  <c r="D582" i="10"/>
  <c r="B581" i="10"/>
  <c r="C581" i="10" s="1"/>
  <c r="F581" i="10" s="1"/>
  <c r="E580" i="10" l="1"/>
  <c r="D583" i="10"/>
  <c r="G582" i="10"/>
  <c r="B582" i="10"/>
  <c r="C582" i="10" s="1"/>
  <c r="F582" i="10" s="1"/>
  <c r="G583" i="10" l="1"/>
  <c r="D584" i="10"/>
  <c r="B583" i="10"/>
  <c r="C583" i="10" s="1"/>
  <c r="F583" i="10" s="1"/>
  <c r="E581" i="10"/>
  <c r="D585" i="10" l="1"/>
  <c r="G584" i="10"/>
  <c r="B584" i="10"/>
  <c r="C584" i="10" s="1"/>
  <c r="F584" i="10" s="1"/>
  <c r="E582" i="10"/>
  <c r="E583" i="10" l="1"/>
  <c r="G585" i="10"/>
  <c r="B585" i="10"/>
  <c r="C585" i="10" s="1"/>
  <c r="F585" i="10" s="1"/>
  <c r="D586" i="10"/>
  <c r="E584" i="10" l="1"/>
  <c r="G586" i="10"/>
  <c r="B586" i="10"/>
  <c r="C586" i="10" s="1"/>
  <c r="F586" i="10" s="1"/>
  <c r="D587" i="10"/>
  <c r="E585" i="10" l="1"/>
  <c r="G587" i="10"/>
  <c r="B587" i="10"/>
  <c r="C587" i="10" s="1"/>
  <c r="F587" i="10" s="1"/>
  <c r="D588" i="10"/>
  <c r="E586" i="10" l="1"/>
  <c r="G588" i="10"/>
  <c r="B588" i="10"/>
  <c r="C588" i="10" s="1"/>
  <c r="F588" i="10" s="1"/>
  <c r="D589" i="10"/>
  <c r="E587" i="10" l="1"/>
  <c r="G589" i="10"/>
  <c r="D590" i="10"/>
  <c r="B589" i="10"/>
  <c r="C589" i="10" s="1"/>
  <c r="F589" i="10" s="1"/>
  <c r="E588" i="10" l="1"/>
  <c r="D591" i="10"/>
  <c r="G590" i="10"/>
  <c r="B590" i="10"/>
  <c r="C590" i="10" s="1"/>
  <c r="F590" i="10" s="1"/>
  <c r="E589" i="10" l="1"/>
  <c r="G591" i="10"/>
  <c r="D592" i="10"/>
  <c r="B591" i="10"/>
  <c r="C591" i="10" s="1"/>
  <c r="F591" i="10" s="1"/>
  <c r="E590" i="10" l="1"/>
  <c r="D593" i="10"/>
  <c r="E591" i="10"/>
  <c r="G592" i="10"/>
  <c r="B592" i="10"/>
  <c r="C592" i="10" s="1"/>
  <c r="F592" i="10"/>
  <c r="G593" i="10" l="1"/>
  <c r="B593" i="10"/>
  <c r="C593" i="10" s="1"/>
  <c r="F593" i="10" s="1"/>
  <c r="D594" i="10"/>
  <c r="E592" i="10" l="1"/>
  <c r="D595" i="10"/>
  <c r="G594" i="10"/>
  <c r="B594" i="10"/>
  <c r="C594" i="10" s="1"/>
  <c r="F594" i="10" s="1"/>
  <c r="G595" i="10" l="1"/>
  <c r="D596" i="10"/>
  <c r="B595" i="10"/>
  <c r="C595" i="10" s="1"/>
  <c r="F595" i="10" s="1"/>
  <c r="E593" i="10"/>
  <c r="D597" i="10" l="1"/>
  <c r="B596" i="10"/>
  <c r="C596" i="10" s="1"/>
  <c r="F596" i="10" s="1"/>
  <c r="G596" i="10"/>
  <c r="E594" i="10"/>
  <c r="G597" i="10" l="1"/>
  <c r="D598" i="10"/>
  <c r="B597" i="10"/>
  <c r="C597" i="10" s="1"/>
  <c r="F597" i="10" s="1"/>
  <c r="E595" i="10"/>
  <c r="D599" i="10" l="1"/>
  <c r="B598" i="10"/>
  <c r="C598" i="10" s="1"/>
  <c r="F598" i="10" s="1"/>
  <c r="G598" i="10"/>
  <c r="E596" i="10"/>
  <c r="E597" i="10" l="1"/>
  <c r="G599" i="10"/>
  <c r="D600" i="10"/>
  <c r="B599" i="10"/>
  <c r="C599" i="10" s="1"/>
  <c r="F599" i="10" s="1"/>
  <c r="E598" i="10" l="1"/>
  <c r="D601" i="10"/>
  <c r="B600" i="10"/>
  <c r="C600" i="10" s="1"/>
  <c r="F600" i="10" s="1"/>
  <c r="G600" i="10"/>
  <c r="G601" i="10" l="1"/>
  <c r="D602" i="10"/>
  <c r="B601" i="10"/>
  <c r="C601" i="10" s="1"/>
  <c r="F601" i="10" s="1"/>
  <c r="E599" i="10"/>
  <c r="D603" i="10" l="1"/>
  <c r="B602" i="10"/>
  <c r="C602" i="10" s="1"/>
  <c r="F602" i="10" s="1"/>
  <c r="G602" i="10"/>
  <c r="E601" i="10"/>
  <c r="E600" i="10"/>
  <c r="G603" i="10" l="1"/>
  <c r="D604" i="10"/>
  <c r="B603" i="10"/>
  <c r="C603" i="10" s="1"/>
  <c r="F603" i="10" s="1"/>
  <c r="D605" i="10" l="1"/>
  <c r="B604" i="10"/>
  <c r="C604" i="10" s="1"/>
  <c r="F604" i="10" s="1"/>
  <c r="G604" i="10"/>
  <c r="E602" i="10"/>
  <c r="G605" i="10" l="1"/>
  <c r="D606" i="10"/>
  <c r="B605" i="10"/>
  <c r="C605" i="10" s="1"/>
  <c r="F605" i="10" s="1"/>
  <c r="E603" i="10"/>
  <c r="D607" i="10" l="1"/>
  <c r="B606" i="10"/>
  <c r="C606" i="10" s="1"/>
  <c r="F606" i="10" s="1"/>
  <c r="G606" i="10"/>
  <c r="E604" i="10"/>
  <c r="E605" i="10" l="1"/>
  <c r="G607" i="10"/>
  <c r="D608" i="10"/>
  <c r="B607" i="10"/>
  <c r="C607" i="10" s="1"/>
  <c r="F607" i="10" s="1"/>
  <c r="D609" i="10" l="1"/>
  <c r="B608" i="10"/>
  <c r="C608" i="10" s="1"/>
  <c r="F608" i="10" s="1"/>
  <c r="G608" i="10"/>
  <c r="E606" i="10"/>
  <c r="G609" i="10" l="1"/>
  <c r="D610" i="10"/>
  <c r="B609" i="10"/>
  <c r="C609" i="10" s="1"/>
  <c r="F609" i="10" s="1"/>
  <c r="E607" i="10"/>
  <c r="D611" i="10" l="1"/>
  <c r="B610" i="10"/>
  <c r="C610" i="10" s="1"/>
  <c r="F610" i="10" s="1"/>
  <c r="G610" i="10"/>
  <c r="E608" i="10"/>
  <c r="E609" i="10" l="1"/>
  <c r="G611" i="10"/>
  <c r="D612" i="10"/>
  <c r="B611" i="10"/>
  <c r="C611" i="10" s="1"/>
  <c r="F611" i="10" s="1"/>
  <c r="E610" i="10" l="1"/>
  <c r="D613" i="10"/>
  <c r="B612" i="10"/>
  <c r="C612" i="10" s="1"/>
  <c r="F612" i="10" s="1"/>
  <c r="G612" i="10"/>
  <c r="G613" i="10" l="1"/>
  <c r="D614" i="10"/>
  <c r="B613" i="10"/>
  <c r="C613" i="10" s="1"/>
  <c r="F613" i="10" s="1"/>
  <c r="E611" i="10"/>
  <c r="D615" i="10" l="1"/>
  <c r="B614" i="10"/>
  <c r="C614" i="10" s="1"/>
  <c r="F614" i="10" s="1"/>
  <c r="G614" i="10"/>
  <c r="E612" i="10"/>
  <c r="E613" i="10" l="1"/>
  <c r="G615" i="10"/>
  <c r="E614" i="10"/>
  <c r="D616" i="10"/>
  <c r="B615" i="10"/>
  <c r="C615" i="10" s="1"/>
  <c r="F615" i="10" s="1"/>
  <c r="D617" i="10" l="1"/>
  <c r="B616" i="10"/>
  <c r="C616" i="10" s="1"/>
  <c r="F616" i="10" s="1"/>
  <c r="G616" i="10"/>
  <c r="G617" i="10" l="1"/>
  <c r="D618" i="10"/>
  <c r="B617" i="10"/>
  <c r="C617" i="10" s="1"/>
  <c r="F617" i="10" s="1"/>
  <c r="E615" i="10"/>
  <c r="D619" i="10" l="1"/>
  <c r="B618" i="10"/>
  <c r="C618" i="10" s="1"/>
  <c r="F618" i="10" s="1"/>
  <c r="G618" i="10"/>
  <c r="E617" i="10"/>
  <c r="E616" i="10"/>
  <c r="G619" i="10" l="1"/>
  <c r="D620" i="10"/>
  <c r="B619" i="10"/>
  <c r="C619" i="10" s="1"/>
  <c r="F619" i="10" s="1"/>
  <c r="D621" i="10" l="1"/>
  <c r="B620" i="10"/>
  <c r="C620" i="10" s="1"/>
  <c r="F620" i="10" s="1"/>
  <c r="G620" i="10"/>
  <c r="E618" i="10"/>
  <c r="G621" i="10" l="1"/>
  <c r="D622" i="10"/>
  <c r="B621" i="10"/>
  <c r="C621" i="10" s="1"/>
  <c r="F621" i="10" s="1"/>
  <c r="E619" i="10"/>
  <c r="D623" i="10" l="1"/>
  <c r="B622" i="10"/>
  <c r="C622" i="10" s="1"/>
  <c r="F622" i="10" s="1"/>
  <c r="G622" i="10"/>
  <c r="E621" i="10"/>
  <c r="E620" i="10"/>
  <c r="G623" i="10" l="1"/>
  <c r="D624" i="10"/>
  <c r="B623" i="10"/>
  <c r="C623" i="10" s="1"/>
  <c r="F623" i="10" s="1"/>
  <c r="G624" i="10" l="1"/>
  <c r="D625" i="10"/>
  <c r="B624" i="10"/>
  <c r="C624" i="10" s="1"/>
  <c r="F624" i="10" s="1"/>
  <c r="E622" i="10"/>
  <c r="G625" i="10" l="1"/>
  <c r="D626" i="10"/>
  <c r="B625" i="10"/>
  <c r="C625" i="10" s="1"/>
  <c r="F625" i="10" s="1"/>
  <c r="E623" i="10"/>
  <c r="G626" i="10" l="1"/>
  <c r="D627" i="10"/>
  <c r="B626" i="10"/>
  <c r="C626" i="10" s="1"/>
  <c r="F626" i="10" s="1"/>
  <c r="E624" i="10"/>
  <c r="G627" i="10" l="1"/>
  <c r="D628" i="10"/>
  <c r="B627" i="10"/>
  <c r="C627" i="10" s="1"/>
  <c r="F627" i="10" s="1"/>
  <c r="E625" i="10"/>
  <c r="G628" i="10" l="1"/>
  <c r="D629" i="10"/>
  <c r="B628" i="10"/>
  <c r="C628" i="10" s="1"/>
  <c r="F628" i="10" s="1"/>
  <c r="E626" i="10"/>
  <c r="E627" i="10" l="1"/>
  <c r="G629" i="10"/>
  <c r="D630" i="10"/>
  <c r="B629" i="10"/>
  <c r="C629" i="10" s="1"/>
  <c r="F629" i="10" s="1"/>
  <c r="G630" i="10" l="1"/>
  <c r="D631" i="10"/>
  <c r="B630" i="10"/>
  <c r="C630" i="10" s="1"/>
  <c r="F630" i="10" s="1"/>
  <c r="E628" i="10"/>
  <c r="G631" i="10" l="1"/>
  <c r="D632" i="10"/>
  <c r="B631" i="10"/>
  <c r="C631" i="10" s="1"/>
  <c r="F631" i="10" s="1"/>
  <c r="E629" i="10"/>
  <c r="G632" i="10" l="1"/>
  <c r="D633" i="10"/>
  <c r="B632" i="10"/>
  <c r="C632" i="10" s="1"/>
  <c r="F632" i="10" s="1"/>
  <c r="E630" i="10"/>
  <c r="G633" i="10" l="1"/>
  <c r="D634" i="10"/>
  <c r="B633" i="10"/>
  <c r="C633" i="10" s="1"/>
  <c r="F633" i="10" s="1"/>
  <c r="E631" i="10"/>
  <c r="G634" i="10" l="1"/>
  <c r="D635" i="10"/>
  <c r="B634" i="10"/>
  <c r="C634" i="10" s="1"/>
  <c r="F634" i="10" s="1"/>
  <c r="E632" i="10"/>
  <c r="G635" i="10" l="1"/>
  <c r="D636" i="10"/>
  <c r="B635" i="10"/>
  <c r="C635" i="10" s="1"/>
  <c r="F635" i="10" s="1"/>
  <c r="E633" i="10"/>
  <c r="G636" i="10" l="1"/>
  <c r="D637" i="10"/>
  <c r="B636" i="10"/>
  <c r="C636" i="10" s="1"/>
  <c r="F636" i="10" s="1"/>
  <c r="E634" i="10"/>
  <c r="G637" i="10" l="1"/>
  <c r="D638" i="10"/>
  <c r="B637" i="10"/>
  <c r="C637" i="10" s="1"/>
  <c r="F637" i="10" s="1"/>
  <c r="E635" i="10"/>
  <c r="G638" i="10" l="1"/>
  <c r="D639" i="10"/>
  <c r="B638" i="10"/>
  <c r="C638" i="10" s="1"/>
  <c r="F638" i="10" s="1"/>
  <c r="E636" i="10"/>
  <c r="G639" i="10" l="1"/>
  <c r="D640" i="10"/>
  <c r="B639" i="10"/>
  <c r="C639" i="10" s="1"/>
  <c r="F639" i="10" s="1"/>
  <c r="E637" i="10"/>
  <c r="G640" i="10" l="1"/>
  <c r="D641" i="10"/>
  <c r="B640" i="10"/>
  <c r="C640" i="10" s="1"/>
  <c r="F640" i="10" s="1"/>
  <c r="E638" i="10"/>
  <c r="G641" i="10" l="1"/>
  <c r="D642" i="10"/>
  <c r="B641" i="10"/>
  <c r="C641" i="10" s="1"/>
  <c r="F641" i="10" s="1"/>
  <c r="E639" i="10"/>
  <c r="G642" i="10" l="1"/>
  <c r="D643" i="10"/>
  <c r="B642" i="10"/>
  <c r="C642" i="10" s="1"/>
  <c r="F642" i="10" s="1"/>
  <c r="E640" i="10"/>
  <c r="G643" i="10" l="1"/>
  <c r="D644" i="10"/>
  <c r="B643" i="10"/>
  <c r="C643" i="10" s="1"/>
  <c r="F643" i="10" s="1"/>
  <c r="E641" i="10"/>
  <c r="G644" i="10" l="1"/>
  <c r="D645" i="10"/>
  <c r="B644" i="10"/>
  <c r="C644" i="10" s="1"/>
  <c r="F644" i="10" s="1"/>
  <c r="E642" i="10"/>
  <c r="G645" i="10" l="1"/>
  <c r="D646" i="10"/>
  <c r="B645" i="10"/>
  <c r="C645" i="10" s="1"/>
  <c r="F645" i="10" s="1"/>
  <c r="E643" i="10"/>
  <c r="G646" i="10" l="1"/>
  <c r="D647" i="10"/>
  <c r="B646" i="10"/>
  <c r="C646" i="10" s="1"/>
  <c r="F646" i="10" s="1"/>
  <c r="E644" i="10"/>
  <c r="G647" i="10" l="1"/>
  <c r="D648" i="10"/>
  <c r="B647" i="10"/>
  <c r="C647" i="10" s="1"/>
  <c r="F647" i="10" s="1"/>
  <c r="E645" i="10"/>
  <c r="G648" i="10" l="1"/>
  <c r="D649" i="10"/>
  <c r="B648" i="10"/>
  <c r="C648" i="10" s="1"/>
  <c r="F648" i="10" s="1"/>
  <c r="E646" i="10"/>
  <c r="G649" i="10" l="1"/>
  <c r="D650" i="10"/>
  <c r="B649" i="10"/>
  <c r="C649" i="10" s="1"/>
  <c r="F649" i="10" s="1"/>
  <c r="E647" i="10"/>
  <c r="G650" i="10" l="1"/>
  <c r="D651" i="10"/>
  <c r="B650" i="10"/>
  <c r="C650" i="10" s="1"/>
  <c r="F650" i="10" s="1"/>
  <c r="E648" i="10"/>
  <c r="G651" i="10" l="1"/>
  <c r="D652" i="10"/>
  <c r="B651" i="10"/>
  <c r="C651" i="10" s="1"/>
  <c r="F651" i="10" s="1"/>
  <c r="E649" i="10"/>
  <c r="G652" i="10" l="1"/>
  <c r="D653" i="10"/>
  <c r="B652" i="10"/>
  <c r="C652" i="10" s="1"/>
  <c r="F652" i="10" s="1"/>
  <c r="E650" i="10"/>
  <c r="G653" i="10" l="1"/>
  <c r="D654" i="10"/>
  <c r="B653" i="10"/>
  <c r="C653" i="10" s="1"/>
  <c r="F653" i="10" s="1"/>
  <c r="E651" i="10"/>
  <c r="G654" i="10" l="1"/>
  <c r="D655" i="10"/>
  <c r="B654" i="10"/>
  <c r="C654" i="10" s="1"/>
  <c r="F654" i="10" s="1"/>
  <c r="E652" i="10"/>
  <c r="G655" i="10" l="1"/>
  <c r="D656" i="10"/>
  <c r="B655" i="10"/>
  <c r="C655" i="10" s="1"/>
  <c r="F655" i="10" s="1"/>
  <c r="E653" i="10"/>
  <c r="G656" i="10" l="1"/>
  <c r="D657" i="10"/>
  <c r="B656" i="10"/>
  <c r="C656" i="10" s="1"/>
  <c r="F656" i="10" s="1"/>
  <c r="E654" i="10"/>
  <c r="G657" i="10" l="1"/>
  <c r="D658" i="10"/>
  <c r="B657" i="10"/>
  <c r="C657" i="10" s="1"/>
  <c r="F657" i="10" s="1"/>
  <c r="E655" i="10"/>
  <c r="D659" i="10" l="1"/>
  <c r="G658" i="10"/>
  <c r="B658" i="10"/>
  <c r="C658" i="10" s="1"/>
  <c r="F658" i="10" s="1"/>
  <c r="E656" i="10"/>
  <c r="E657" i="10" l="1"/>
  <c r="D660" i="10"/>
  <c r="G659" i="10"/>
  <c r="B659" i="10"/>
  <c r="C659" i="10" s="1"/>
  <c r="F659" i="10" s="1"/>
  <c r="E658" i="10" l="1"/>
  <c r="D661" i="10"/>
  <c r="B660" i="10"/>
  <c r="C660" i="10" s="1"/>
  <c r="F660" i="10" s="1"/>
  <c r="G660" i="10"/>
  <c r="G661" i="10" l="1"/>
  <c r="B661" i="10"/>
  <c r="C661" i="10" s="1"/>
  <c r="F661" i="10" s="1"/>
  <c r="D662" i="10"/>
  <c r="E659" i="10"/>
  <c r="D663" i="10" l="1"/>
  <c r="B662" i="10"/>
  <c r="C662" i="10" s="1"/>
  <c r="F662" i="10" s="1"/>
  <c r="G662" i="10"/>
  <c r="E660" i="10"/>
  <c r="E661" i="10" l="1"/>
  <c r="G663" i="10"/>
  <c r="B663" i="10"/>
  <c r="C663" i="10" s="1"/>
  <c r="F663" i="10" s="1"/>
  <c r="D664" i="10"/>
  <c r="E662" i="10" l="1"/>
  <c r="D665" i="10"/>
  <c r="B664" i="10"/>
  <c r="C664" i="10" s="1"/>
  <c r="F664" i="10" s="1"/>
  <c r="G664" i="10"/>
  <c r="D666" i="10" l="1"/>
  <c r="G665" i="10"/>
  <c r="B665" i="10"/>
  <c r="C665" i="10" s="1"/>
  <c r="F665" i="10" s="1"/>
  <c r="E663" i="10"/>
  <c r="E664" i="10" l="1"/>
  <c r="D667" i="10"/>
  <c r="B666" i="10"/>
  <c r="C666" i="10" s="1"/>
  <c r="F666" i="10" s="1"/>
  <c r="G666" i="10"/>
  <c r="E665" i="10" l="1"/>
  <c r="D668" i="10"/>
  <c r="E666" i="10"/>
  <c r="G667" i="10"/>
  <c r="B667" i="10"/>
  <c r="C667" i="10" s="1"/>
  <c r="F667" i="10"/>
  <c r="D669" i="10" l="1"/>
  <c r="B668" i="10"/>
  <c r="C668" i="10" s="1"/>
  <c r="F668" i="10" s="1"/>
  <c r="E667" i="10"/>
  <c r="G668" i="10"/>
  <c r="G669" i="10" l="1"/>
  <c r="B669" i="10"/>
  <c r="C669" i="10" s="1"/>
  <c r="F669" i="10" s="1"/>
  <c r="D670" i="10"/>
  <c r="D671" i="10" l="1"/>
  <c r="B670" i="10"/>
  <c r="C670" i="10" s="1"/>
  <c r="F670" i="10" s="1"/>
  <c r="G670" i="10"/>
  <c r="E668" i="10"/>
  <c r="E669" i="10" l="1"/>
  <c r="G671" i="10"/>
  <c r="B671" i="10"/>
  <c r="C671" i="10" s="1"/>
  <c r="F671" i="10" s="1"/>
  <c r="D672" i="10"/>
  <c r="E670" i="10" l="1"/>
  <c r="D673" i="10"/>
  <c r="B672" i="10"/>
  <c r="C672" i="10" s="1"/>
  <c r="F672" i="10" s="1"/>
  <c r="G672" i="10"/>
  <c r="E671" i="10" l="1"/>
  <c r="D674" i="10"/>
  <c r="G673" i="10"/>
  <c r="B673" i="10"/>
  <c r="C673" i="10" s="1"/>
  <c r="F673" i="10" s="1"/>
  <c r="E672" i="10" l="1"/>
  <c r="D675" i="10"/>
  <c r="B674" i="10"/>
  <c r="C674" i="10" s="1"/>
  <c r="F674" i="10" s="1"/>
  <c r="G674" i="10"/>
  <c r="D676" i="10" l="1"/>
  <c r="G675" i="10"/>
  <c r="B675" i="10"/>
  <c r="C675" i="10" s="1"/>
  <c r="F675" i="10" s="1"/>
  <c r="E673" i="10"/>
  <c r="E674" i="10" l="1"/>
  <c r="D677" i="10"/>
  <c r="B676" i="10"/>
  <c r="C676" i="10" s="1"/>
  <c r="F676" i="10" s="1"/>
  <c r="G676" i="10"/>
  <c r="G677" i="10" l="1"/>
  <c r="B677" i="10"/>
  <c r="C677" i="10" s="1"/>
  <c r="F677" i="10" s="1"/>
  <c r="D678" i="10"/>
  <c r="E675" i="10"/>
  <c r="D679" i="10" l="1"/>
  <c r="B678" i="10"/>
  <c r="C678" i="10" s="1"/>
  <c r="F678" i="10" s="1"/>
  <c r="G678" i="10"/>
  <c r="E676" i="10"/>
  <c r="E677" i="10" l="1"/>
  <c r="G679" i="10"/>
  <c r="B679" i="10"/>
  <c r="C679" i="10" s="1"/>
  <c r="F679" i="10" s="1"/>
  <c r="D680" i="10"/>
  <c r="E678" i="10" l="1"/>
  <c r="D681" i="10"/>
  <c r="B680" i="10"/>
  <c r="C680" i="10" s="1"/>
  <c r="F680" i="10" s="1"/>
  <c r="G680" i="10"/>
  <c r="D682" i="10" l="1"/>
  <c r="G681" i="10"/>
  <c r="B681" i="10"/>
  <c r="C681" i="10" s="1"/>
  <c r="F681" i="10" s="1"/>
  <c r="E679" i="10"/>
  <c r="E680" i="10" l="1"/>
  <c r="D683" i="10"/>
  <c r="B682" i="10"/>
  <c r="C682" i="10" s="1"/>
  <c r="F682" i="10" s="1"/>
  <c r="G682" i="10"/>
  <c r="E681" i="10" l="1"/>
  <c r="D684" i="10"/>
  <c r="E682" i="10"/>
  <c r="G683" i="10"/>
  <c r="B683" i="10"/>
  <c r="C683" i="10" s="1"/>
  <c r="F683" i="10"/>
  <c r="D685" i="10" l="1"/>
  <c r="B684" i="10"/>
  <c r="C684" i="10" s="1"/>
  <c r="F684" i="10" s="1"/>
  <c r="G684" i="10"/>
  <c r="E683" i="10" l="1"/>
  <c r="G685" i="10"/>
  <c r="B685" i="10"/>
  <c r="C685" i="10" s="1"/>
  <c r="F685" i="10" s="1"/>
  <c r="D686" i="10"/>
  <c r="D687" i="10" l="1"/>
  <c r="B686" i="10"/>
  <c r="C686" i="10" s="1"/>
  <c r="F686" i="10" s="1"/>
  <c r="G686" i="10"/>
  <c r="E684" i="10"/>
  <c r="E685" i="10" l="1"/>
  <c r="G687" i="10"/>
  <c r="B687" i="10"/>
  <c r="C687" i="10" s="1"/>
  <c r="F687" i="10" s="1"/>
  <c r="D688" i="10"/>
  <c r="E686" i="10" l="1"/>
  <c r="D689" i="10"/>
  <c r="B688" i="10"/>
  <c r="C688" i="10" s="1"/>
  <c r="F688" i="10" s="1"/>
  <c r="G688" i="10"/>
  <c r="D690" i="10" l="1"/>
  <c r="G689" i="10"/>
  <c r="B689" i="10"/>
  <c r="C689" i="10" s="1"/>
  <c r="F689" i="10" s="1"/>
  <c r="E687" i="10"/>
  <c r="E688" i="10" l="1"/>
  <c r="D691" i="10"/>
  <c r="B690" i="10"/>
  <c r="C690" i="10" s="1"/>
  <c r="F690" i="10" s="1"/>
  <c r="G690" i="10"/>
  <c r="E689" i="10" l="1"/>
  <c r="D692" i="10"/>
  <c r="E690" i="10"/>
  <c r="G691" i="10"/>
  <c r="B691" i="10"/>
  <c r="C691" i="10" s="1"/>
  <c r="F691" i="10"/>
  <c r="D693" i="10" l="1"/>
  <c r="B692" i="10"/>
  <c r="C692" i="10" s="1"/>
  <c r="F692" i="10" s="1"/>
  <c r="G692" i="10"/>
  <c r="E691" i="10" l="1"/>
  <c r="G693" i="10"/>
  <c r="B693" i="10"/>
  <c r="C693" i="10" s="1"/>
  <c r="F693" i="10" s="1"/>
  <c r="D694" i="10"/>
  <c r="E692" i="10" l="1"/>
  <c r="D695" i="10"/>
  <c r="B694" i="10"/>
  <c r="C694" i="10" s="1"/>
  <c r="F694" i="10" s="1"/>
  <c r="G694" i="10"/>
  <c r="E693" i="10" l="1"/>
  <c r="G695" i="10"/>
  <c r="B695" i="10"/>
  <c r="C695" i="10" s="1"/>
  <c r="F695" i="10" s="1"/>
  <c r="D696" i="10"/>
  <c r="E694" i="10" l="1"/>
  <c r="D697" i="10"/>
  <c r="B696" i="10"/>
  <c r="C696" i="10" s="1"/>
  <c r="F696" i="10" s="1"/>
  <c r="G696" i="10"/>
  <c r="E695" i="10" l="1"/>
  <c r="D698" i="10"/>
  <c r="G697" i="10"/>
  <c r="B697" i="10"/>
  <c r="C697" i="10" s="1"/>
  <c r="F697" i="10" s="1"/>
  <c r="E696" i="10" l="1"/>
  <c r="D699" i="10"/>
  <c r="B698" i="10"/>
  <c r="C698" i="10" s="1"/>
  <c r="F698" i="10" s="1"/>
  <c r="G698" i="10"/>
  <c r="D700" i="10" l="1"/>
  <c r="G699" i="10"/>
  <c r="B699" i="10"/>
  <c r="C699" i="10" s="1"/>
  <c r="F699" i="10" s="1"/>
  <c r="E697" i="10"/>
  <c r="E698" i="10" l="1"/>
  <c r="D701" i="10"/>
  <c r="B700" i="10"/>
  <c r="C700" i="10" s="1"/>
  <c r="F700" i="10" s="1"/>
  <c r="G700" i="10"/>
  <c r="G701" i="10" l="1"/>
  <c r="B701" i="10"/>
  <c r="C701" i="10" s="1"/>
  <c r="F701" i="10" s="1"/>
  <c r="D702" i="10"/>
  <c r="E699" i="10"/>
  <c r="D703" i="10" l="1"/>
  <c r="B702" i="10"/>
  <c r="C702" i="10" s="1"/>
  <c r="F702" i="10" s="1"/>
  <c r="G702" i="10"/>
  <c r="E700" i="10"/>
  <c r="E701" i="10" l="1"/>
  <c r="G703" i="10"/>
  <c r="B703" i="10"/>
  <c r="C703" i="10" s="1"/>
  <c r="F703" i="10" s="1"/>
  <c r="D704" i="10"/>
  <c r="E702" i="10" l="1"/>
  <c r="D705" i="10"/>
  <c r="B704" i="10"/>
  <c r="C704" i="10" s="1"/>
  <c r="F704" i="10" s="1"/>
  <c r="G704" i="10"/>
  <c r="D706" i="10" l="1"/>
  <c r="G705" i="10"/>
  <c r="B705" i="10"/>
  <c r="C705" i="10" s="1"/>
  <c r="F705" i="10" s="1"/>
  <c r="E703" i="10"/>
  <c r="E704" i="10" l="1"/>
  <c r="D707" i="10"/>
  <c r="B706" i="10"/>
  <c r="C706" i="10" s="1"/>
  <c r="F706" i="10" s="1"/>
  <c r="G706" i="10"/>
  <c r="E705" i="10" l="1"/>
  <c r="D708" i="10"/>
  <c r="G707" i="10"/>
  <c r="B707" i="10"/>
  <c r="C707" i="10" s="1"/>
  <c r="F707" i="10" s="1"/>
  <c r="E706" i="10" l="1"/>
  <c r="D709" i="10"/>
  <c r="B708" i="10"/>
  <c r="C708" i="10" s="1"/>
  <c r="F708" i="10" s="1"/>
  <c r="G708" i="10"/>
  <c r="E707" i="10" l="1"/>
  <c r="G709" i="10"/>
  <c r="B709" i="10"/>
  <c r="C709" i="10" s="1"/>
  <c r="F709" i="10" s="1"/>
  <c r="D710" i="10"/>
  <c r="E708" i="10" l="1"/>
  <c r="D711" i="10"/>
  <c r="B710" i="10"/>
  <c r="C710" i="10" s="1"/>
  <c r="F710" i="10" s="1"/>
  <c r="G710" i="10"/>
  <c r="G711" i="10" l="1"/>
  <c r="B711" i="10"/>
  <c r="C711" i="10" s="1"/>
  <c r="F711" i="10" s="1"/>
  <c r="D712" i="10"/>
  <c r="E709" i="10"/>
  <c r="D713" i="10" l="1"/>
  <c r="B712" i="10"/>
  <c r="C712" i="10" s="1"/>
  <c r="F712" i="10" s="1"/>
  <c r="G712" i="10"/>
  <c r="E710" i="10"/>
  <c r="E711" i="10" l="1"/>
  <c r="D714" i="10"/>
  <c r="G713" i="10"/>
  <c r="B713" i="10"/>
  <c r="C713" i="10" s="1"/>
  <c r="F713" i="10" s="1"/>
  <c r="D715" i="10" l="1"/>
  <c r="B714" i="10"/>
  <c r="C714" i="10" s="1"/>
  <c r="F714" i="10" s="1"/>
  <c r="G714" i="10"/>
  <c r="E712" i="10"/>
  <c r="E713" i="10" l="1"/>
  <c r="D716" i="10"/>
  <c r="G715" i="10"/>
  <c r="B715" i="10"/>
  <c r="C715" i="10" s="1"/>
  <c r="F715" i="10" s="1"/>
  <c r="E714" i="10" l="1"/>
  <c r="D717" i="10"/>
  <c r="B716" i="10"/>
  <c r="C716" i="10" s="1"/>
  <c r="F716" i="10" s="1"/>
  <c r="E715" i="10"/>
  <c r="G716" i="10"/>
  <c r="G717" i="10" l="1"/>
  <c r="B717" i="10"/>
  <c r="C717" i="10" s="1"/>
  <c r="F717" i="10" s="1"/>
  <c r="D718" i="10"/>
  <c r="D719" i="10" l="1"/>
  <c r="B718" i="10"/>
  <c r="C718" i="10" s="1"/>
  <c r="F718" i="10" s="1"/>
  <c r="G718" i="10"/>
  <c r="E716" i="10"/>
  <c r="E717" i="10" l="1"/>
  <c r="D720" i="10"/>
  <c r="B719" i="10"/>
  <c r="C719" i="10" s="1"/>
  <c r="F719" i="10" s="1"/>
  <c r="G719" i="10"/>
  <c r="D721" i="10" l="1"/>
  <c r="B720" i="10"/>
  <c r="C720" i="10" s="1"/>
  <c r="F720" i="10" s="1"/>
  <c r="G720" i="10"/>
  <c r="E718" i="10"/>
  <c r="E719" i="10" l="1"/>
  <c r="G721" i="10"/>
  <c r="D722" i="10"/>
  <c r="B721" i="10"/>
  <c r="C721" i="10" s="1"/>
  <c r="F721" i="10" s="1"/>
  <c r="E720" i="10" l="1"/>
  <c r="G722" i="10"/>
  <c r="B722" i="10"/>
  <c r="C722" i="10" s="1"/>
  <c r="F722" i="10" s="1"/>
  <c r="D723" i="10"/>
  <c r="G723" i="10" l="1"/>
  <c r="D724" i="10"/>
  <c r="B723" i="10"/>
  <c r="C723" i="10" s="1"/>
  <c r="F723" i="10" s="1"/>
  <c r="E721" i="10"/>
  <c r="D725" i="10" l="1"/>
  <c r="G724" i="10"/>
  <c r="B724" i="10"/>
  <c r="C724" i="10" s="1"/>
  <c r="F724" i="10" s="1"/>
  <c r="E722" i="10"/>
  <c r="E723" i="10" l="1"/>
  <c r="G725" i="10"/>
  <c r="D726" i="10"/>
  <c r="B725" i="10"/>
  <c r="C725" i="10" s="1"/>
  <c r="F725" i="10" s="1"/>
  <c r="E724" i="10" l="1"/>
  <c r="D727" i="10"/>
  <c r="E725" i="10"/>
  <c r="G726" i="10"/>
  <c r="B726" i="10"/>
  <c r="C726" i="10" s="1"/>
  <c r="F726" i="10" s="1"/>
  <c r="G727" i="10" l="1"/>
  <c r="B727" i="10"/>
  <c r="C727" i="10" s="1"/>
  <c r="F727" i="10" s="1"/>
  <c r="D728" i="10"/>
  <c r="E726" i="10" l="1"/>
  <c r="G728" i="10"/>
  <c r="B728" i="10"/>
  <c r="C728" i="10" s="1"/>
  <c r="F728" i="10" s="1"/>
  <c r="D729" i="10"/>
  <c r="E727" i="10" l="1"/>
  <c r="G729" i="10"/>
  <c r="B729" i="10"/>
  <c r="C729" i="10" s="1"/>
  <c r="F729" i="10" s="1"/>
  <c r="D730" i="10"/>
  <c r="E728" i="10" l="1"/>
  <c r="G730" i="10"/>
  <c r="B730" i="10"/>
  <c r="C730" i="10" s="1"/>
  <c r="F730" i="10" s="1"/>
  <c r="D731" i="10"/>
  <c r="E729" i="10" l="1"/>
  <c r="G731" i="10"/>
  <c r="D732" i="10"/>
  <c r="B731" i="10"/>
  <c r="C731" i="10" s="1"/>
  <c r="F731" i="10" s="1"/>
  <c r="E730" i="10" l="1"/>
  <c r="D733" i="10"/>
  <c r="G732" i="10"/>
  <c r="B732" i="10"/>
  <c r="C732" i="10" s="1"/>
  <c r="F732" i="10" s="1"/>
  <c r="G733" i="10" l="1"/>
  <c r="D734" i="10"/>
  <c r="B733" i="10"/>
  <c r="C733" i="10" s="1"/>
  <c r="F733" i="10" s="1"/>
  <c r="E731" i="10"/>
  <c r="D735" i="10" l="1"/>
  <c r="G734" i="10"/>
  <c r="B734" i="10"/>
  <c r="C734" i="10" s="1"/>
  <c r="F734" i="10" s="1"/>
  <c r="E732" i="10"/>
  <c r="E733" i="10" l="1"/>
  <c r="G735" i="10"/>
  <c r="B735" i="10"/>
  <c r="C735" i="10" s="1"/>
  <c r="F735" i="10" s="1"/>
  <c r="D736" i="10"/>
  <c r="E734" i="10" l="1"/>
  <c r="G736" i="10"/>
  <c r="B736" i="10"/>
  <c r="C736" i="10" s="1"/>
  <c r="F736" i="10" s="1"/>
  <c r="D737" i="10"/>
  <c r="E735" i="10" l="1"/>
  <c r="G737" i="10"/>
  <c r="B737" i="10"/>
  <c r="C737" i="10" s="1"/>
  <c r="F737" i="10" s="1"/>
  <c r="D738" i="10"/>
  <c r="E736" i="10" l="1"/>
  <c r="G738" i="10"/>
  <c r="B738" i="10"/>
  <c r="C738" i="10" s="1"/>
  <c r="F738" i="10" s="1"/>
  <c r="D739" i="10"/>
  <c r="E737" i="10" l="1"/>
  <c r="G739" i="10"/>
  <c r="D740" i="10"/>
  <c r="B739" i="10"/>
  <c r="C739" i="10" s="1"/>
  <c r="F739" i="10" s="1"/>
  <c r="E738" i="10" l="1"/>
  <c r="D741" i="10"/>
  <c r="G740" i="10"/>
  <c r="B740" i="10"/>
  <c r="C740" i="10" s="1"/>
  <c r="F740" i="10" s="1"/>
  <c r="E739" i="10" l="1"/>
  <c r="G741" i="10"/>
  <c r="D742" i="10"/>
  <c r="B741" i="10"/>
  <c r="C741" i="10" s="1"/>
  <c r="F741" i="10" s="1"/>
  <c r="E740" i="10" l="1"/>
  <c r="D743" i="10"/>
  <c r="G742" i="10"/>
  <c r="B742" i="10"/>
  <c r="C742" i="10" s="1"/>
  <c r="F742" i="10" s="1"/>
  <c r="E741" i="10" l="1"/>
  <c r="G743" i="10"/>
  <c r="B743" i="10"/>
  <c r="C743" i="10" s="1"/>
  <c r="F743" i="10" s="1"/>
  <c r="D744" i="10"/>
  <c r="E742" i="10" l="1"/>
  <c r="G744" i="10"/>
  <c r="B744" i="10"/>
  <c r="C744" i="10" s="1"/>
  <c r="F744" i="10" s="1"/>
  <c r="D745" i="10"/>
  <c r="E743" i="10" l="1"/>
  <c r="G745" i="10"/>
  <c r="B745" i="10"/>
  <c r="C745" i="10" s="1"/>
  <c r="F745" i="10" s="1"/>
  <c r="D746" i="10"/>
  <c r="E744" i="10" l="1"/>
  <c r="G746" i="10"/>
  <c r="B746" i="10"/>
  <c r="C746" i="10" s="1"/>
  <c r="F746" i="10" s="1"/>
  <c r="D747" i="10"/>
  <c r="E745" i="10" l="1"/>
  <c r="G747" i="10"/>
  <c r="D748" i="10"/>
  <c r="B747" i="10"/>
  <c r="C747" i="10" s="1"/>
  <c r="F747" i="10" s="1"/>
  <c r="E746" i="10" l="1"/>
  <c r="D749" i="10"/>
  <c r="E747" i="10"/>
  <c r="G748" i="10"/>
  <c r="B748" i="10"/>
  <c r="C748" i="10" s="1"/>
  <c r="F748" i="10" s="1"/>
  <c r="G749" i="10" l="1"/>
  <c r="D750" i="10"/>
  <c r="B749" i="10"/>
  <c r="C749" i="10" s="1"/>
  <c r="F749" i="10" s="1"/>
  <c r="E748" i="10" l="1"/>
  <c r="D751" i="10"/>
  <c r="E749" i="10"/>
  <c r="G750" i="10"/>
  <c r="B750" i="10"/>
  <c r="C750" i="10" s="1"/>
  <c r="F750" i="10"/>
  <c r="G751" i="10" l="1"/>
  <c r="B751" i="10"/>
  <c r="C751" i="10" s="1"/>
  <c r="F751" i="10" s="1"/>
  <c r="D752" i="10"/>
  <c r="E750" i="10" l="1"/>
  <c r="G752" i="10"/>
  <c r="B752" i="10"/>
  <c r="C752" i="10" s="1"/>
  <c r="F752" i="10" s="1"/>
  <c r="D753" i="10"/>
  <c r="E751" i="10" l="1"/>
  <c r="G753" i="10"/>
  <c r="B753" i="10"/>
  <c r="C753" i="10" s="1"/>
  <c r="F753" i="10" s="1"/>
  <c r="D754" i="10"/>
  <c r="E752" i="10" l="1"/>
  <c r="G754" i="10"/>
  <c r="B754" i="10"/>
  <c r="C754" i="10" s="1"/>
  <c r="F754" i="10" s="1"/>
  <c r="D755" i="10"/>
  <c r="E753" i="10" l="1"/>
  <c r="G755" i="10"/>
  <c r="D756" i="10"/>
  <c r="B755" i="10"/>
  <c r="C755" i="10" s="1"/>
  <c r="F755" i="10" s="1"/>
  <c r="E754" i="10" l="1"/>
  <c r="D757" i="10"/>
  <c r="G756" i="10"/>
  <c r="B756" i="10"/>
  <c r="C756" i="10" s="1"/>
  <c r="F756" i="10" s="1"/>
  <c r="E755" i="10" l="1"/>
  <c r="G757" i="10"/>
  <c r="D758" i="10"/>
  <c r="B757" i="10"/>
  <c r="C757" i="10" s="1"/>
  <c r="F757" i="10" s="1"/>
  <c r="E756" i="10" l="1"/>
  <c r="D759" i="10"/>
  <c r="G758" i="10"/>
  <c r="B758" i="10"/>
  <c r="C758" i="10" s="1"/>
  <c r="F758" i="10" s="1"/>
  <c r="E757" i="10" l="1"/>
  <c r="G759" i="10"/>
  <c r="B759" i="10"/>
  <c r="C759" i="10" s="1"/>
  <c r="F759" i="10" s="1"/>
  <c r="D760" i="10"/>
  <c r="E758" i="10" l="1"/>
  <c r="G760" i="10"/>
  <c r="B760" i="10"/>
  <c r="C760" i="10" s="1"/>
  <c r="F760" i="10" s="1"/>
  <c r="D761" i="10"/>
  <c r="E759" i="10" l="1"/>
  <c r="G761" i="10"/>
  <c r="B761" i="10"/>
  <c r="C761" i="10" s="1"/>
  <c r="F761" i="10" s="1"/>
  <c r="D762" i="10"/>
  <c r="E760" i="10" l="1"/>
  <c r="G762" i="10"/>
  <c r="B762" i="10"/>
  <c r="C762" i="10" s="1"/>
  <c r="F762" i="10" s="1"/>
  <c r="D763" i="10"/>
  <c r="E761" i="10" l="1"/>
  <c r="G763" i="10"/>
  <c r="D764" i="10"/>
  <c r="B763" i="10"/>
  <c r="C763" i="10" s="1"/>
  <c r="F763" i="10" s="1"/>
  <c r="E762" i="10" l="1"/>
  <c r="D765" i="10"/>
  <c r="G764" i="10"/>
  <c r="B764" i="10"/>
  <c r="C764" i="10" s="1"/>
  <c r="F764" i="10" s="1"/>
  <c r="E763" i="10" l="1"/>
  <c r="G765" i="10"/>
  <c r="D766" i="10"/>
  <c r="B765" i="10"/>
  <c r="C765" i="10" s="1"/>
  <c r="F765" i="10" s="1"/>
  <c r="E764" i="10" l="1"/>
  <c r="D767" i="10"/>
  <c r="E765" i="10"/>
  <c r="G766" i="10"/>
  <c r="B766" i="10"/>
  <c r="C766" i="10" s="1"/>
  <c r="F766" i="10"/>
  <c r="G767" i="10" l="1"/>
  <c r="B767" i="10"/>
  <c r="C767" i="10" s="1"/>
  <c r="F767" i="10" s="1"/>
  <c r="D768" i="10"/>
  <c r="E766" i="10" l="1"/>
  <c r="G768" i="10"/>
  <c r="B768" i="10"/>
  <c r="C768" i="10" s="1"/>
  <c r="F768" i="10" s="1"/>
  <c r="D769" i="10"/>
  <c r="E767" i="10" l="1"/>
  <c r="G769" i="10"/>
  <c r="B769" i="10"/>
  <c r="C769" i="10" s="1"/>
  <c r="F769" i="10" s="1"/>
  <c r="D770" i="10"/>
  <c r="E768" i="10" l="1"/>
  <c r="G770" i="10"/>
  <c r="B770" i="10"/>
  <c r="C770" i="10" s="1"/>
  <c r="F770" i="10" s="1"/>
  <c r="D771" i="10"/>
  <c r="E769" i="10" l="1"/>
  <c r="G771" i="10"/>
  <c r="D772" i="10"/>
  <c r="B771" i="10"/>
  <c r="C771" i="10" s="1"/>
  <c r="F771" i="10" s="1"/>
  <c r="E770" i="10" l="1"/>
  <c r="D773" i="10"/>
  <c r="E771" i="10"/>
  <c r="G772" i="10"/>
  <c r="B772" i="10"/>
  <c r="C772" i="10" s="1"/>
  <c r="F772" i="10" s="1"/>
  <c r="G773" i="10" l="1"/>
  <c r="D774" i="10"/>
  <c r="B773" i="10"/>
  <c r="C773" i="10" s="1"/>
  <c r="F773" i="10" s="1"/>
  <c r="E772" i="10" l="1"/>
  <c r="D775" i="10"/>
  <c r="E773" i="10"/>
  <c r="G774" i="10"/>
  <c r="B774" i="10"/>
  <c r="C774" i="10" s="1"/>
  <c r="F774" i="10"/>
  <c r="G775" i="10" l="1"/>
  <c r="B775" i="10"/>
  <c r="C775" i="10" s="1"/>
  <c r="F775" i="10" s="1"/>
  <c r="D776" i="10"/>
  <c r="E774" i="10" l="1"/>
  <c r="G776" i="10"/>
  <c r="B776" i="10"/>
  <c r="C776" i="10" s="1"/>
  <c r="F776" i="10" s="1"/>
  <c r="D777" i="10"/>
  <c r="E775" i="10" l="1"/>
  <c r="G777" i="10"/>
  <c r="E776" i="10"/>
  <c r="D778" i="10"/>
  <c r="B777" i="10"/>
  <c r="C777" i="10" s="1"/>
  <c r="F777" i="10" s="1"/>
  <c r="D779" i="10" l="1"/>
  <c r="B778" i="10"/>
  <c r="C778" i="10" s="1"/>
  <c r="F778" i="10" s="1"/>
  <c r="G778" i="10"/>
  <c r="E777" i="10" l="1"/>
  <c r="G779" i="10"/>
  <c r="E778" i="10"/>
  <c r="D780" i="10"/>
  <c r="B779" i="10"/>
  <c r="C779" i="10" s="1"/>
  <c r="F779" i="10" s="1"/>
  <c r="G780" i="10" l="1"/>
  <c r="D781" i="10"/>
  <c r="B780" i="10"/>
  <c r="C780" i="10" s="1"/>
  <c r="F780" i="10" s="1"/>
  <c r="E779" i="10" l="1"/>
  <c r="G781" i="10"/>
  <c r="D782" i="10"/>
  <c r="B781" i="10"/>
  <c r="C781" i="10" s="1"/>
  <c r="F781" i="10" s="1"/>
  <c r="E780" i="10" l="1"/>
  <c r="D783" i="10"/>
  <c r="B782" i="10"/>
  <c r="C782" i="10" s="1"/>
  <c r="F782" i="10" s="1"/>
  <c r="G782" i="10"/>
  <c r="G783" i="10" l="1"/>
  <c r="D784" i="10"/>
  <c r="B783" i="10"/>
  <c r="C783" i="10" s="1"/>
  <c r="F783" i="10" s="1"/>
  <c r="E781" i="10"/>
  <c r="G784" i="10" l="1"/>
  <c r="D785" i="10"/>
  <c r="B784" i="10"/>
  <c r="C784" i="10" s="1"/>
  <c r="F784" i="10" s="1"/>
  <c r="E782" i="10"/>
  <c r="G785" i="10" l="1"/>
  <c r="D786" i="10"/>
  <c r="B785" i="10"/>
  <c r="C785" i="10" s="1"/>
  <c r="F785" i="10" s="1"/>
  <c r="E783" i="10"/>
  <c r="E784" i="10" l="1"/>
  <c r="D787" i="10"/>
  <c r="B786" i="10"/>
  <c r="C786" i="10" s="1"/>
  <c r="F786" i="10" s="1"/>
  <c r="G786" i="10"/>
  <c r="G787" i="10" l="1"/>
  <c r="D788" i="10"/>
  <c r="B787" i="10"/>
  <c r="C787" i="10" s="1"/>
  <c r="F787" i="10" s="1"/>
  <c r="E785" i="10"/>
  <c r="G788" i="10" l="1"/>
  <c r="D789" i="10"/>
  <c r="B788" i="10"/>
  <c r="C788" i="10" s="1"/>
  <c r="F788" i="10" s="1"/>
  <c r="E786" i="10"/>
  <c r="E787" i="10" l="1"/>
  <c r="G789" i="10"/>
  <c r="E788" i="10"/>
  <c r="D790" i="10"/>
  <c r="B789" i="10"/>
  <c r="C789" i="10" s="1"/>
  <c r="F789" i="10" s="1"/>
  <c r="D791" i="10" l="1"/>
  <c r="B790" i="10"/>
  <c r="C790" i="10" s="1"/>
  <c r="F790" i="10" s="1"/>
  <c r="G790" i="10"/>
  <c r="E789" i="10" l="1"/>
  <c r="G791" i="10"/>
  <c r="D792" i="10"/>
  <c r="B791" i="10"/>
  <c r="C791" i="10" s="1"/>
  <c r="F791" i="10" s="1"/>
  <c r="E790" i="10" l="1"/>
  <c r="G792" i="10"/>
  <c r="D793" i="10"/>
  <c r="B792" i="10"/>
  <c r="C792" i="10" s="1"/>
  <c r="F792" i="10" s="1"/>
  <c r="E791" i="10" l="1"/>
  <c r="G793" i="10"/>
  <c r="B793" i="10"/>
  <c r="C793" i="10" s="1"/>
  <c r="F793" i="10" s="1"/>
  <c r="D794" i="10"/>
  <c r="G794" i="10" l="1"/>
  <c r="B794" i="10"/>
  <c r="C794" i="10" s="1"/>
  <c r="F794" i="10" s="1"/>
  <c r="D795" i="10"/>
  <c r="E792" i="10"/>
  <c r="E793" i="10" l="1"/>
  <c r="G795" i="10"/>
  <c r="B795" i="10"/>
  <c r="C795" i="10" s="1"/>
  <c r="F795" i="10" s="1"/>
  <c r="D796" i="10"/>
  <c r="E794" i="10" l="1"/>
  <c r="G796" i="10"/>
  <c r="D797" i="10"/>
  <c r="B796" i="10"/>
  <c r="C796" i="10" s="1"/>
  <c r="F796" i="10" s="1"/>
  <c r="E795" i="10" l="1"/>
  <c r="D798" i="10"/>
  <c r="G797" i="10"/>
  <c r="B797" i="10"/>
  <c r="C797" i="10" s="1"/>
  <c r="F797" i="10" s="1"/>
  <c r="E796" i="10" l="1"/>
  <c r="G798" i="10"/>
  <c r="D799" i="10"/>
  <c r="B798" i="10"/>
  <c r="C798" i="10" s="1"/>
  <c r="F798" i="10" s="1"/>
  <c r="E797" i="10" l="1"/>
  <c r="D800" i="10"/>
  <c r="G799" i="10"/>
  <c r="B799" i="10"/>
  <c r="C799" i="10" s="1"/>
  <c r="F799" i="10" s="1"/>
  <c r="E798" i="10" l="1"/>
  <c r="G800" i="10"/>
  <c r="B800" i="10"/>
  <c r="C800" i="10" s="1"/>
  <c r="F800" i="10" s="1"/>
  <c r="D801" i="10"/>
  <c r="E799" i="10" l="1"/>
  <c r="G801" i="10"/>
  <c r="B801" i="10"/>
  <c r="C801" i="10" s="1"/>
  <c r="F801" i="10" s="1"/>
  <c r="D802" i="10"/>
  <c r="E800" i="10" l="1"/>
  <c r="G802" i="10"/>
  <c r="B802" i="10"/>
  <c r="C802" i="10" s="1"/>
  <c r="F802" i="10" s="1"/>
  <c r="D803" i="10"/>
  <c r="E801" i="10" l="1"/>
  <c r="G803" i="10"/>
  <c r="B803" i="10"/>
  <c r="C803" i="10" s="1"/>
  <c r="F803" i="10" s="1"/>
  <c r="D804" i="10"/>
  <c r="E802" i="10" l="1"/>
  <c r="G804" i="10"/>
  <c r="D805" i="10"/>
  <c r="B804" i="10"/>
  <c r="C804" i="10" s="1"/>
  <c r="F804" i="10" s="1"/>
  <c r="E803" i="10" l="1"/>
  <c r="D806" i="10"/>
  <c r="G805" i="10"/>
  <c r="B805" i="10"/>
  <c r="C805" i="10" s="1"/>
  <c r="F805" i="10" s="1"/>
  <c r="E804" i="10" l="1"/>
  <c r="G806" i="10"/>
  <c r="D807" i="10"/>
  <c r="B806" i="10"/>
  <c r="C806" i="10" s="1"/>
  <c r="F806" i="10" s="1"/>
  <c r="E805" i="10" l="1"/>
  <c r="D808" i="10"/>
  <c r="E806" i="10"/>
  <c r="G807" i="10"/>
  <c r="B807" i="10"/>
  <c r="C807" i="10" s="1"/>
  <c r="F807" i="10" s="1"/>
  <c r="G808" i="10" l="1"/>
  <c r="B808" i="10"/>
  <c r="C808" i="10" s="1"/>
  <c r="F808" i="10" s="1"/>
  <c r="D809" i="10"/>
  <c r="E807" i="10" l="1"/>
  <c r="G809" i="10"/>
  <c r="B809" i="10"/>
  <c r="C809" i="10" s="1"/>
  <c r="F809" i="10" s="1"/>
  <c r="D810" i="10"/>
  <c r="E808" i="10" l="1"/>
  <c r="G810" i="10"/>
  <c r="B810" i="10"/>
  <c r="C810" i="10" s="1"/>
  <c r="F810" i="10" s="1"/>
  <c r="D811" i="10"/>
  <c r="E809" i="10" l="1"/>
  <c r="G811" i="10"/>
  <c r="B811" i="10"/>
  <c r="C811" i="10" s="1"/>
  <c r="F811" i="10" s="1"/>
  <c r="D812" i="10"/>
  <c r="E810" i="10" l="1"/>
  <c r="G812" i="10"/>
  <c r="F812" i="10"/>
  <c r="D813" i="10"/>
  <c r="B812" i="10"/>
  <c r="C812" i="10" s="1"/>
  <c r="E811" i="10" l="1"/>
  <c r="D814" i="10"/>
  <c r="E812" i="10"/>
  <c r="G813" i="10"/>
  <c r="B813" i="10"/>
  <c r="C813" i="10" s="1"/>
  <c r="F813" i="10" s="1"/>
  <c r="G814" i="10" l="1"/>
  <c r="D815" i="10"/>
  <c r="B814" i="10"/>
  <c r="C814" i="10" s="1"/>
  <c r="F814" i="10" s="1"/>
  <c r="E813" i="10" l="1"/>
  <c r="D816" i="10"/>
  <c r="E814" i="10"/>
  <c r="G815" i="10"/>
  <c r="B815" i="10"/>
  <c r="C815" i="10" s="1"/>
  <c r="F815" i="10"/>
  <c r="G816" i="10" l="1"/>
  <c r="B816" i="10"/>
  <c r="C816" i="10" s="1"/>
  <c r="F816" i="10" s="1"/>
  <c r="D817" i="10"/>
  <c r="E815" i="10" l="1"/>
  <c r="G817" i="10"/>
  <c r="B817" i="10"/>
  <c r="C817" i="10" s="1"/>
  <c r="F817" i="10" s="1"/>
  <c r="D818" i="10"/>
  <c r="E816" i="10" l="1"/>
  <c r="G818" i="10"/>
  <c r="B818" i="10"/>
  <c r="C818" i="10" s="1"/>
  <c r="F818" i="10" s="1"/>
  <c r="D819" i="10"/>
  <c r="E817" i="10" l="1"/>
  <c r="G819" i="10"/>
  <c r="B819" i="10"/>
  <c r="C819" i="10" s="1"/>
  <c r="F819" i="10" s="1"/>
  <c r="D820" i="10"/>
  <c r="E818" i="10" l="1"/>
  <c r="G820" i="10"/>
  <c r="D821" i="10"/>
  <c r="B820" i="10"/>
  <c r="C820" i="10" s="1"/>
  <c r="F820" i="10" s="1"/>
  <c r="E819" i="10" l="1"/>
  <c r="D822" i="10"/>
  <c r="G821" i="10"/>
  <c r="B821" i="10"/>
  <c r="C821" i="10" s="1"/>
  <c r="F821" i="10" s="1"/>
  <c r="G822" i="10" l="1"/>
  <c r="D823" i="10"/>
  <c r="B822" i="10"/>
  <c r="C822" i="10" s="1"/>
  <c r="F822" i="10" s="1"/>
  <c r="E820" i="10"/>
  <c r="D824" i="10" l="1"/>
  <c r="G823" i="10"/>
  <c r="B823" i="10"/>
  <c r="C823" i="10" s="1"/>
  <c r="F823" i="10" s="1"/>
  <c r="E821" i="10"/>
  <c r="E822" i="10" l="1"/>
  <c r="G824" i="10"/>
  <c r="B824" i="10"/>
  <c r="C824" i="10" s="1"/>
  <c r="F824" i="10" s="1"/>
  <c r="D825" i="10"/>
  <c r="E823" i="10" l="1"/>
  <c r="G825" i="10"/>
  <c r="B825" i="10"/>
  <c r="C825" i="10" s="1"/>
  <c r="F825" i="10" s="1"/>
  <c r="D826" i="10"/>
  <c r="E824" i="10" l="1"/>
  <c r="G826" i="10"/>
  <c r="B826" i="10"/>
  <c r="C826" i="10" s="1"/>
  <c r="F826" i="10" s="1"/>
  <c r="D827" i="10"/>
  <c r="E825" i="10" l="1"/>
  <c r="G827" i="10"/>
  <c r="B827" i="10"/>
  <c r="C827" i="10" s="1"/>
  <c r="F827" i="10" s="1"/>
  <c r="D828" i="10"/>
  <c r="E826" i="10" l="1"/>
  <c r="G828" i="10"/>
  <c r="F828" i="10"/>
  <c r="D829" i="10"/>
  <c r="B828" i="10"/>
  <c r="C828" i="10" s="1"/>
  <c r="E827" i="10" l="1"/>
  <c r="D830" i="10"/>
  <c r="E828" i="10"/>
  <c r="G829" i="10"/>
  <c r="B829" i="10"/>
  <c r="C829" i="10" s="1"/>
  <c r="F829" i="10" s="1"/>
  <c r="G830" i="10" l="1"/>
  <c r="D831" i="10"/>
  <c r="B830" i="10"/>
  <c r="C830" i="10" s="1"/>
  <c r="F830" i="10" s="1"/>
  <c r="E829" i="10" l="1"/>
  <c r="D832" i="10"/>
  <c r="E830" i="10"/>
  <c r="G831" i="10"/>
  <c r="B831" i="10"/>
  <c r="C831" i="10" s="1"/>
  <c r="F831" i="10" s="1"/>
  <c r="G832" i="10" l="1"/>
  <c r="B832" i="10"/>
  <c r="C832" i="10" s="1"/>
  <c r="F832" i="10" s="1"/>
  <c r="D833" i="10"/>
  <c r="E831" i="10" l="1"/>
  <c r="G833" i="10"/>
  <c r="B833" i="10"/>
  <c r="C833" i="10" s="1"/>
  <c r="F833" i="10" s="1"/>
  <c r="D834" i="10"/>
  <c r="E832" i="10" l="1"/>
  <c r="G834" i="10"/>
  <c r="B834" i="10"/>
  <c r="C834" i="10" s="1"/>
  <c r="F834" i="10" s="1"/>
  <c r="D835" i="10"/>
  <c r="E833" i="10" l="1"/>
  <c r="G835" i="10"/>
  <c r="B835" i="10"/>
  <c r="C835" i="10" s="1"/>
  <c r="F835" i="10" s="1"/>
  <c r="D836" i="10"/>
  <c r="E834" i="10" l="1"/>
  <c r="G836" i="10"/>
  <c r="D837" i="10"/>
  <c r="B836" i="10"/>
  <c r="C836" i="10" s="1"/>
  <c r="F836" i="10" s="1"/>
  <c r="E835" i="10" l="1"/>
  <c r="D838" i="10"/>
  <c r="E836" i="10"/>
  <c r="G837" i="10"/>
  <c r="B837" i="10"/>
  <c r="C837" i="10" s="1"/>
  <c r="F837" i="10" s="1"/>
  <c r="G838" i="10" l="1"/>
  <c r="D839" i="10"/>
  <c r="B838" i="10"/>
  <c r="C838" i="10" s="1"/>
  <c r="F838" i="10" s="1"/>
  <c r="E837" i="10" l="1"/>
  <c r="D840" i="10"/>
  <c r="E838" i="10"/>
  <c r="G839" i="10"/>
  <c r="B839" i="10"/>
  <c r="C839" i="10" s="1"/>
  <c r="F839" i="10"/>
  <c r="G840" i="10" l="1"/>
  <c r="B840" i="10"/>
  <c r="C840" i="10" s="1"/>
  <c r="F840" i="10" s="1"/>
  <c r="D841" i="10"/>
  <c r="E839" i="10" l="1"/>
  <c r="G841" i="10"/>
  <c r="B841" i="10"/>
  <c r="C841" i="10" s="1"/>
  <c r="F841" i="10" s="1"/>
  <c r="D842" i="10"/>
  <c r="E840" i="10" l="1"/>
  <c r="G842" i="10"/>
  <c r="B842" i="10"/>
  <c r="C842" i="10" s="1"/>
  <c r="F842" i="10" s="1"/>
  <c r="D843" i="10"/>
  <c r="E841" i="10" l="1"/>
  <c r="G843" i="10"/>
  <c r="B843" i="10"/>
  <c r="C843" i="10" s="1"/>
  <c r="F843" i="10" s="1"/>
  <c r="D844" i="10"/>
  <c r="E842" i="10" l="1"/>
  <c r="G844" i="10"/>
  <c r="D845" i="10"/>
  <c r="B844" i="10"/>
  <c r="C844" i="10" s="1"/>
  <c r="F844" i="10" s="1"/>
  <c r="E843" i="10" l="1"/>
  <c r="D846" i="10"/>
  <c r="E844" i="10"/>
  <c r="G845" i="10"/>
  <c r="B845" i="10"/>
  <c r="C845" i="10" s="1"/>
  <c r="F845" i="10" s="1"/>
  <c r="G846" i="10" l="1"/>
  <c r="D847" i="10"/>
  <c r="B846" i="10"/>
  <c r="C846" i="10" s="1"/>
  <c r="F846" i="10" s="1"/>
  <c r="E845" i="10" l="1"/>
  <c r="D848" i="10"/>
  <c r="E846" i="10"/>
  <c r="G847" i="10"/>
  <c r="B847" i="10"/>
  <c r="C847" i="10" s="1"/>
  <c r="F847" i="10"/>
  <c r="G848" i="10" l="1"/>
  <c r="B848" i="10"/>
  <c r="C848" i="10" s="1"/>
  <c r="F848" i="10" s="1"/>
  <c r="D849" i="10"/>
  <c r="E847" i="10" l="1"/>
  <c r="G849" i="10"/>
  <c r="B849" i="10"/>
  <c r="C849" i="10" s="1"/>
  <c r="F849" i="10" s="1"/>
  <c r="D850" i="10"/>
  <c r="E848" i="10" l="1"/>
  <c r="G850" i="10"/>
  <c r="B850" i="10"/>
  <c r="C850" i="10" s="1"/>
  <c r="F850" i="10" s="1"/>
  <c r="D851" i="10"/>
  <c r="E849" i="10" l="1"/>
  <c r="G851" i="10"/>
  <c r="B851" i="10"/>
  <c r="C851" i="10" s="1"/>
  <c r="F851" i="10" s="1"/>
  <c r="D852" i="10"/>
  <c r="E850" i="10" l="1"/>
  <c r="G852" i="10"/>
  <c r="D853" i="10"/>
  <c r="B852" i="10"/>
  <c r="C852" i="10" s="1"/>
  <c r="F852" i="10" s="1"/>
  <c r="E851" i="10" l="1"/>
  <c r="D854" i="10"/>
  <c r="E852" i="10"/>
  <c r="G853" i="10"/>
  <c r="B853" i="10"/>
  <c r="C853" i="10" s="1"/>
  <c r="F853" i="10" s="1"/>
  <c r="G854" i="10" l="1"/>
  <c r="D855" i="10"/>
  <c r="B854" i="10"/>
  <c r="C854" i="10" s="1"/>
  <c r="F854" i="10" s="1"/>
  <c r="E853" i="10" l="1"/>
  <c r="D856" i="10"/>
  <c r="E854" i="10"/>
  <c r="G855" i="10"/>
  <c r="B855" i="10"/>
  <c r="C855" i="10" s="1"/>
  <c r="F855" i="10"/>
  <c r="G856" i="10" l="1"/>
  <c r="B856" i="10"/>
  <c r="C856" i="10" s="1"/>
  <c r="F856" i="10" s="1"/>
  <c r="D857" i="10"/>
  <c r="E855" i="10" l="1"/>
  <c r="G857" i="10"/>
  <c r="B857" i="10"/>
  <c r="C857" i="10" s="1"/>
  <c r="F857" i="10" s="1"/>
  <c r="D858" i="10"/>
  <c r="E856" i="10" l="1"/>
  <c r="G858" i="10"/>
  <c r="B858" i="10"/>
  <c r="C858" i="10" s="1"/>
  <c r="F858" i="10" s="1"/>
  <c r="D859" i="10"/>
  <c r="E857" i="10" l="1"/>
  <c r="G859" i="10"/>
  <c r="B859" i="10"/>
  <c r="C859" i="10" s="1"/>
  <c r="F859" i="10" s="1"/>
  <c r="D860" i="10"/>
  <c r="G860" i="10" l="1"/>
  <c r="D861" i="10"/>
  <c r="B860" i="10"/>
  <c r="C860" i="10" s="1"/>
  <c r="F860" i="10" s="1"/>
  <c r="E858" i="10"/>
  <c r="D862" i="10" l="1"/>
  <c r="B861" i="10"/>
  <c r="C861" i="10" s="1"/>
  <c r="F861" i="10" s="1"/>
  <c r="G861" i="10"/>
  <c r="E859" i="10"/>
  <c r="E860" i="10" l="1"/>
  <c r="G862" i="10"/>
  <c r="E861" i="10"/>
  <c r="D863" i="10"/>
  <c r="B862" i="10"/>
  <c r="C862" i="10" s="1"/>
  <c r="F862" i="10" s="1"/>
  <c r="G863" i="10" l="1"/>
  <c r="D864" i="10"/>
  <c r="B863" i="10"/>
  <c r="C863" i="10" s="1"/>
  <c r="F863" i="10" s="1"/>
  <c r="E862" i="10" l="1"/>
  <c r="G864" i="10"/>
  <c r="D865" i="10"/>
  <c r="F864" i="10"/>
  <c r="B864" i="10"/>
  <c r="C864" i="10" s="1"/>
  <c r="E863" i="10" l="1"/>
  <c r="D866" i="10"/>
  <c r="B865" i="10"/>
  <c r="C865" i="10" s="1"/>
  <c r="F865" i="10" s="1"/>
  <c r="G865" i="10"/>
  <c r="E864" i="10" l="1"/>
  <c r="G866" i="10"/>
  <c r="D867" i="10"/>
  <c r="F866" i="10"/>
  <c r="B866" i="10"/>
  <c r="C866" i="10" s="1"/>
  <c r="E865" i="10" l="1"/>
  <c r="G867" i="10"/>
  <c r="D868" i="10"/>
  <c r="B867" i="10"/>
  <c r="C867" i="10" s="1"/>
  <c r="F867" i="10" s="1"/>
  <c r="E866" i="10" l="1"/>
  <c r="G868" i="10"/>
  <c r="E867" i="10"/>
  <c r="D869" i="10"/>
  <c r="B868" i="10"/>
  <c r="C868" i="10" s="1"/>
  <c r="F868" i="10" s="1"/>
  <c r="D870" i="10" l="1"/>
  <c r="B869" i="10"/>
  <c r="C869" i="10" s="1"/>
  <c r="F869" i="10" s="1"/>
  <c r="G869" i="10"/>
  <c r="E868" i="10" l="1"/>
  <c r="G870" i="10"/>
  <c r="E869" i="10"/>
  <c r="D871" i="10"/>
  <c r="B870" i="10"/>
  <c r="C870" i="10" s="1"/>
  <c r="F870" i="10" s="1"/>
  <c r="G871" i="10" l="1"/>
  <c r="D872" i="10"/>
  <c r="B871" i="10"/>
  <c r="C871" i="10" s="1"/>
  <c r="F871" i="10" s="1"/>
  <c r="E870" i="10" l="1"/>
  <c r="G872" i="10"/>
  <c r="B872" i="10"/>
  <c r="C872" i="10" s="1"/>
  <c r="F872" i="10" s="1"/>
  <c r="D873" i="10"/>
  <c r="E871" i="10" l="1"/>
  <c r="G873" i="10"/>
  <c r="B873" i="10"/>
  <c r="C873" i="10" s="1"/>
  <c r="F873" i="10" s="1"/>
  <c r="D874" i="10"/>
  <c r="E872" i="10" l="1"/>
  <c r="G874" i="10"/>
  <c r="D875" i="10"/>
  <c r="B874" i="10"/>
  <c r="C874" i="10" s="1"/>
  <c r="F874" i="10" s="1"/>
  <c r="E873" i="10" l="1"/>
  <c r="D876" i="10"/>
  <c r="B875" i="10"/>
  <c r="C875" i="10" s="1"/>
  <c r="F875" i="10" s="1"/>
  <c r="G875" i="10"/>
  <c r="E874" i="10" l="1"/>
  <c r="G876" i="10"/>
  <c r="E875" i="10"/>
  <c r="D877" i="10"/>
  <c r="B876" i="10"/>
  <c r="C876" i="10" s="1"/>
  <c r="F876" i="10" s="1"/>
  <c r="D878" i="10" l="1"/>
  <c r="B877" i="10"/>
  <c r="C877" i="10" s="1"/>
  <c r="F877" i="10" s="1"/>
  <c r="G877" i="10"/>
  <c r="E876" i="10" l="1"/>
  <c r="G878" i="10"/>
  <c r="B878" i="10"/>
  <c r="C878" i="10" s="1"/>
  <c r="F878" i="10" s="1"/>
  <c r="D879" i="10"/>
  <c r="E877" i="10" l="1"/>
  <c r="G879" i="10"/>
  <c r="B879" i="10"/>
  <c r="C879" i="10" s="1"/>
  <c r="F879" i="10" s="1"/>
  <c r="D880" i="10"/>
  <c r="G880" i="10" l="1"/>
  <c r="B880" i="10"/>
  <c r="C880" i="10" s="1"/>
  <c r="F880" i="10" s="1"/>
  <c r="D881" i="10"/>
  <c r="E878" i="10"/>
  <c r="E879" i="10" l="1"/>
  <c r="G881" i="10"/>
  <c r="B881" i="10"/>
  <c r="C881" i="10" s="1"/>
  <c r="F881" i="10" s="1"/>
  <c r="D882" i="10"/>
  <c r="G882" i="10" l="1"/>
  <c r="D883" i="10"/>
  <c r="B882" i="10"/>
  <c r="C882" i="10" s="1"/>
  <c r="F882" i="10" s="1"/>
  <c r="E880" i="10"/>
  <c r="D884" i="10" l="1"/>
  <c r="B883" i="10"/>
  <c r="C883" i="10" s="1"/>
  <c r="F883" i="10" s="1"/>
  <c r="G883" i="10"/>
  <c r="E881" i="10"/>
  <c r="E882" i="10" l="1"/>
  <c r="G884" i="10"/>
  <c r="E883" i="10"/>
  <c r="D885" i="10"/>
  <c r="B884" i="10"/>
  <c r="C884" i="10" s="1"/>
  <c r="F884" i="10" s="1"/>
  <c r="G885" i="10" l="1"/>
  <c r="B885" i="10"/>
  <c r="C885" i="10" s="1"/>
  <c r="F885" i="10" s="1"/>
  <c r="D886" i="10"/>
  <c r="E884" i="10" l="1"/>
  <c r="G886" i="10"/>
  <c r="E885" i="10"/>
  <c r="D887" i="10"/>
  <c r="B886" i="10"/>
  <c r="C886" i="10" s="1"/>
  <c r="F886" i="10" s="1"/>
  <c r="D888" i="10" l="1"/>
  <c r="B887" i="10"/>
  <c r="C887" i="10" s="1"/>
  <c r="F887" i="10" s="1"/>
  <c r="G887" i="10"/>
  <c r="E886" i="10" l="1"/>
  <c r="G888" i="10"/>
  <c r="E887" i="10"/>
  <c r="D889" i="10"/>
  <c r="B888" i="10"/>
  <c r="C888" i="10" s="1"/>
  <c r="F888" i="10" s="1"/>
  <c r="G889" i="10" l="1"/>
  <c r="D890" i="10"/>
  <c r="B889" i="10"/>
  <c r="C889" i="10" s="1"/>
  <c r="F889" i="10" s="1"/>
  <c r="E888" i="10" l="1"/>
  <c r="G890" i="10"/>
  <c r="D891" i="10"/>
  <c r="B890" i="10"/>
  <c r="C890" i="10" s="1"/>
  <c r="F890" i="10" s="1"/>
  <c r="E889" i="10" l="1"/>
  <c r="D892" i="10"/>
  <c r="B891" i="10"/>
  <c r="C891" i="10" s="1"/>
  <c r="F891" i="10" s="1"/>
  <c r="G891" i="10"/>
  <c r="G892" i="10" l="1"/>
  <c r="D893" i="10"/>
  <c r="B892" i="10"/>
  <c r="C892" i="10" s="1"/>
  <c r="F892" i="10" s="1"/>
  <c r="E890" i="10"/>
  <c r="G893" i="10" l="1"/>
  <c r="D894" i="10"/>
  <c r="B893" i="10"/>
  <c r="C893" i="10" s="1"/>
  <c r="F893" i="10" s="1"/>
  <c r="E891" i="10"/>
  <c r="G894" i="10" l="1"/>
  <c r="D895" i="10"/>
  <c r="B894" i="10"/>
  <c r="C894" i="10" s="1"/>
  <c r="F894" i="10" s="1"/>
  <c r="E892" i="10"/>
  <c r="D896" i="10" l="1"/>
  <c r="B895" i="10"/>
  <c r="C895" i="10" s="1"/>
  <c r="F895" i="10" s="1"/>
  <c r="G895" i="10"/>
  <c r="E893" i="10"/>
  <c r="E894" i="10" l="1"/>
  <c r="G896" i="10"/>
  <c r="D897" i="10"/>
  <c r="B896" i="10"/>
  <c r="C896" i="10" s="1"/>
  <c r="F896" i="10" s="1"/>
  <c r="E895" i="10" l="1"/>
  <c r="G897" i="10"/>
  <c r="D898" i="10"/>
  <c r="B897" i="10"/>
  <c r="C897" i="10" s="1"/>
  <c r="F897" i="10" s="1"/>
  <c r="E896" i="10" l="1"/>
  <c r="G898" i="10"/>
  <c r="D899" i="10"/>
  <c r="B898" i="10"/>
  <c r="C898" i="10" s="1"/>
  <c r="F898" i="10" s="1"/>
  <c r="E897" i="10" l="1"/>
  <c r="D900" i="10"/>
  <c r="B899" i="10"/>
  <c r="C899" i="10" s="1"/>
  <c r="F899" i="10" s="1"/>
  <c r="G899" i="10"/>
  <c r="G900" i="10" l="1"/>
  <c r="D901" i="10"/>
  <c r="B900" i="10"/>
  <c r="C900" i="10" s="1"/>
  <c r="F900" i="10" s="1"/>
  <c r="E898" i="10"/>
  <c r="G901" i="10" l="1"/>
  <c r="B901" i="10"/>
  <c r="C901" i="10" s="1"/>
  <c r="F901" i="10" s="1"/>
  <c r="D902" i="10"/>
  <c r="E899" i="10"/>
  <c r="E900" i="10" l="1"/>
  <c r="G902" i="10"/>
  <c r="D903" i="10"/>
  <c r="B902" i="10"/>
  <c r="C902" i="10" s="1"/>
  <c r="F902" i="10" s="1"/>
  <c r="E901" i="10" l="1"/>
  <c r="D904" i="10"/>
  <c r="B903" i="10"/>
  <c r="C903" i="10" s="1"/>
  <c r="F903" i="10" s="1"/>
  <c r="G903" i="10"/>
  <c r="G904" i="10" l="1"/>
  <c r="D905" i="10"/>
  <c r="B904" i="10"/>
  <c r="C904" i="10" s="1"/>
  <c r="F904" i="10" s="1"/>
  <c r="E902" i="10"/>
  <c r="G905" i="10" l="1"/>
  <c r="D906" i="10"/>
  <c r="B905" i="10"/>
  <c r="C905" i="10" s="1"/>
  <c r="F905" i="10" s="1"/>
  <c r="E903" i="10"/>
  <c r="E904" i="10" l="1"/>
  <c r="G906" i="10"/>
  <c r="E905" i="10"/>
  <c r="D907" i="10"/>
  <c r="B906" i="10"/>
  <c r="C906" i="10" s="1"/>
  <c r="F906" i="10" s="1"/>
  <c r="D908" i="10" l="1"/>
  <c r="B907" i="10"/>
  <c r="C907" i="10" s="1"/>
  <c r="F907" i="10" s="1"/>
  <c r="G907" i="10"/>
  <c r="E906" i="10"/>
  <c r="G908" i="10" l="1"/>
  <c r="D909" i="10"/>
  <c r="B908" i="10"/>
  <c r="C908" i="10" s="1"/>
  <c r="F908" i="10" s="1"/>
  <c r="G909" i="10" l="1"/>
  <c r="D910" i="10"/>
  <c r="B909" i="10"/>
  <c r="C909" i="10" s="1"/>
  <c r="F909" i="10" s="1"/>
  <c r="E907" i="10"/>
  <c r="E908" i="10" l="1"/>
  <c r="G910" i="10"/>
  <c r="D911" i="10"/>
  <c r="B910" i="10"/>
  <c r="C910" i="10" s="1"/>
  <c r="F910" i="10" s="1"/>
  <c r="E909" i="10" l="1"/>
  <c r="D912" i="10"/>
  <c r="B911" i="10"/>
  <c r="C911" i="10" s="1"/>
  <c r="F911" i="10" s="1"/>
  <c r="G911" i="10"/>
  <c r="G912" i="10" l="1"/>
  <c r="D913" i="10"/>
  <c r="B912" i="10"/>
  <c r="C912" i="10" s="1"/>
  <c r="F912" i="10" s="1"/>
  <c r="E910" i="10"/>
  <c r="D914" i="10" l="1"/>
  <c r="G913" i="10"/>
  <c r="B913" i="10"/>
  <c r="C913" i="10" s="1"/>
  <c r="F913" i="10" s="1"/>
  <c r="E911" i="10"/>
  <c r="E912" i="10" l="1"/>
  <c r="D915" i="10"/>
  <c r="B914" i="10"/>
  <c r="C914" i="10" s="1"/>
  <c r="F914" i="10" s="1"/>
  <c r="G914" i="10"/>
  <c r="E913" i="10" l="1"/>
  <c r="D916" i="10"/>
  <c r="B915" i="10"/>
  <c r="C915" i="10" s="1"/>
  <c r="F915" i="10" s="1"/>
  <c r="G915" i="10"/>
  <c r="G916" i="10" l="1"/>
  <c r="B916" i="10"/>
  <c r="C916" i="10" s="1"/>
  <c r="F916" i="10" s="1"/>
  <c r="D917" i="10"/>
  <c r="E914" i="10"/>
  <c r="E915" i="10" l="1"/>
  <c r="D918" i="10"/>
  <c r="B917" i="10"/>
  <c r="C917" i="10" s="1"/>
  <c r="F917" i="10" s="1"/>
  <c r="G917" i="10"/>
  <c r="G918" i="10" l="1"/>
  <c r="B918" i="10"/>
  <c r="C918" i="10" s="1"/>
  <c r="F918" i="10" s="1"/>
  <c r="D919" i="10"/>
  <c r="E916" i="10"/>
  <c r="D920" i="10" l="1"/>
  <c r="B919" i="10"/>
  <c r="C919" i="10" s="1"/>
  <c r="F919" i="10" s="1"/>
  <c r="G919" i="10"/>
  <c r="E917" i="10"/>
  <c r="E918" i="10" l="1"/>
  <c r="D921" i="10"/>
  <c r="E919" i="10"/>
  <c r="G920" i="10"/>
  <c r="B920" i="10"/>
  <c r="C920" i="10" s="1"/>
  <c r="F920" i="10" s="1"/>
  <c r="D922" i="10" l="1"/>
  <c r="B921" i="10"/>
  <c r="C921" i="10" s="1"/>
  <c r="F921" i="10" s="1"/>
  <c r="E920" i="10"/>
  <c r="G921" i="10"/>
  <c r="G922" i="10" l="1"/>
  <c r="D923" i="10"/>
  <c r="B922" i="10"/>
  <c r="C922" i="10" s="1"/>
  <c r="F922" i="10" s="1"/>
  <c r="E921" i="10" l="1"/>
  <c r="D924" i="10"/>
  <c r="B923" i="10"/>
  <c r="C923" i="10" s="1"/>
  <c r="F923" i="10" s="1"/>
  <c r="G923" i="10"/>
  <c r="E922" i="10" l="1"/>
  <c r="G924" i="10"/>
  <c r="D925" i="10"/>
  <c r="B924" i="10"/>
  <c r="C924" i="10" s="1"/>
  <c r="F924" i="10" s="1"/>
  <c r="E923" i="10" l="1"/>
  <c r="D926" i="10"/>
  <c r="B925" i="10"/>
  <c r="C925" i="10" s="1"/>
  <c r="F925" i="10" s="1"/>
  <c r="G925" i="10"/>
  <c r="E924" i="10" l="1"/>
  <c r="G926" i="10"/>
  <c r="E925" i="10"/>
  <c r="D927" i="10"/>
  <c r="B926" i="10"/>
  <c r="C926" i="10" s="1"/>
  <c r="F926" i="10"/>
  <c r="D928" i="10" l="1"/>
  <c r="B927" i="10"/>
  <c r="C927" i="10" s="1"/>
  <c r="F927" i="10" s="1"/>
  <c r="G927" i="10"/>
  <c r="E926" i="10" l="1"/>
  <c r="G928" i="10"/>
  <c r="E927" i="10"/>
  <c r="F928" i="10"/>
  <c r="B928" i="10"/>
  <c r="C928" i="10" s="1"/>
  <c r="D929" i="10"/>
  <c r="D930" i="10" l="1"/>
  <c r="B929" i="10"/>
  <c r="C929" i="10" s="1"/>
  <c r="F929" i="10" s="1"/>
  <c r="G929" i="10"/>
  <c r="E928" i="10" l="1"/>
  <c r="G930" i="10"/>
  <c r="E929" i="10"/>
  <c r="D931" i="10"/>
  <c r="B930" i="10"/>
  <c r="C930" i="10" s="1"/>
  <c r="F930" i="10"/>
  <c r="D932" i="10" l="1"/>
  <c r="B931" i="10"/>
  <c r="C931" i="10" s="1"/>
  <c r="F931" i="10" s="1"/>
  <c r="G931" i="10"/>
  <c r="E930" i="10" l="1"/>
  <c r="G932" i="10"/>
  <c r="D933" i="10"/>
  <c r="B932" i="10"/>
  <c r="C932" i="10" s="1"/>
  <c r="F932" i="10" s="1"/>
  <c r="E931" i="10" l="1"/>
  <c r="D934" i="10"/>
  <c r="B933" i="10"/>
  <c r="C933" i="10" s="1"/>
  <c r="F933" i="10" s="1"/>
  <c r="G933" i="10"/>
  <c r="G934" i="10" l="1"/>
  <c r="D935" i="10"/>
  <c r="B934" i="10"/>
  <c r="C934" i="10" s="1"/>
  <c r="F934" i="10" s="1"/>
  <c r="E932" i="10"/>
  <c r="E933" i="10" l="1"/>
  <c r="D936" i="10"/>
  <c r="B935" i="10"/>
  <c r="C935" i="10" s="1"/>
  <c r="F935" i="10" s="1"/>
  <c r="G935" i="10"/>
  <c r="G936" i="10" l="1"/>
  <c r="B936" i="10"/>
  <c r="C936" i="10" s="1"/>
  <c r="F936" i="10" s="1"/>
  <c r="D937" i="10"/>
  <c r="E934" i="10"/>
  <c r="E935" i="10" l="1"/>
  <c r="D938" i="10"/>
  <c r="B937" i="10"/>
  <c r="C937" i="10" s="1"/>
  <c r="F937" i="10" s="1"/>
  <c r="G937" i="10"/>
  <c r="G938" i="10" l="1"/>
  <c r="D939" i="10"/>
  <c r="B938" i="10"/>
  <c r="C938" i="10" s="1"/>
  <c r="F938" i="10" s="1"/>
  <c r="E936" i="10"/>
  <c r="D940" i="10" l="1"/>
  <c r="B939" i="10"/>
  <c r="C939" i="10" s="1"/>
  <c r="F939" i="10" s="1"/>
  <c r="G939" i="10"/>
  <c r="E937" i="10"/>
  <c r="E938" i="10" l="1"/>
  <c r="G940" i="10"/>
  <c r="F940" i="10"/>
  <c r="D941" i="10"/>
  <c r="B940" i="10"/>
  <c r="C940" i="10" s="1"/>
  <c r="E939" i="10" l="1"/>
  <c r="D942" i="10"/>
  <c r="B941" i="10"/>
  <c r="C941" i="10" s="1"/>
  <c r="F941" i="10" s="1"/>
  <c r="G941" i="10"/>
  <c r="G942" i="10" l="1"/>
  <c r="D943" i="10"/>
  <c r="B942" i="10"/>
  <c r="C942" i="10" s="1"/>
  <c r="F942" i="10" s="1"/>
  <c r="E940" i="10"/>
  <c r="D944" i="10" l="1"/>
  <c r="B943" i="10"/>
  <c r="C943" i="10" s="1"/>
  <c r="F943" i="10" s="1"/>
  <c r="G943" i="10"/>
  <c r="E941" i="10"/>
  <c r="E942" i="10" l="1"/>
  <c r="G944" i="10"/>
  <c r="E943" i="10"/>
  <c r="F944" i="10"/>
  <c r="B944" i="10"/>
  <c r="C944" i="10" s="1"/>
  <c r="D945" i="10"/>
  <c r="D946" i="10" l="1"/>
  <c r="B945" i="10"/>
  <c r="C945" i="10" s="1"/>
  <c r="F945" i="10" s="1"/>
  <c r="G945" i="10"/>
  <c r="E944" i="10" l="1"/>
  <c r="G946" i="10"/>
  <c r="E945" i="10"/>
  <c r="D947" i="10"/>
  <c r="B946" i="10"/>
  <c r="C946" i="10" s="1"/>
  <c r="F946" i="10" s="1"/>
  <c r="D948" i="10" l="1"/>
  <c r="B947" i="10"/>
  <c r="C947" i="10" s="1"/>
  <c r="F947" i="10" s="1"/>
  <c r="G947" i="10"/>
  <c r="E946" i="10" l="1"/>
  <c r="G948" i="10"/>
  <c r="D949" i="10"/>
  <c r="B948" i="10"/>
  <c r="C948" i="10" s="1"/>
  <c r="F948" i="10" s="1"/>
  <c r="E947" i="10" l="1"/>
  <c r="D950" i="10"/>
  <c r="B949" i="10"/>
  <c r="C949" i="10" s="1"/>
  <c r="F949" i="10" s="1"/>
  <c r="G949" i="10"/>
  <c r="E948" i="10" l="1"/>
  <c r="G950" i="10"/>
  <c r="E949" i="10"/>
  <c r="D951" i="10"/>
  <c r="B950" i="10"/>
  <c r="C950" i="10" s="1"/>
  <c r="F950" i="10" s="1"/>
  <c r="D952" i="10" l="1"/>
  <c r="B951" i="10"/>
  <c r="C951" i="10" s="1"/>
  <c r="F951" i="10" s="1"/>
  <c r="G951" i="10"/>
  <c r="E950" i="10" l="1"/>
  <c r="G952" i="10"/>
  <c r="E951" i="10"/>
  <c r="D953" i="10"/>
  <c r="B952" i="10"/>
  <c r="C952" i="10" s="1"/>
  <c r="F952" i="10" s="1"/>
  <c r="D954" i="10" l="1"/>
  <c r="B953" i="10"/>
  <c r="C953" i="10" s="1"/>
  <c r="F953" i="10" s="1"/>
  <c r="G953" i="10"/>
  <c r="E952" i="10" l="1"/>
  <c r="G954" i="10"/>
  <c r="D955" i="10"/>
  <c r="B954" i="10"/>
  <c r="C954" i="10" s="1"/>
  <c r="F954" i="10" s="1"/>
  <c r="E953" i="10" l="1"/>
  <c r="D956" i="10"/>
  <c r="B955" i="10"/>
  <c r="C955" i="10" s="1"/>
  <c r="F955" i="10" s="1"/>
  <c r="G955" i="10"/>
  <c r="G956" i="10" l="1"/>
  <c r="D957" i="10"/>
  <c r="B956" i="10"/>
  <c r="C956" i="10" s="1"/>
  <c r="F956" i="10" s="1"/>
  <c r="E954" i="10"/>
  <c r="D958" i="10" l="1"/>
  <c r="B957" i="10"/>
  <c r="C957" i="10" s="1"/>
  <c r="F957" i="10" s="1"/>
  <c r="G957" i="10"/>
  <c r="E955" i="10"/>
  <c r="E956" i="10" l="1"/>
  <c r="G958" i="10"/>
  <c r="E957" i="10"/>
  <c r="D959" i="10"/>
  <c r="B958" i="10"/>
  <c r="C958" i="10" s="1"/>
  <c r="F958" i="10" s="1"/>
  <c r="D960" i="10" l="1"/>
  <c r="B959" i="10"/>
  <c r="C959" i="10" s="1"/>
  <c r="F959" i="10" s="1"/>
  <c r="G959" i="10"/>
  <c r="E958" i="10" l="1"/>
  <c r="G960" i="10"/>
  <c r="D961" i="10"/>
  <c r="F960" i="10"/>
  <c r="B960" i="10"/>
  <c r="C960" i="10" s="1"/>
  <c r="D962" i="10" l="1"/>
  <c r="B961" i="10"/>
  <c r="C961" i="10" s="1"/>
  <c r="F961" i="10" s="1"/>
  <c r="G961" i="10"/>
  <c r="E959" i="10"/>
  <c r="E960" i="10" l="1"/>
  <c r="G962" i="10"/>
  <c r="D963" i="10"/>
  <c r="B962" i="10"/>
  <c r="C962" i="10" s="1"/>
  <c r="F962" i="10" s="1"/>
  <c r="E961" i="10" l="1"/>
  <c r="D964" i="10"/>
  <c r="B963" i="10"/>
  <c r="C963" i="10" s="1"/>
  <c r="F963" i="10" s="1"/>
  <c r="G963" i="10"/>
  <c r="G964" i="10" l="1"/>
  <c r="D965" i="10"/>
  <c r="B964" i="10"/>
  <c r="C964" i="10" s="1"/>
  <c r="F964" i="10" s="1"/>
  <c r="E962" i="10"/>
  <c r="D966" i="10" l="1"/>
  <c r="B965" i="10"/>
  <c r="C965" i="10" s="1"/>
  <c r="F965" i="10" s="1"/>
  <c r="G965" i="10"/>
  <c r="E963" i="10"/>
  <c r="E964" i="10" l="1"/>
  <c r="G966" i="10"/>
  <c r="D967" i="10"/>
  <c r="B966" i="10"/>
  <c r="C966" i="10" s="1"/>
  <c r="F966" i="10" s="1"/>
  <c r="E965" i="10" l="1"/>
  <c r="D968" i="10"/>
  <c r="B967" i="10"/>
  <c r="C967" i="10" s="1"/>
  <c r="F967" i="10" s="1"/>
  <c r="G967" i="10"/>
  <c r="G968" i="10" l="1"/>
  <c r="D969" i="10"/>
  <c r="B968" i="10"/>
  <c r="C968" i="10" s="1"/>
  <c r="F968" i="10" s="1"/>
  <c r="E966" i="10"/>
  <c r="G969" i="10" l="1"/>
  <c r="B969" i="10"/>
  <c r="C969" i="10" s="1"/>
  <c r="F969" i="10" s="1"/>
  <c r="E967" i="10"/>
  <c r="E968" i="10" l="1"/>
</calcChain>
</file>

<file path=xl/sharedStrings.xml><?xml version="1.0" encoding="utf-8"?>
<sst xmlns="http://schemas.openxmlformats.org/spreadsheetml/2006/main" count="411" uniqueCount="97">
  <si>
    <t>delta</t>
  </si>
  <si>
    <t>area</t>
  </si>
  <si>
    <r>
      <t>CBF</t>
    </r>
    <r>
      <rPr>
        <sz val="14"/>
        <color theme="1"/>
        <rFont val="Calibri"/>
        <family val="2"/>
        <scheme val="minor"/>
      </rPr>
      <t xml:space="preserve"> (ml/(100g*min))</t>
    </r>
    <r>
      <rPr>
        <b/>
        <sz val="14"/>
        <color theme="1"/>
        <rFont val="Calibri"/>
        <family val="2"/>
        <scheme val="minor"/>
      </rPr>
      <t>:</t>
    </r>
  </si>
  <si>
    <t>Time[ms]</t>
  </si>
  <si>
    <t>Artery inflow (ml/s)</t>
  </si>
  <si>
    <t>Venous outflow (ml/s)</t>
  </si>
  <si>
    <t>A-V (ml/s)</t>
  </si>
  <si>
    <t>V vol (ml)</t>
  </si>
  <si>
    <t>rICP (mmHg)</t>
  </si>
  <si>
    <t>k*rICP</t>
  </si>
  <si>
    <t>rICP (mmHg*s)</t>
  </si>
  <si>
    <t>k (ICV/rICP)</t>
  </si>
  <si>
    <t>and</t>
  </si>
  <si>
    <t>Area k*rICP</t>
  </si>
  <si>
    <t>t = 878 ms</t>
  </si>
  <si>
    <t>ger HR (per min):</t>
  </si>
  <si>
    <t>och tillsammans:</t>
  </si>
  <si>
    <t>CBFpuls (ml/s):</t>
  </si>
  <si>
    <t>Figure data from Figure 3 and Table 1.</t>
  </si>
  <si>
    <t>och ml/(100g*min):</t>
  </si>
  <si>
    <r>
      <rPr>
        <b/>
        <sz val="12"/>
        <color theme="1"/>
        <rFont val="Calibri"/>
        <family val="2"/>
        <scheme val="minor"/>
      </rPr>
      <t>Rv</t>
    </r>
    <r>
      <rPr>
        <sz val="12"/>
        <color theme="1"/>
        <rFont val="Calibri"/>
        <family val="2"/>
        <scheme val="minor"/>
      </rPr>
      <t xml:space="preserve"> (mmHg/(ml/(100g*min)):</t>
    </r>
  </si>
  <si>
    <r>
      <rPr>
        <b/>
        <sz val="12"/>
        <color theme="1"/>
        <rFont val="Calibri"/>
        <family val="2"/>
        <scheme val="minor"/>
      </rPr>
      <t>Rv</t>
    </r>
    <r>
      <rPr>
        <sz val="12"/>
        <color theme="1"/>
        <rFont val="Calibri"/>
        <family val="2"/>
        <scheme val="minor"/>
      </rPr>
      <t xml:space="preserve"> (mmHg/(ml/s):</t>
    </r>
  </si>
  <si>
    <t>CBF (ml/(100g*min)):</t>
  </si>
  <si>
    <t>= summa area</t>
  </si>
  <si>
    <t>mean:</t>
  </si>
  <si>
    <t>k*Area ICP:</t>
  </si>
  <si>
    <t>CBF result</t>
  </si>
  <si>
    <t>ml/(100g*min):</t>
  </si>
  <si>
    <t xml:space="preserve"> value for next iteration</t>
  </si>
  <si>
    <t>rICP (mmHg*ms)</t>
  </si>
  <si>
    <t>k*rICP (ml)</t>
  </si>
  <si>
    <t>ger ml/min):</t>
  </si>
  <si>
    <t>k (rICP)</t>
  </si>
  <si>
    <t>Area ICP/k:</t>
  </si>
  <si>
    <t>t = 1054 ms</t>
  </si>
  <si>
    <r>
      <t xml:space="preserve">ger </t>
    </r>
    <r>
      <rPr>
        <b/>
        <sz val="12"/>
        <color theme="1"/>
        <rFont val="Calibri"/>
        <family val="2"/>
        <scheme val="minor"/>
      </rPr>
      <t>HR (per min):</t>
    </r>
  </si>
  <si>
    <t>med Area ICP*k</t>
  </si>
  <si>
    <t>ger</t>
  </si>
  <si>
    <t>.</t>
  </si>
  <si>
    <t>iterations:</t>
  </si>
  <si>
    <t>medel:</t>
  </si>
  <si>
    <t>Area ICP*K:</t>
  </si>
  <si>
    <t>korr:</t>
  </si>
  <si>
    <r>
      <t>CBF</t>
    </r>
    <r>
      <rPr>
        <sz val="12"/>
        <color theme="1"/>
        <rFont val="Calibri"/>
        <family val="2"/>
        <scheme val="minor"/>
      </rPr>
      <t xml:space="preserve"> (ml/(100g*min))</t>
    </r>
    <r>
      <rPr>
        <b/>
        <sz val="12"/>
        <color theme="1"/>
        <rFont val="Calibri"/>
        <family val="2"/>
        <scheme val="minor"/>
      </rPr>
      <t>:</t>
    </r>
  </si>
  <si>
    <t>T = 829 ms</t>
  </si>
  <si>
    <t>CBFpulsative (ml/s):</t>
  </si>
  <si>
    <t>corr:</t>
  </si>
  <si>
    <t>k*rICP (ml*s)</t>
  </si>
  <si>
    <t>t = 1115 ms</t>
  </si>
  <si>
    <t>ICP corr:</t>
  </si>
  <si>
    <t>mean ICP:</t>
  </si>
  <si>
    <t>V vol (ml*s)</t>
  </si>
  <si>
    <t>med Area ICP*k:</t>
  </si>
  <si>
    <t>corr Vvol:</t>
  </si>
  <si>
    <t>corr ICP:</t>
  </si>
  <si>
    <t>t = 1055 ms</t>
  </si>
  <si>
    <t>t = 852 ms</t>
  </si>
  <si>
    <r>
      <t xml:space="preserve">ger </t>
    </r>
    <r>
      <rPr>
        <b/>
        <sz val="12"/>
        <color theme="1"/>
        <rFont val="Calibri"/>
        <family val="2"/>
        <scheme val="minor"/>
      </rPr>
      <t>HR</t>
    </r>
    <r>
      <rPr>
        <sz val="12"/>
        <color theme="1"/>
        <rFont val="Calibri"/>
        <family val="2"/>
        <scheme val="minor"/>
      </rPr>
      <t xml:space="preserve"> (per min)</t>
    </r>
    <r>
      <rPr>
        <b/>
        <sz val="12"/>
        <color theme="1"/>
        <rFont val="Calibri"/>
        <family val="2"/>
        <scheme val="minor"/>
      </rPr>
      <t>:</t>
    </r>
  </si>
  <si>
    <r>
      <t>CBF</t>
    </r>
    <r>
      <rPr>
        <sz val="12"/>
        <color rgb="FF000000"/>
        <rFont val="Calibri"/>
        <family val="2"/>
        <scheme val="minor"/>
      </rPr>
      <t xml:space="preserve"> (ml/(100g*min))</t>
    </r>
    <r>
      <rPr>
        <b/>
        <sz val="12"/>
        <color rgb="FF000000"/>
        <rFont val="Calibri"/>
        <family val="2"/>
        <scheme val="minor"/>
      </rPr>
      <t>:</t>
    </r>
  </si>
  <si>
    <r>
      <t xml:space="preserve">ger </t>
    </r>
    <r>
      <rPr>
        <b/>
        <sz val="12"/>
        <color rgb="FF000000"/>
        <rFont val="Calibri"/>
        <family val="2"/>
        <scheme val="minor"/>
      </rPr>
      <t>HR (per min):</t>
    </r>
  </si>
  <si>
    <r>
      <t>Rv</t>
    </r>
    <r>
      <rPr>
        <sz val="12"/>
        <color rgb="FF000000"/>
        <rFont val="Calibri"/>
        <family val="2"/>
        <scheme val="minor"/>
      </rPr>
      <t xml:space="preserve"> (mmHg/(ml/(100g*min)):</t>
    </r>
  </si>
  <si>
    <r>
      <t>Rv</t>
    </r>
    <r>
      <rPr>
        <sz val="12"/>
        <color rgb="FF000000"/>
        <rFont val="Calibri"/>
        <family val="2"/>
        <scheme val="minor"/>
      </rPr>
      <t xml:space="preserve"> (mmHg/(ml/s):</t>
    </r>
  </si>
  <si>
    <t>ml</t>
  </si>
  <si>
    <t>mmHg</t>
  </si>
  <si>
    <t>(ml)</t>
  </si>
  <si>
    <t>(mmHg)</t>
  </si>
  <si>
    <t>rICP</t>
  </si>
  <si>
    <t>empirical</t>
  </si>
  <si>
    <t xml:space="preserve"> formula1</t>
  </si>
  <si>
    <t>formula2</t>
  </si>
  <si>
    <t>Vv(0)-Vrem</t>
  </si>
  <si>
    <t>Table for finding rICP from d(rICP)/d(Vrem)</t>
  </si>
  <si>
    <t>Vrem</t>
  </si>
  <si>
    <t>rICP(0) =</t>
  </si>
  <si>
    <t>Vv(0) =</t>
  </si>
  <si>
    <t xml:space="preserve"> </t>
  </si>
  <si>
    <t>Adjust for best fit:</t>
  </si>
  <si>
    <t>rICP (mmHg):</t>
  </si>
  <si>
    <t>Find rICP in table:</t>
  </si>
  <si>
    <t>The found rICP:</t>
  </si>
  <si>
    <r>
      <t>d(ICP)/d(V</t>
    </r>
    <r>
      <rPr>
        <b/>
        <vertAlign val="subscript"/>
        <sz val="12"/>
        <color theme="1"/>
        <rFont val="Calibri"/>
        <family val="2"/>
        <scheme val="minor"/>
      </rPr>
      <t>rem</t>
    </r>
    <r>
      <rPr>
        <b/>
        <sz val="12"/>
        <color theme="1"/>
        <rFont val="Calibri"/>
        <family val="2"/>
        <charset val="128"/>
        <scheme val="minor"/>
      </rPr>
      <t>)</t>
    </r>
  </si>
  <si>
    <t xml:space="preserve">Figure data from ms Figure 1 </t>
  </si>
  <si>
    <t>CBF result:</t>
  </si>
  <si>
    <t>Start CBF value:</t>
  </si>
  <si>
    <t xml:space="preserve"> rICP (mmHg):</t>
  </si>
  <si>
    <t>Formulas:</t>
  </si>
  <si>
    <r>
      <t>ger d(r</t>
    </r>
    <r>
      <rPr>
        <b/>
        <sz val="12"/>
        <color theme="1"/>
        <rFont val="Calibri"/>
        <family val="2"/>
        <scheme val="minor"/>
      </rPr>
      <t>ICP)/d(Vrem)</t>
    </r>
  </si>
  <si>
    <r>
      <t xml:space="preserve"> rICP</t>
    </r>
    <r>
      <rPr>
        <sz val="12"/>
        <color theme="1"/>
        <rFont val="Calibri"/>
        <family val="2"/>
        <scheme val="minor"/>
      </rPr>
      <t xml:space="preserve"> (mmHg)</t>
    </r>
    <r>
      <rPr>
        <b/>
        <sz val="12"/>
        <color theme="1"/>
        <rFont val="Calibri"/>
        <family val="2"/>
        <scheme val="minor"/>
      </rPr>
      <t>:</t>
    </r>
  </si>
  <si>
    <t>Formula [2]</t>
  </si>
  <si>
    <t>Formula [7]</t>
  </si>
  <si>
    <r>
      <rPr>
        <i/>
        <sz val="12"/>
        <color theme="1"/>
        <rFont val="Calibri"/>
        <family val="2"/>
        <scheme val="minor"/>
      </rPr>
      <t>Formula</t>
    </r>
    <r>
      <rPr>
        <sz val="12"/>
        <color theme="1"/>
        <rFont val="Calibri"/>
        <family val="2"/>
        <scheme val="minor"/>
      </rPr>
      <t xml:space="preserve"> [5]:</t>
    </r>
  </si>
  <si>
    <r>
      <rPr>
        <i/>
        <sz val="12"/>
        <color theme="1"/>
        <rFont val="Calibri"/>
        <family val="2"/>
        <scheme val="minor"/>
      </rPr>
      <t>Formula</t>
    </r>
    <r>
      <rPr>
        <sz val="12"/>
        <color theme="1"/>
        <rFont val="Calibri"/>
        <family val="2"/>
        <scheme val="minor"/>
      </rPr>
      <t xml:space="preserve"> [5]*6:</t>
    </r>
  </si>
  <si>
    <t>Formula [6]:</t>
  </si>
  <si>
    <t>Formula [6]*6:</t>
  </si>
  <si>
    <t>Formula [5]*6:</t>
  </si>
  <si>
    <r>
      <t>Formula</t>
    </r>
    <r>
      <rPr>
        <sz val="12"/>
        <color rgb="FF000000"/>
        <rFont val="Calibri"/>
        <family val="2"/>
        <scheme val="minor"/>
      </rPr>
      <t xml:space="preserve"> [5]:</t>
    </r>
  </si>
  <si>
    <r>
      <t>Formula</t>
    </r>
    <r>
      <rPr>
        <sz val="12"/>
        <color rgb="FF000000"/>
        <rFont val="Calibri"/>
        <family val="2"/>
        <scheme val="minor"/>
      </rPr>
      <t xml:space="preserve"> [5]*6: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</si>
</sst>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0.0000"/>
    <numFmt numFmtId="167" formatCode="0.00000"/>
    <numFmt numFmtId="168" formatCode="0.000000000"/>
  </numFmts>
  <fonts count="2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4F81BD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2"/>
      <color theme="1"/>
      <name val="Calibri"/>
      <family val="2"/>
      <charset val="128"/>
      <scheme val="minor"/>
    </font>
    <font>
      <b/>
      <vertAlign val="subscript"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20"/>
      <color theme="1"/>
      <name val="Calibri"/>
      <family val="2"/>
      <scheme val="minor"/>
    </font>
    <font>
      <sz val="14"/>
      <color theme="1"/>
      <name val="Cambria"/>
      <family val="1"/>
    </font>
    <font>
      <b/>
      <i/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2" fillId="0" borderId="0" xfId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0" applyFont="1" applyAlignment="1">
      <alignment horizontal="right"/>
    </xf>
    <xf numFmtId="164" fontId="1" fillId="0" borderId="0" xfId="0" applyNumberFormat="1" applyFont="1" applyAlignment="1">
      <alignment horizontal="center"/>
    </xf>
    <xf numFmtId="1" fontId="2" fillId="0" borderId="0" xfId="1" applyNumberFormat="1" applyAlignment="1">
      <alignment horizontal="center"/>
    </xf>
    <xf numFmtId="2" fontId="2" fillId="0" borderId="0" xfId="1" applyNumberFormat="1" applyAlignment="1">
      <alignment horizontal="center"/>
    </xf>
    <xf numFmtId="164" fontId="2" fillId="0" borderId="0" xfId="1" applyNumberFormat="1" applyAlignment="1">
      <alignment horizontal="center"/>
    </xf>
    <xf numFmtId="1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8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166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left"/>
    </xf>
    <xf numFmtId="0" fontId="9" fillId="0" borderId="0" xfId="0" applyFont="1" applyAlignment="1">
      <alignment horizontal="right"/>
    </xf>
    <xf numFmtId="0" fontId="2" fillId="0" borderId="0" xfId="1" applyAlignment="1">
      <alignment horizontal="right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/>
    <xf numFmtId="164" fontId="10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1"/>
    <xf numFmtId="0" fontId="9" fillId="0" borderId="0" xfId="0" applyFont="1"/>
    <xf numFmtId="1" fontId="8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2" fillId="0" borderId="0" xfId="1" applyNumberFormat="1" applyAlignment="1">
      <alignment horizontal="center"/>
    </xf>
    <xf numFmtId="2" fontId="10" fillId="0" borderId="0" xfId="0" applyNumberFormat="1" applyFont="1" applyAlignment="1">
      <alignment horizontal="center"/>
    </xf>
    <xf numFmtId="168" fontId="0" fillId="0" borderId="0" xfId="0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5" fontId="2" fillId="0" borderId="0" xfId="1" applyNumberFormat="1" applyAlignment="1">
      <alignment horizontal="center"/>
    </xf>
    <xf numFmtId="2" fontId="5" fillId="0" borderId="0" xfId="1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2" fontId="9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1" fontId="9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166" fontId="9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2" xfId="0" applyNumberFormat="1" applyBorder="1" applyAlignment="1">
      <alignment horizontal="center"/>
    </xf>
    <xf numFmtId="2" fontId="0" fillId="0" borderId="0" xfId="0" applyNumberFormat="1"/>
    <xf numFmtId="2" fontId="15" fillId="0" borderId="1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2" fontId="18" fillId="0" borderId="0" xfId="0" applyNumberFormat="1" applyFont="1"/>
    <xf numFmtId="2" fontId="17" fillId="0" borderId="0" xfId="0" applyNumberFormat="1" applyFont="1" applyAlignment="1">
      <alignment horizontal="left"/>
    </xf>
    <xf numFmtId="2" fontId="17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left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0" fillId="0" borderId="0" xfId="0" applyFont="1"/>
    <xf numFmtId="0" fontId="21" fillId="0" borderId="0" xfId="0" applyFont="1" applyAlignment="1">
      <alignment horizontal="right"/>
    </xf>
    <xf numFmtId="0" fontId="22" fillId="0" borderId="0" xfId="0" applyFont="1" applyAlignment="1">
      <alignment horizontal="right"/>
    </xf>
    <xf numFmtId="164" fontId="0" fillId="0" borderId="0" xfId="0" applyNumberFormat="1"/>
    <xf numFmtId="164" fontId="18" fillId="0" borderId="0" xfId="0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164" fontId="15" fillId="0" borderId="1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23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DB52A2FC-FCF5-054D-9D59-2005F42CB8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 b="1"/>
              <a:t>ICP</a:t>
            </a:r>
            <a:r>
              <a:rPr lang="sv-SE" b="1" baseline="0"/>
              <a:t> compared to V vol</a:t>
            </a:r>
            <a:endParaRPr lang="sv-SE" b="1"/>
          </a:p>
        </c:rich>
      </c:tx>
      <c:layout>
        <c:manualLayout>
          <c:xMode val="edge"/>
          <c:yMode val="edge"/>
          <c:x val="0.40335007518171401"/>
          <c:y val="0.101321585903083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3595397812760832"/>
          <c:y val="8.8105726872246701E-2"/>
          <c:w val="0.80295289959457594"/>
          <c:h val="0.708927815741094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1_1b'!$G$3</c:f>
              <c:strCache>
                <c:ptCount val="1"/>
                <c:pt idx="0">
                  <c:v>V vol (ml)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1_1b'!$C$4:$C$33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30.275862</c:v>
                </c:pt>
                <c:pt idx="2">
                  <c:v>60.551724</c:v>
                </c:pt>
                <c:pt idx="3">
                  <c:v>90.827585999999997</c:v>
                </c:pt>
                <c:pt idx="4">
                  <c:v>121.103448</c:v>
                </c:pt>
                <c:pt idx="5">
                  <c:v>151.37931</c:v>
                </c:pt>
                <c:pt idx="6">
                  <c:v>181.65517199999999</c:v>
                </c:pt>
                <c:pt idx="7">
                  <c:v>211.93103400000001</c:v>
                </c:pt>
                <c:pt idx="8">
                  <c:v>242.206897</c:v>
                </c:pt>
                <c:pt idx="9">
                  <c:v>272.48275899999999</c:v>
                </c:pt>
                <c:pt idx="10">
                  <c:v>302.75862100000001</c:v>
                </c:pt>
                <c:pt idx="11">
                  <c:v>333.03448300000002</c:v>
                </c:pt>
                <c:pt idx="12">
                  <c:v>363.31034499999998</c:v>
                </c:pt>
                <c:pt idx="13">
                  <c:v>393.586207</c:v>
                </c:pt>
                <c:pt idx="14">
                  <c:v>423.86206900000002</c:v>
                </c:pt>
                <c:pt idx="15">
                  <c:v>454.13793099999998</c:v>
                </c:pt>
                <c:pt idx="16">
                  <c:v>484.413793</c:v>
                </c:pt>
                <c:pt idx="17">
                  <c:v>514.68965500000002</c:v>
                </c:pt>
                <c:pt idx="18">
                  <c:v>544.96551699999998</c:v>
                </c:pt>
                <c:pt idx="19">
                  <c:v>575.24137900000005</c:v>
                </c:pt>
                <c:pt idx="20">
                  <c:v>605.51724100000001</c:v>
                </c:pt>
                <c:pt idx="21">
                  <c:v>635.79310299999997</c:v>
                </c:pt>
                <c:pt idx="22">
                  <c:v>666.06896600000005</c:v>
                </c:pt>
                <c:pt idx="23">
                  <c:v>696.34482800000001</c:v>
                </c:pt>
                <c:pt idx="24">
                  <c:v>726.62068999999997</c:v>
                </c:pt>
                <c:pt idx="25">
                  <c:v>756.89655200000004</c:v>
                </c:pt>
                <c:pt idx="26">
                  <c:v>787.172414</c:v>
                </c:pt>
                <c:pt idx="27">
                  <c:v>817.44827599999996</c:v>
                </c:pt>
                <c:pt idx="28">
                  <c:v>847.72413800000004</c:v>
                </c:pt>
                <c:pt idx="29">
                  <c:v>878</c:v>
                </c:pt>
              </c:numCache>
            </c:numRef>
          </c:xVal>
          <c:yVal>
            <c:numRef>
              <c:f>'[1]kurva 1_1b'!$G$4:$G$33</c:f>
              <c:numCache>
                <c:formatCode>General</c:formatCode>
                <c:ptCount val="30"/>
                <c:pt idx="0">
                  <c:v>0</c:v>
                </c:pt>
                <c:pt idx="1">
                  <c:v>1.9139211934010053E-2</c:v>
                </c:pt>
                <c:pt idx="2">
                  <c:v>8.8355991361885405E-2</c:v>
                </c:pt>
                <c:pt idx="3">
                  <c:v>0.21680047781702969</c:v>
                </c:pt>
                <c:pt idx="4">
                  <c:v>0.40614667856567432</c:v>
                </c:pt>
                <c:pt idx="5">
                  <c:v>0.61370319657783423</c:v>
                </c:pt>
                <c:pt idx="6">
                  <c:v>0.78526342945904437</c:v>
                </c:pt>
                <c:pt idx="7">
                  <c:v>0.8879010830353754</c:v>
                </c:pt>
                <c:pt idx="8">
                  <c:v>0.91263826851325835</c:v>
                </c:pt>
                <c:pt idx="9">
                  <c:v>0.89631166618815628</c:v>
                </c:pt>
                <c:pt idx="10">
                  <c:v>0.85608536064839524</c:v>
                </c:pt>
                <c:pt idx="11">
                  <c:v>0.81096741679620921</c:v>
                </c:pt>
                <c:pt idx="12">
                  <c:v>0.77070809374719162</c:v>
                </c:pt>
                <c:pt idx="13">
                  <c:v>0.74349234977874268</c:v>
                </c:pt>
                <c:pt idx="14">
                  <c:v>0.72670310850831499</c:v>
                </c:pt>
                <c:pt idx="15">
                  <c:v>0.71356752764902587</c:v>
                </c:pt>
                <c:pt idx="16">
                  <c:v>0.69461124512740124</c:v>
                </c:pt>
                <c:pt idx="17">
                  <c:v>0.66228459256652605</c:v>
                </c:pt>
                <c:pt idx="18">
                  <c:v>0.61709805953882713</c:v>
                </c:pt>
                <c:pt idx="19">
                  <c:v>0.56036697586440021</c:v>
                </c:pt>
                <c:pt idx="20">
                  <c:v>0.49777313798964318</c:v>
                </c:pt>
                <c:pt idx="21">
                  <c:v>0.43129029764501936</c:v>
                </c:pt>
                <c:pt idx="22">
                  <c:v>0.36629931162569274</c:v>
                </c:pt>
                <c:pt idx="23">
                  <c:v>0.30252915902152611</c:v>
                </c:pt>
                <c:pt idx="24">
                  <c:v>0.24032876252165414</c:v>
                </c:pt>
                <c:pt idx="25">
                  <c:v>0.18021910047872663</c:v>
                </c:pt>
                <c:pt idx="26">
                  <c:v>0.12353178419632968</c:v>
                </c:pt>
                <c:pt idx="27">
                  <c:v>7.3569117381761445E-2</c:v>
                </c:pt>
                <c:pt idx="28">
                  <c:v>3.3198001664417977E-2</c:v>
                </c:pt>
                <c:pt idx="29">
                  <c:v>7.7101674676822926E-3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6E-6647-B445-1EAE3A112B42}"/>
            </c:ext>
          </c:extLst>
        </c:ser>
        <c:ser>
          <c:idx val="1"/>
          <c:order val="1"/>
          <c:tx>
            <c:strRef>
              <c:f>'[1]kurva 1_1b'!$I$3</c:f>
              <c:strCache>
                <c:ptCount val="1"/>
                <c:pt idx="0">
                  <c:v>k*rICP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1_1b'!$C$4:$C$33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30.275862</c:v>
                </c:pt>
                <c:pt idx="2">
                  <c:v>60.551724</c:v>
                </c:pt>
                <c:pt idx="3">
                  <c:v>90.827585999999997</c:v>
                </c:pt>
                <c:pt idx="4">
                  <c:v>121.103448</c:v>
                </c:pt>
                <c:pt idx="5">
                  <c:v>151.37931</c:v>
                </c:pt>
                <c:pt idx="6">
                  <c:v>181.65517199999999</c:v>
                </c:pt>
                <c:pt idx="7">
                  <c:v>211.93103400000001</c:v>
                </c:pt>
                <c:pt idx="8">
                  <c:v>242.206897</c:v>
                </c:pt>
                <c:pt idx="9">
                  <c:v>272.48275899999999</c:v>
                </c:pt>
                <c:pt idx="10">
                  <c:v>302.75862100000001</c:v>
                </c:pt>
                <c:pt idx="11">
                  <c:v>333.03448300000002</c:v>
                </c:pt>
                <c:pt idx="12">
                  <c:v>363.31034499999998</c:v>
                </c:pt>
                <c:pt idx="13">
                  <c:v>393.586207</c:v>
                </c:pt>
                <c:pt idx="14">
                  <c:v>423.86206900000002</c:v>
                </c:pt>
                <c:pt idx="15">
                  <c:v>454.13793099999998</c:v>
                </c:pt>
                <c:pt idx="16">
                  <c:v>484.413793</c:v>
                </c:pt>
                <c:pt idx="17">
                  <c:v>514.68965500000002</c:v>
                </c:pt>
                <c:pt idx="18">
                  <c:v>544.96551699999998</c:v>
                </c:pt>
                <c:pt idx="19">
                  <c:v>575.24137900000005</c:v>
                </c:pt>
                <c:pt idx="20">
                  <c:v>605.51724100000001</c:v>
                </c:pt>
                <c:pt idx="21">
                  <c:v>635.79310299999997</c:v>
                </c:pt>
                <c:pt idx="22">
                  <c:v>666.06896600000005</c:v>
                </c:pt>
                <c:pt idx="23">
                  <c:v>696.34482800000001</c:v>
                </c:pt>
                <c:pt idx="24">
                  <c:v>726.62068999999997</c:v>
                </c:pt>
                <c:pt idx="25">
                  <c:v>756.89655200000004</c:v>
                </c:pt>
                <c:pt idx="26">
                  <c:v>787.172414</c:v>
                </c:pt>
                <c:pt idx="27">
                  <c:v>817.44827599999996</c:v>
                </c:pt>
                <c:pt idx="28">
                  <c:v>847.72413800000004</c:v>
                </c:pt>
                <c:pt idx="29">
                  <c:v>878</c:v>
                </c:pt>
              </c:numCache>
            </c:numRef>
          </c:xVal>
          <c:yVal>
            <c:numRef>
              <c:f>'[1]kurva 1_1b'!$I$4:$I$33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5.1666666666666486E-2</c:v>
                </c:pt>
                <c:pt idx="3">
                  <c:v>0.41333333333333355</c:v>
                </c:pt>
                <c:pt idx="4">
                  <c:v>1.6339583333333336</c:v>
                </c:pt>
                <c:pt idx="5">
                  <c:v>2.9805208333333333</c:v>
                </c:pt>
                <c:pt idx="6">
                  <c:v>3.3195833333333336</c:v>
                </c:pt>
                <c:pt idx="7">
                  <c:v>1.8503124999999998</c:v>
                </c:pt>
                <c:pt idx="8">
                  <c:v>1.0236458333333336</c:v>
                </c:pt>
                <c:pt idx="9">
                  <c:v>1.3401041666666669</c:v>
                </c:pt>
                <c:pt idx="10">
                  <c:v>2.0731250000000006</c:v>
                </c:pt>
                <c:pt idx="11">
                  <c:v>1.7243750000000004</c:v>
                </c:pt>
                <c:pt idx="12">
                  <c:v>0.81375000000000008</c:v>
                </c:pt>
                <c:pt idx="13">
                  <c:v>0.77822916666666653</c:v>
                </c:pt>
                <c:pt idx="14">
                  <c:v>1.3594791666666666</c:v>
                </c:pt>
                <c:pt idx="15">
                  <c:v>1.847083333333333</c:v>
                </c:pt>
                <c:pt idx="16">
                  <c:v>1.2948958333333331</c:v>
                </c:pt>
                <c:pt idx="17">
                  <c:v>0.65229166666666705</c:v>
                </c:pt>
                <c:pt idx="18">
                  <c:v>0.68135416666666704</c:v>
                </c:pt>
                <c:pt idx="19">
                  <c:v>0.90416666666666679</c:v>
                </c:pt>
                <c:pt idx="20">
                  <c:v>0.87187500000000007</c:v>
                </c:pt>
                <c:pt idx="21">
                  <c:v>0.49406250000000002</c:v>
                </c:pt>
                <c:pt idx="22">
                  <c:v>0.28739583333333324</c:v>
                </c:pt>
                <c:pt idx="23">
                  <c:v>0.36489583333333298</c:v>
                </c:pt>
                <c:pt idx="24">
                  <c:v>0.44239583333333354</c:v>
                </c:pt>
                <c:pt idx="25">
                  <c:v>0.29385416666666675</c:v>
                </c:pt>
                <c:pt idx="26">
                  <c:v>0.10656250000000014</c:v>
                </c:pt>
                <c:pt idx="27">
                  <c:v>9.3645833333333525E-2</c:v>
                </c:pt>
                <c:pt idx="28">
                  <c:v>0.12270833333333353</c:v>
                </c:pt>
                <c:pt idx="29">
                  <c:v>7.1041666666666628E-2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6E-6647-B445-1EAE3A112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42352"/>
        <c:axId val="15174208"/>
      </c:scatterChart>
      <c:valAx>
        <c:axId val="15542352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layout>
            <c:manualLayout>
              <c:xMode val="edge"/>
              <c:yMode val="edge"/>
              <c:x val="0.47723305470632277"/>
              <c:y val="0.908039127267681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174208"/>
        <c:crosses val="autoZero"/>
        <c:crossBetween val="midCat"/>
      </c:valAx>
      <c:valAx>
        <c:axId val="151742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5423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Ven vol vs. ICP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'[1]kurva 1_2b'!$G$3</c:f>
              <c:strCache>
                <c:ptCount val="1"/>
                <c:pt idx="0">
                  <c:v>V vol (ml)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'[1]kurva 1_2b'!$C$4:$C$33</c:f>
              <c:numCache>
                <c:formatCode>General</c:formatCode>
                <c:ptCount val="30"/>
                <c:pt idx="0">
                  <c:v>0</c:v>
                </c:pt>
                <c:pt idx="1">
                  <c:v>36.344828</c:v>
                </c:pt>
                <c:pt idx="2">
                  <c:v>72.689655000000002</c:v>
                </c:pt>
                <c:pt idx="3">
                  <c:v>109.03448299999999</c:v>
                </c:pt>
                <c:pt idx="4">
                  <c:v>145.37931</c:v>
                </c:pt>
                <c:pt idx="5">
                  <c:v>181.72413800000001</c:v>
                </c:pt>
                <c:pt idx="6">
                  <c:v>218.06896599999999</c:v>
                </c:pt>
                <c:pt idx="7">
                  <c:v>254.413793</c:v>
                </c:pt>
                <c:pt idx="8">
                  <c:v>290.75862100000001</c:v>
                </c:pt>
                <c:pt idx="9">
                  <c:v>327.10344800000001</c:v>
                </c:pt>
                <c:pt idx="10">
                  <c:v>363.44827600000002</c:v>
                </c:pt>
                <c:pt idx="11">
                  <c:v>399.79310299999997</c:v>
                </c:pt>
                <c:pt idx="12">
                  <c:v>436.13793099999998</c:v>
                </c:pt>
                <c:pt idx="13">
                  <c:v>472.48275899999999</c:v>
                </c:pt>
                <c:pt idx="14">
                  <c:v>508.827586</c:v>
                </c:pt>
                <c:pt idx="15">
                  <c:v>545.172414</c:v>
                </c:pt>
                <c:pt idx="16">
                  <c:v>581.51724100000001</c:v>
                </c:pt>
                <c:pt idx="17">
                  <c:v>617.86206900000002</c:v>
                </c:pt>
                <c:pt idx="18">
                  <c:v>654.20689700000003</c:v>
                </c:pt>
                <c:pt idx="19">
                  <c:v>690.55172400000004</c:v>
                </c:pt>
                <c:pt idx="20">
                  <c:v>726.89655200000004</c:v>
                </c:pt>
                <c:pt idx="21">
                  <c:v>763.24137900000005</c:v>
                </c:pt>
                <c:pt idx="22">
                  <c:v>799.58620699999994</c:v>
                </c:pt>
                <c:pt idx="23">
                  <c:v>835.93103399999995</c:v>
                </c:pt>
                <c:pt idx="24">
                  <c:v>872.27586199999996</c:v>
                </c:pt>
                <c:pt idx="25">
                  <c:v>908.62068999999997</c:v>
                </c:pt>
                <c:pt idx="26">
                  <c:v>944.96551699999998</c:v>
                </c:pt>
                <c:pt idx="27">
                  <c:v>981.31034499999998</c:v>
                </c:pt>
                <c:pt idx="28">
                  <c:v>1017.655172</c:v>
                </c:pt>
                <c:pt idx="29">
                  <c:v>1054</c:v>
                </c:pt>
              </c:numCache>
            </c:numRef>
          </c:xVal>
          <c:yVal>
            <c:numRef>
              <c:f>'[1]kurva 1_2b'!$G$4:$G$33</c:f>
              <c:numCache>
                <c:formatCode>General</c:formatCode>
                <c:ptCount val="30"/>
                <c:pt idx="0">
                  <c:v>0</c:v>
                </c:pt>
                <c:pt idx="1">
                  <c:v>8.7671140596429969E-2</c:v>
                </c:pt>
                <c:pt idx="2">
                  <c:v>0.26000893179428164</c:v>
                </c:pt>
                <c:pt idx="3">
                  <c:v>0.47100174613373169</c:v>
                </c:pt>
                <c:pt idx="4">
                  <c:v>0.66766055517085232</c:v>
                </c:pt>
                <c:pt idx="5">
                  <c:v>0.82582902606805375</c:v>
                </c:pt>
                <c:pt idx="6">
                  <c:v>0.96524666243244062</c:v>
                </c:pt>
                <c:pt idx="7">
                  <c:v>1.0771912983054597</c:v>
                </c:pt>
                <c:pt idx="8">
                  <c:v>1.157669006466497</c:v>
                </c:pt>
                <c:pt idx="9">
                  <c:v>1.2035941091583429</c:v>
                </c:pt>
                <c:pt idx="10">
                  <c:v>1.2171057462356842</c:v>
                </c:pt>
                <c:pt idx="11">
                  <c:v>1.2150453612451666</c:v>
                </c:pt>
                <c:pt idx="12">
                  <c:v>1.2026624942262718</c:v>
                </c:pt>
                <c:pt idx="13">
                  <c:v>1.1782590195768472</c:v>
                </c:pt>
                <c:pt idx="14">
                  <c:v>1.1398115058951228</c:v>
                </c:pt>
                <c:pt idx="15">
                  <c:v>1.0901214244958941</c:v>
                </c:pt>
                <c:pt idx="16">
                  <c:v>1.0342334450723738</c:v>
                </c:pt>
                <c:pt idx="17">
                  <c:v>0.97372648423371166</c:v>
                </c:pt>
                <c:pt idx="18">
                  <c:v>0.91062055587920709</c:v>
                </c:pt>
                <c:pt idx="19">
                  <c:v>0.84454885959231574</c:v>
                </c:pt>
                <c:pt idx="20">
                  <c:v>0.77429816864929024</c:v>
                </c:pt>
                <c:pt idx="21">
                  <c:v>0.69902613767062938</c:v>
                </c:pt>
                <c:pt idx="22">
                  <c:v>0.61786083992038388</c:v>
                </c:pt>
                <c:pt idx="23">
                  <c:v>0.53417126392097503</c:v>
                </c:pt>
                <c:pt idx="24">
                  <c:v>0.44955668431765361</c:v>
                </c:pt>
                <c:pt idx="25">
                  <c:v>0.36381376617441658</c:v>
                </c:pt>
                <c:pt idx="26">
                  <c:v>0.27347797388325035</c:v>
                </c:pt>
                <c:pt idx="27">
                  <c:v>0.17291512270518558</c:v>
                </c:pt>
                <c:pt idx="28">
                  <c:v>6.7013599726704134E-2</c:v>
                </c:pt>
                <c:pt idx="29">
                  <c:v>-1.9931668028978278E-2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36-5444-AC54-33FB2E966C71}"/>
            </c:ext>
          </c:extLst>
        </c:ser>
        <c:ser>
          <c:idx val="1"/>
          <c:order val="1"/>
          <c:tx>
            <c:strRef>
              <c:f>'[1]kurva 1_2b'!$J$3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1_2b'!$C$4:$C$33</c:f>
              <c:numCache>
                <c:formatCode>General</c:formatCode>
                <c:ptCount val="30"/>
                <c:pt idx="0">
                  <c:v>0</c:v>
                </c:pt>
                <c:pt idx="1">
                  <c:v>36.344828</c:v>
                </c:pt>
                <c:pt idx="2">
                  <c:v>72.689655000000002</c:v>
                </c:pt>
                <c:pt idx="3">
                  <c:v>109.03448299999999</c:v>
                </c:pt>
                <c:pt idx="4">
                  <c:v>145.37931</c:v>
                </c:pt>
                <c:pt idx="5">
                  <c:v>181.72413800000001</c:v>
                </c:pt>
                <c:pt idx="6">
                  <c:v>218.06896599999999</c:v>
                </c:pt>
                <c:pt idx="7">
                  <c:v>254.413793</c:v>
                </c:pt>
                <c:pt idx="8">
                  <c:v>290.75862100000001</c:v>
                </c:pt>
                <c:pt idx="9">
                  <c:v>327.10344800000001</c:v>
                </c:pt>
                <c:pt idx="10">
                  <c:v>363.44827600000002</c:v>
                </c:pt>
                <c:pt idx="11">
                  <c:v>399.79310299999997</c:v>
                </c:pt>
                <c:pt idx="12">
                  <c:v>436.13793099999998</c:v>
                </c:pt>
                <c:pt idx="13">
                  <c:v>472.48275899999999</c:v>
                </c:pt>
                <c:pt idx="14">
                  <c:v>508.827586</c:v>
                </c:pt>
                <c:pt idx="15">
                  <c:v>545.172414</c:v>
                </c:pt>
                <c:pt idx="16">
                  <c:v>581.51724100000001</c:v>
                </c:pt>
                <c:pt idx="17">
                  <c:v>617.86206900000002</c:v>
                </c:pt>
                <c:pt idx="18">
                  <c:v>654.20689700000003</c:v>
                </c:pt>
                <c:pt idx="19">
                  <c:v>690.55172400000004</c:v>
                </c:pt>
                <c:pt idx="20">
                  <c:v>726.89655200000004</c:v>
                </c:pt>
                <c:pt idx="21">
                  <c:v>763.24137900000005</c:v>
                </c:pt>
                <c:pt idx="22">
                  <c:v>799.58620699999994</c:v>
                </c:pt>
                <c:pt idx="23">
                  <c:v>835.93103399999995</c:v>
                </c:pt>
                <c:pt idx="24">
                  <c:v>872.27586199999996</c:v>
                </c:pt>
                <c:pt idx="25">
                  <c:v>908.62068999999997</c:v>
                </c:pt>
                <c:pt idx="26">
                  <c:v>944.96551699999998</c:v>
                </c:pt>
                <c:pt idx="27">
                  <c:v>981.31034499999998</c:v>
                </c:pt>
                <c:pt idx="28">
                  <c:v>1017.655172</c:v>
                </c:pt>
                <c:pt idx="29">
                  <c:v>1054</c:v>
                </c:pt>
              </c:numCache>
            </c:numRef>
          </c:xVal>
          <c:yVal>
            <c:numRef>
              <c:f>'[1]kurva 1_2b'!$J$4:$J$33</c:f>
              <c:numCache>
                <c:formatCode>General</c:formatCode>
                <c:ptCount val="30"/>
                <c:pt idx="0">
                  <c:v>1.5500000000000109E-2</c:v>
                </c:pt>
                <c:pt idx="1">
                  <c:v>1.4079166666666663</c:v>
                </c:pt>
                <c:pt idx="2">
                  <c:v>3.0225</c:v>
                </c:pt>
                <c:pt idx="3">
                  <c:v>2.5265</c:v>
                </c:pt>
                <c:pt idx="4">
                  <c:v>1.3485</c:v>
                </c:pt>
                <c:pt idx="5">
                  <c:v>1.4104999999999999</c:v>
                </c:pt>
                <c:pt idx="6">
                  <c:v>1.9943333333333331</c:v>
                </c:pt>
                <c:pt idx="7">
                  <c:v>2.0821666666666663</c:v>
                </c:pt>
                <c:pt idx="8">
                  <c:v>1.6791666666666667</c:v>
                </c:pt>
                <c:pt idx="9">
                  <c:v>1.2735833333333331</c:v>
                </c:pt>
                <c:pt idx="10">
                  <c:v>1.6274999999999999</c:v>
                </c:pt>
                <c:pt idx="11">
                  <c:v>2.074416666666667</c:v>
                </c:pt>
                <c:pt idx="12">
                  <c:v>1.7876666666666665</c:v>
                </c:pt>
                <c:pt idx="13">
                  <c:v>1.5655000000000001</c:v>
                </c:pt>
                <c:pt idx="14">
                  <c:v>1.5448333333333337</c:v>
                </c:pt>
                <c:pt idx="15">
                  <c:v>1.4492500000000001</c:v>
                </c:pt>
                <c:pt idx="16">
                  <c:v>1.2425833333333336</c:v>
                </c:pt>
                <c:pt idx="17">
                  <c:v>1.1108333333333331</c:v>
                </c:pt>
                <c:pt idx="18">
                  <c:v>1.0075000000000003</c:v>
                </c:pt>
                <c:pt idx="19">
                  <c:v>0.91966666666666641</c:v>
                </c:pt>
                <c:pt idx="20">
                  <c:v>0.77241666666666686</c:v>
                </c:pt>
                <c:pt idx="21">
                  <c:v>0.71558333333333313</c:v>
                </c:pt>
                <c:pt idx="22">
                  <c:v>0.64324999999999977</c:v>
                </c:pt>
                <c:pt idx="23">
                  <c:v>0.53991666666666682</c:v>
                </c:pt>
                <c:pt idx="24">
                  <c:v>0.47016666666666679</c:v>
                </c:pt>
                <c:pt idx="25">
                  <c:v>0.51666666666666683</c:v>
                </c:pt>
                <c:pt idx="26">
                  <c:v>0.45466666666666639</c:v>
                </c:pt>
                <c:pt idx="27">
                  <c:v>0.28933333333333361</c:v>
                </c:pt>
                <c:pt idx="28">
                  <c:v>0.14531250000000001</c:v>
                </c:pt>
                <c:pt idx="2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36-5444-AC54-33FB2E966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05268015"/>
        <c:axId val="1505269663"/>
      </c:scatterChart>
      <c:valAx>
        <c:axId val="15052680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05269663"/>
        <c:crosses val="autoZero"/>
        <c:crossBetween val="midCat"/>
      </c:valAx>
      <c:valAx>
        <c:axId val="15052696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052680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 b="1"/>
              <a:t>k*ICP vs vol 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'[1]kurva 1_3b'!$G$3</c:f>
              <c:strCache>
                <c:ptCount val="1"/>
                <c:pt idx="0">
                  <c:v>V vol (ml)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1_3b'!$C$4:$C$33</c:f>
              <c:numCache>
                <c:formatCode>General</c:formatCode>
                <c:ptCount val="30"/>
                <c:pt idx="0">
                  <c:v>0</c:v>
                </c:pt>
                <c:pt idx="1">
                  <c:v>29</c:v>
                </c:pt>
                <c:pt idx="2">
                  <c:v>57</c:v>
                </c:pt>
                <c:pt idx="3">
                  <c:v>86</c:v>
                </c:pt>
                <c:pt idx="4">
                  <c:v>114</c:v>
                </c:pt>
                <c:pt idx="5">
                  <c:v>143</c:v>
                </c:pt>
                <c:pt idx="6">
                  <c:v>171</c:v>
                </c:pt>
                <c:pt idx="7">
                  <c:v>200</c:v>
                </c:pt>
                <c:pt idx="8">
                  <c:v>229</c:v>
                </c:pt>
                <c:pt idx="9">
                  <c:v>257</c:v>
                </c:pt>
                <c:pt idx="10">
                  <c:v>286</c:v>
                </c:pt>
                <c:pt idx="11">
                  <c:v>314</c:v>
                </c:pt>
                <c:pt idx="12">
                  <c:v>343</c:v>
                </c:pt>
                <c:pt idx="13">
                  <c:v>371</c:v>
                </c:pt>
                <c:pt idx="14">
                  <c:v>400</c:v>
                </c:pt>
                <c:pt idx="15">
                  <c:v>429</c:v>
                </c:pt>
                <c:pt idx="16">
                  <c:v>457</c:v>
                </c:pt>
                <c:pt idx="17">
                  <c:v>486</c:v>
                </c:pt>
                <c:pt idx="18">
                  <c:v>514</c:v>
                </c:pt>
                <c:pt idx="19">
                  <c:v>543</c:v>
                </c:pt>
                <c:pt idx="20">
                  <c:v>571</c:v>
                </c:pt>
                <c:pt idx="21">
                  <c:v>600</c:v>
                </c:pt>
                <c:pt idx="22">
                  <c:v>629</c:v>
                </c:pt>
                <c:pt idx="23">
                  <c:v>657</c:v>
                </c:pt>
                <c:pt idx="24">
                  <c:v>686</c:v>
                </c:pt>
                <c:pt idx="25">
                  <c:v>714</c:v>
                </c:pt>
                <c:pt idx="26">
                  <c:v>743</c:v>
                </c:pt>
                <c:pt idx="27">
                  <c:v>771</c:v>
                </c:pt>
                <c:pt idx="28">
                  <c:v>800</c:v>
                </c:pt>
                <c:pt idx="29">
                  <c:v>829</c:v>
                </c:pt>
              </c:numCache>
            </c:numRef>
          </c:xVal>
          <c:yVal>
            <c:numRef>
              <c:f>'[1]kurva 1_3b'!$G$4:$G$33</c:f>
              <c:numCache>
                <c:formatCode>General</c:formatCode>
                <c:ptCount val="30"/>
                <c:pt idx="0">
                  <c:v>1.2779110719597978E-2</c:v>
                </c:pt>
                <c:pt idx="1">
                  <c:v>7.5485203141482229E-2</c:v>
                </c:pt>
                <c:pt idx="2">
                  <c:v>0.1759914166982815</c:v>
                </c:pt>
                <c:pt idx="3">
                  <c:v>0.30839819760046383</c:v>
                </c:pt>
                <c:pt idx="4">
                  <c:v>0.4534777322922644</c:v>
                </c:pt>
                <c:pt idx="5">
                  <c:v>0.58806917135823034</c:v>
                </c:pt>
                <c:pt idx="6">
                  <c:v>0.68868391239460147</c:v>
                </c:pt>
                <c:pt idx="7">
                  <c:v>0.76417128608567575</c:v>
                </c:pt>
                <c:pt idx="8">
                  <c:v>0.81518679840806785</c:v>
                </c:pt>
                <c:pt idx="9">
                  <c:v>0.84468022625654371</c:v>
                </c:pt>
                <c:pt idx="10">
                  <c:v>0.88269523180101028</c:v>
                </c:pt>
                <c:pt idx="11">
                  <c:v>0.89296084609372139</c:v>
                </c:pt>
                <c:pt idx="12">
                  <c:v>0.90453747233966175</c:v>
                </c:pt>
                <c:pt idx="13">
                  <c:v>0.87820436469631935</c:v>
                </c:pt>
                <c:pt idx="14">
                  <c:v>0.85121575107636238</c:v>
                </c:pt>
                <c:pt idx="15">
                  <c:v>0.82521039642132732</c:v>
                </c:pt>
                <c:pt idx="16">
                  <c:v>0.77538868637422476</c:v>
                </c:pt>
                <c:pt idx="17">
                  <c:v>0.73802158988280087</c:v>
                </c:pt>
                <c:pt idx="18">
                  <c:v>0.67782139696423149</c:v>
                </c:pt>
                <c:pt idx="19">
                  <c:v>0.62548727576503804</c:v>
                </c:pt>
                <c:pt idx="20">
                  <c:v>0.54671477526731849</c:v>
                </c:pt>
                <c:pt idx="21">
                  <c:v>0.47187531062928689</c:v>
                </c:pt>
                <c:pt idx="22">
                  <c:v>0.39933011690940662</c:v>
                </c:pt>
                <c:pt idx="23">
                  <c:v>0.32907919410767766</c:v>
                </c:pt>
                <c:pt idx="24">
                  <c:v>0.26440007210717337</c:v>
                </c:pt>
                <c:pt idx="25">
                  <c:v>0.20365398596635706</c:v>
                </c:pt>
                <c:pt idx="26">
                  <c:v>0.14782419465015073</c:v>
                </c:pt>
                <c:pt idx="27">
                  <c:v>9.4616427240403089E-2</c:v>
                </c:pt>
                <c:pt idx="28">
                  <c:v>4.6324954655265475E-2</c:v>
                </c:pt>
                <c:pt idx="29">
                  <c:v>-2.8151092568151626E-14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19B-D947-9C51-A0C73A60147F}"/>
            </c:ext>
          </c:extLst>
        </c:ser>
        <c:ser>
          <c:idx val="1"/>
          <c:order val="1"/>
          <c:tx>
            <c:strRef>
              <c:f>'[1]kurva 1_3b'!$I$3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1_3b'!$C$4:$C$33</c:f>
              <c:numCache>
                <c:formatCode>General</c:formatCode>
                <c:ptCount val="30"/>
                <c:pt idx="0">
                  <c:v>0</c:v>
                </c:pt>
                <c:pt idx="1">
                  <c:v>29</c:v>
                </c:pt>
                <c:pt idx="2">
                  <c:v>57</c:v>
                </c:pt>
                <c:pt idx="3">
                  <c:v>86</c:v>
                </c:pt>
                <c:pt idx="4">
                  <c:v>114</c:v>
                </c:pt>
                <c:pt idx="5">
                  <c:v>143</c:v>
                </c:pt>
                <c:pt idx="6">
                  <c:v>171</c:v>
                </c:pt>
                <c:pt idx="7">
                  <c:v>200</c:v>
                </c:pt>
                <c:pt idx="8">
                  <c:v>229</c:v>
                </c:pt>
                <c:pt idx="9">
                  <c:v>257</c:v>
                </c:pt>
                <c:pt idx="10">
                  <c:v>286</c:v>
                </c:pt>
                <c:pt idx="11">
                  <c:v>314</c:v>
                </c:pt>
                <c:pt idx="12">
                  <c:v>343</c:v>
                </c:pt>
                <c:pt idx="13">
                  <c:v>371</c:v>
                </c:pt>
                <c:pt idx="14">
                  <c:v>400</c:v>
                </c:pt>
                <c:pt idx="15">
                  <c:v>429</c:v>
                </c:pt>
                <c:pt idx="16">
                  <c:v>457</c:v>
                </c:pt>
                <c:pt idx="17">
                  <c:v>486</c:v>
                </c:pt>
                <c:pt idx="18">
                  <c:v>514</c:v>
                </c:pt>
                <c:pt idx="19">
                  <c:v>543</c:v>
                </c:pt>
                <c:pt idx="20">
                  <c:v>571</c:v>
                </c:pt>
                <c:pt idx="21">
                  <c:v>600</c:v>
                </c:pt>
                <c:pt idx="22">
                  <c:v>629</c:v>
                </c:pt>
                <c:pt idx="23">
                  <c:v>657</c:v>
                </c:pt>
                <c:pt idx="24">
                  <c:v>686</c:v>
                </c:pt>
                <c:pt idx="25">
                  <c:v>714</c:v>
                </c:pt>
                <c:pt idx="26">
                  <c:v>743</c:v>
                </c:pt>
                <c:pt idx="27">
                  <c:v>771</c:v>
                </c:pt>
                <c:pt idx="28">
                  <c:v>800</c:v>
                </c:pt>
                <c:pt idx="29">
                  <c:v>829</c:v>
                </c:pt>
              </c:numCache>
            </c:numRef>
          </c:xVal>
          <c:yVal>
            <c:numRef>
              <c:f>'[1]kurva 1_3b'!$I$4:$I$33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0.58048772727272835</c:v>
                </c:pt>
                <c:pt idx="2">
                  <c:v>1.7376800000000001</c:v>
                </c:pt>
                <c:pt idx="3">
                  <c:v>2.7864518181818192</c:v>
                </c:pt>
                <c:pt idx="4">
                  <c:v>2.4926554545454569</c:v>
                </c:pt>
                <c:pt idx="5">
                  <c:v>1.3176545454545474</c:v>
                </c:pt>
                <c:pt idx="6">
                  <c:v>0.80009681818181899</c:v>
                </c:pt>
                <c:pt idx="7">
                  <c:v>1.1199140909090906</c:v>
                </c:pt>
                <c:pt idx="8">
                  <c:v>1.7742200000000001</c:v>
                </c:pt>
                <c:pt idx="9">
                  <c:v>1.7387872727272715</c:v>
                </c:pt>
                <c:pt idx="10">
                  <c:v>1.1312636363636377</c:v>
                </c:pt>
                <c:pt idx="11">
                  <c:v>1.0035581818181811</c:v>
                </c:pt>
                <c:pt idx="12">
                  <c:v>1.4871595454545474</c:v>
                </c:pt>
                <c:pt idx="13">
                  <c:v>1.8461927272727288</c:v>
                </c:pt>
                <c:pt idx="14">
                  <c:v>1.741555454545457</c:v>
                </c:pt>
                <c:pt idx="15">
                  <c:v>1.1732477272727286</c:v>
                </c:pt>
                <c:pt idx="16">
                  <c:v>0.83331500000000014</c:v>
                </c:pt>
                <c:pt idx="17">
                  <c:v>0.73790500000000003</c:v>
                </c:pt>
                <c:pt idx="18">
                  <c:v>0.83857454545454735</c:v>
                </c:pt>
                <c:pt idx="19">
                  <c:v>0.90694863636363787</c:v>
                </c:pt>
                <c:pt idx="20">
                  <c:v>0.81845909090909053</c:v>
                </c:pt>
                <c:pt idx="21">
                  <c:v>0.59617409090909057</c:v>
                </c:pt>
                <c:pt idx="22">
                  <c:v>0.42463909090909091</c:v>
                </c:pt>
                <c:pt idx="23">
                  <c:v>0.40766090909090907</c:v>
                </c:pt>
                <c:pt idx="24">
                  <c:v>0.4483531818181819</c:v>
                </c:pt>
                <c:pt idx="25">
                  <c:v>0.44521590909090908</c:v>
                </c:pt>
                <c:pt idx="26">
                  <c:v>0.39594227272727289</c:v>
                </c:pt>
                <c:pt idx="27">
                  <c:v>0.32590727272727282</c:v>
                </c:pt>
                <c:pt idx="28">
                  <c:v>0.26279272727272718</c:v>
                </c:pt>
                <c:pt idx="2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19B-D947-9C51-A0C73A601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8993104"/>
        <c:axId val="698742400"/>
      </c:scatterChart>
      <c:valAx>
        <c:axId val="6989931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698742400"/>
        <c:crosses val="autoZero"/>
        <c:crossBetween val="midCat"/>
      </c:valAx>
      <c:valAx>
        <c:axId val="698742400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698993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Comparison Venvol vs ICP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2091447944006999"/>
          <c:y val="0.12173959563917404"/>
          <c:w val="0.82319663167104107"/>
          <c:h val="0.67704012155273852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2_1b'!$G$3</c:f>
              <c:strCache>
                <c:ptCount val="1"/>
                <c:pt idx="0">
                  <c:v>V vol (ml)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2_1b'!$C$4:$C$33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38.461500000000001</c:v>
                </c:pt>
                <c:pt idx="2">
                  <c:v>76.923000000000002</c:v>
                </c:pt>
                <c:pt idx="3">
                  <c:v>115.3845</c:v>
                </c:pt>
                <c:pt idx="4">
                  <c:v>153.846</c:v>
                </c:pt>
                <c:pt idx="5">
                  <c:v>192.3075</c:v>
                </c:pt>
                <c:pt idx="6">
                  <c:v>230.76900000000001</c:v>
                </c:pt>
                <c:pt idx="7">
                  <c:v>269.23050000000001</c:v>
                </c:pt>
                <c:pt idx="8">
                  <c:v>307.69200000000001</c:v>
                </c:pt>
                <c:pt idx="9">
                  <c:v>346.15350000000001</c:v>
                </c:pt>
                <c:pt idx="10">
                  <c:v>384.61500000000001</c:v>
                </c:pt>
                <c:pt idx="11">
                  <c:v>423.07650000000001</c:v>
                </c:pt>
                <c:pt idx="12">
                  <c:v>461.53800000000001</c:v>
                </c:pt>
                <c:pt idx="13">
                  <c:v>499.99950000000001</c:v>
                </c:pt>
                <c:pt idx="14">
                  <c:v>538.46100000000001</c:v>
                </c:pt>
                <c:pt idx="15">
                  <c:v>576.92250000000001</c:v>
                </c:pt>
                <c:pt idx="16">
                  <c:v>615.38400000000001</c:v>
                </c:pt>
                <c:pt idx="17">
                  <c:v>653.84550000000002</c:v>
                </c:pt>
                <c:pt idx="18">
                  <c:v>692.30700000000002</c:v>
                </c:pt>
                <c:pt idx="19">
                  <c:v>730.76850000000002</c:v>
                </c:pt>
                <c:pt idx="20">
                  <c:v>769.23</c:v>
                </c:pt>
                <c:pt idx="21">
                  <c:v>807.69150000000002</c:v>
                </c:pt>
                <c:pt idx="22">
                  <c:v>846.15300000000002</c:v>
                </c:pt>
                <c:pt idx="23">
                  <c:v>884.61450000000002</c:v>
                </c:pt>
                <c:pt idx="24">
                  <c:v>923.07600000000002</c:v>
                </c:pt>
                <c:pt idx="25">
                  <c:v>961.53750000000002</c:v>
                </c:pt>
                <c:pt idx="26">
                  <c:v>999.99900000000002</c:v>
                </c:pt>
                <c:pt idx="27">
                  <c:v>1038.4604999999999</c:v>
                </c:pt>
                <c:pt idx="28">
                  <c:v>1076.922</c:v>
                </c:pt>
                <c:pt idx="29">
                  <c:v>1115.3834999999999</c:v>
                </c:pt>
              </c:numCache>
            </c:numRef>
          </c:xVal>
          <c:yVal>
            <c:numRef>
              <c:f>'[1]kurva 2_1b'!$G$4:$G$33</c:f>
              <c:numCache>
                <c:formatCode>General</c:formatCode>
                <c:ptCount val="30"/>
                <c:pt idx="0">
                  <c:v>-7.6551466732493675E-3</c:v>
                </c:pt>
                <c:pt idx="1">
                  <c:v>1.867120623635856E-2</c:v>
                </c:pt>
                <c:pt idx="2">
                  <c:v>8.609702717450457E-2</c:v>
                </c:pt>
                <c:pt idx="3">
                  <c:v>0.19591236220189773</c:v>
                </c:pt>
                <c:pt idx="4">
                  <c:v>0.31275794525850004</c:v>
                </c:pt>
                <c:pt idx="5">
                  <c:v>0.42392240701731931</c:v>
                </c:pt>
                <c:pt idx="6">
                  <c:v>0.5083487301170031</c:v>
                </c:pt>
                <c:pt idx="7">
                  <c:v>0.57433392922687065</c:v>
                </c:pt>
                <c:pt idx="8">
                  <c:v>0.61664810639550605</c:v>
                </c:pt>
                <c:pt idx="9">
                  <c:v>0.64971231883904801</c:v>
                </c:pt>
                <c:pt idx="10">
                  <c:v>0.67688356207110412</c:v>
                </c:pt>
                <c:pt idx="11">
                  <c:v>0.69373434972843417</c:v>
                </c:pt>
                <c:pt idx="12">
                  <c:v>0.70213408661428056</c:v>
                </c:pt>
                <c:pt idx="13">
                  <c:v>0.69646721404133016</c:v>
                </c:pt>
                <c:pt idx="14">
                  <c:v>0.68216385503580068</c:v>
                </c:pt>
                <c:pt idx="15">
                  <c:v>0.65942727768539933</c:v>
                </c:pt>
                <c:pt idx="16">
                  <c:v>0.62531799840050084</c:v>
                </c:pt>
                <c:pt idx="17">
                  <c:v>0.58549159591483446</c:v>
                </c:pt>
                <c:pt idx="18">
                  <c:v>0.54023006884827185</c:v>
                </c:pt>
                <c:pt idx="19">
                  <c:v>0.49258144094543277</c:v>
                </c:pt>
                <c:pt idx="20">
                  <c:v>0.44188330542045506</c:v>
                </c:pt>
                <c:pt idx="21">
                  <c:v>0.38594548188519606</c:v>
                </c:pt>
                <c:pt idx="22">
                  <c:v>0.32537094244895925</c:v>
                </c:pt>
                <c:pt idx="23">
                  <c:v>0.25879511317291592</c:v>
                </c:pt>
                <c:pt idx="24">
                  <c:v>0.19102271712654234</c:v>
                </c:pt>
                <c:pt idx="25">
                  <c:v>0.12341520967538799</c:v>
                </c:pt>
                <c:pt idx="26">
                  <c:v>5.7454382142337543E-2</c:v>
                </c:pt>
                <c:pt idx="27">
                  <c:v>-7.6551466732269757E-3</c:v>
                </c:pt>
                <c:pt idx="28">
                  <c:v>-6.8650045774031984E-2</c:v>
                </c:pt>
                <c:pt idx="29">
                  <c:v>-0.1207269753801119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54-8744-B81A-3C7B3722A5B2}"/>
            </c:ext>
          </c:extLst>
        </c:ser>
        <c:ser>
          <c:idx val="1"/>
          <c:order val="1"/>
          <c:tx>
            <c:strRef>
              <c:f>'[1]kurva 2_1b'!$I$3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2_1b'!$C$4:$C$33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38.461500000000001</c:v>
                </c:pt>
                <c:pt idx="2">
                  <c:v>76.923000000000002</c:v>
                </c:pt>
                <c:pt idx="3">
                  <c:v>115.3845</c:v>
                </c:pt>
                <c:pt idx="4">
                  <c:v>153.846</c:v>
                </c:pt>
                <c:pt idx="5">
                  <c:v>192.3075</c:v>
                </c:pt>
                <c:pt idx="6">
                  <c:v>230.76900000000001</c:v>
                </c:pt>
                <c:pt idx="7">
                  <c:v>269.23050000000001</c:v>
                </c:pt>
                <c:pt idx="8">
                  <c:v>307.69200000000001</c:v>
                </c:pt>
                <c:pt idx="9">
                  <c:v>346.15350000000001</c:v>
                </c:pt>
                <c:pt idx="10">
                  <c:v>384.61500000000001</c:v>
                </c:pt>
                <c:pt idx="11">
                  <c:v>423.07650000000001</c:v>
                </c:pt>
                <c:pt idx="12">
                  <c:v>461.53800000000001</c:v>
                </c:pt>
                <c:pt idx="13">
                  <c:v>499.99950000000001</c:v>
                </c:pt>
                <c:pt idx="14">
                  <c:v>538.46100000000001</c:v>
                </c:pt>
                <c:pt idx="15">
                  <c:v>576.92250000000001</c:v>
                </c:pt>
                <c:pt idx="16">
                  <c:v>615.38400000000001</c:v>
                </c:pt>
                <c:pt idx="17">
                  <c:v>653.84550000000002</c:v>
                </c:pt>
                <c:pt idx="18">
                  <c:v>692.30700000000002</c:v>
                </c:pt>
                <c:pt idx="19">
                  <c:v>730.76850000000002</c:v>
                </c:pt>
                <c:pt idx="20">
                  <c:v>769.23</c:v>
                </c:pt>
                <c:pt idx="21">
                  <c:v>807.69150000000002</c:v>
                </c:pt>
                <c:pt idx="22">
                  <c:v>846.15300000000002</c:v>
                </c:pt>
                <c:pt idx="23">
                  <c:v>884.61450000000002</c:v>
                </c:pt>
                <c:pt idx="24">
                  <c:v>923.07600000000002</c:v>
                </c:pt>
                <c:pt idx="25">
                  <c:v>961.53750000000002</c:v>
                </c:pt>
                <c:pt idx="26">
                  <c:v>999.99900000000002</c:v>
                </c:pt>
                <c:pt idx="27">
                  <c:v>1038.4604999999999</c:v>
                </c:pt>
                <c:pt idx="28">
                  <c:v>1076.922</c:v>
                </c:pt>
                <c:pt idx="29">
                  <c:v>1115.3834999999999</c:v>
                </c:pt>
              </c:numCache>
            </c:numRef>
          </c:xVal>
          <c:yVal>
            <c:numRef>
              <c:f>'[1]kurva 2_1b'!$I$4:$I$33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0.30802259733749998</c:v>
                </c:pt>
                <c:pt idx="2">
                  <c:v>0.90592453061249989</c:v>
                </c:pt>
                <c:pt idx="3">
                  <c:v>0.74972384670000003</c:v>
                </c:pt>
                <c:pt idx="4">
                  <c:v>0.55136835809999996</c:v>
                </c:pt>
                <c:pt idx="5">
                  <c:v>0.98845751793749992</c:v>
                </c:pt>
                <c:pt idx="6">
                  <c:v>1.3282263262125</c:v>
                </c:pt>
                <c:pt idx="7">
                  <c:v>1.1220643923</c:v>
                </c:pt>
                <c:pt idx="8">
                  <c:v>0.95077124744999986</c:v>
                </c:pt>
                <c:pt idx="9">
                  <c:v>1.0740413057249998</c:v>
                </c:pt>
                <c:pt idx="10">
                  <c:v>1.1811780436874999</c:v>
                </c:pt>
                <c:pt idx="11">
                  <c:v>0.99947630508749996</c:v>
                </c:pt>
                <c:pt idx="12">
                  <c:v>0.90624761336249982</c:v>
                </c:pt>
                <c:pt idx="13">
                  <c:v>0.91085970288749996</c:v>
                </c:pt>
                <c:pt idx="14">
                  <c:v>0.84469335491249997</c:v>
                </c:pt>
                <c:pt idx="15">
                  <c:v>0.74261735849999988</c:v>
                </c:pt>
                <c:pt idx="16">
                  <c:v>0.68633917458749993</c:v>
                </c:pt>
                <c:pt idx="17">
                  <c:v>0.61392767036249996</c:v>
                </c:pt>
                <c:pt idx="18">
                  <c:v>0.546200033325</c:v>
                </c:pt>
                <c:pt idx="19">
                  <c:v>0.5102186072249999</c:v>
                </c:pt>
                <c:pt idx="20">
                  <c:v>0.451338274875</c:v>
                </c:pt>
                <c:pt idx="21">
                  <c:v>0.38204934877500002</c:v>
                </c:pt>
                <c:pt idx="22">
                  <c:v>0.32837331329999997</c:v>
                </c:pt>
                <c:pt idx="23">
                  <c:v>0.27729942626249998</c:v>
                </c:pt>
                <c:pt idx="24">
                  <c:v>0.23299112516250001</c:v>
                </c:pt>
                <c:pt idx="25">
                  <c:v>0.17931508968749998</c:v>
                </c:pt>
                <c:pt idx="26">
                  <c:v>0.13656807764999998</c:v>
                </c:pt>
                <c:pt idx="27">
                  <c:v>0.1151586828</c:v>
                </c:pt>
                <c:pt idx="28">
                  <c:v>6.6166514512499996E-2</c:v>
                </c:pt>
                <c:pt idx="29">
                  <c:v>1.66537500001091E-7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A54-8744-B81A-3C7B3722A5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3297344"/>
        <c:axId val="1683089120"/>
      </c:scatterChart>
      <c:valAx>
        <c:axId val="16832973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683089120"/>
        <c:crosses val="autoZero"/>
        <c:crossBetween val="midCat"/>
      </c:valAx>
      <c:valAx>
        <c:axId val="1683089120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683297344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Comparison delta ICP vs Ven vol 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2091447944006999"/>
          <c:y val="0.1295343185109368"/>
          <c:w val="0.82319663167104107"/>
          <c:h val="0.67489079900955951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2_2b'!$G$3</c:f>
              <c:strCache>
                <c:ptCount val="1"/>
                <c:pt idx="0">
                  <c:v>V vol (ml)</c:v>
                </c:pt>
              </c:strCache>
            </c:strRef>
          </c:tx>
          <c:spPr>
            <a:ln w="19050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2_2b'!$C$4:$C$33</c:f>
              <c:numCache>
                <c:formatCode>General</c:formatCode>
                <c:ptCount val="30"/>
                <c:pt idx="0">
                  <c:v>0</c:v>
                </c:pt>
                <c:pt idx="1">
                  <c:v>31.25</c:v>
                </c:pt>
                <c:pt idx="2">
                  <c:v>62.5</c:v>
                </c:pt>
                <c:pt idx="3">
                  <c:v>93.75</c:v>
                </c:pt>
                <c:pt idx="4">
                  <c:v>125</c:v>
                </c:pt>
                <c:pt idx="5">
                  <c:v>156.25</c:v>
                </c:pt>
                <c:pt idx="6">
                  <c:v>187.5</c:v>
                </c:pt>
                <c:pt idx="7">
                  <c:v>218.75</c:v>
                </c:pt>
                <c:pt idx="8">
                  <c:v>250</c:v>
                </c:pt>
                <c:pt idx="9">
                  <c:v>281.25</c:v>
                </c:pt>
                <c:pt idx="10">
                  <c:v>312.5</c:v>
                </c:pt>
                <c:pt idx="11">
                  <c:v>343.75</c:v>
                </c:pt>
                <c:pt idx="12">
                  <c:v>375</c:v>
                </c:pt>
                <c:pt idx="13">
                  <c:v>406.25</c:v>
                </c:pt>
                <c:pt idx="14">
                  <c:v>437.5</c:v>
                </c:pt>
                <c:pt idx="15">
                  <c:v>468.75</c:v>
                </c:pt>
                <c:pt idx="16">
                  <c:v>500</c:v>
                </c:pt>
                <c:pt idx="17">
                  <c:v>531.25</c:v>
                </c:pt>
                <c:pt idx="18">
                  <c:v>562.5</c:v>
                </c:pt>
                <c:pt idx="19">
                  <c:v>593.75</c:v>
                </c:pt>
                <c:pt idx="20">
                  <c:v>625</c:v>
                </c:pt>
                <c:pt idx="21">
                  <c:v>656.25</c:v>
                </c:pt>
                <c:pt idx="22">
                  <c:v>687.5</c:v>
                </c:pt>
                <c:pt idx="23">
                  <c:v>718.75</c:v>
                </c:pt>
                <c:pt idx="24">
                  <c:v>750</c:v>
                </c:pt>
                <c:pt idx="25">
                  <c:v>781.25</c:v>
                </c:pt>
                <c:pt idx="26">
                  <c:v>812.5</c:v>
                </c:pt>
                <c:pt idx="27">
                  <c:v>843.75</c:v>
                </c:pt>
                <c:pt idx="28">
                  <c:v>875</c:v>
                </c:pt>
                <c:pt idx="29">
                  <c:v>906.25</c:v>
                </c:pt>
              </c:numCache>
            </c:numRef>
          </c:xVal>
          <c:yVal>
            <c:numRef>
              <c:f>'[1]kurva 2_2b'!$G$4:$G$33</c:f>
              <c:numCache>
                <c:formatCode>General</c:formatCode>
                <c:ptCount val="30"/>
                <c:pt idx="0">
                  <c:v>-1.4528684293363459E-2</c:v>
                </c:pt>
                <c:pt idx="1">
                  <c:v>2.3802407645497903E-3</c:v>
                </c:pt>
                <c:pt idx="2">
                  <c:v>5.787132680970225E-2</c:v>
                </c:pt>
                <c:pt idx="3">
                  <c:v>0.15843134845753701</c:v>
                </c:pt>
                <c:pt idx="4">
                  <c:v>0.28063688428120792</c:v>
                </c:pt>
                <c:pt idx="5">
                  <c:v>0.39833561345083901</c:v>
                </c:pt>
                <c:pt idx="6">
                  <c:v>0.49510694221865975</c:v>
                </c:pt>
                <c:pt idx="7">
                  <c:v>0.54109407015008382</c:v>
                </c:pt>
                <c:pt idx="8">
                  <c:v>0.55753084043054102</c:v>
                </c:pt>
                <c:pt idx="9">
                  <c:v>0.55029120416491639</c:v>
                </c:pt>
                <c:pt idx="10">
                  <c:v>0.52705620830198585</c:v>
                </c:pt>
                <c:pt idx="11">
                  <c:v>0.49581432466830794</c:v>
                </c:pt>
                <c:pt idx="12">
                  <c:v>0.46532159996820144</c:v>
                </c:pt>
                <c:pt idx="13">
                  <c:v>0.44145745298406197</c:v>
                </c:pt>
                <c:pt idx="14">
                  <c:v>0.42441266769656949</c:v>
                </c:pt>
                <c:pt idx="15">
                  <c:v>0.41293419408185117</c:v>
                </c:pt>
                <c:pt idx="16">
                  <c:v>0.40179434284073912</c:v>
                </c:pt>
                <c:pt idx="17">
                  <c:v>0.38780807296328562</c:v>
                </c:pt>
                <c:pt idx="18">
                  <c:v>0.36785070298258904</c:v>
                </c:pt>
                <c:pt idx="19">
                  <c:v>0.34004167667674401</c:v>
                </c:pt>
                <c:pt idx="20">
                  <c:v>0.30554778960787654</c:v>
                </c:pt>
                <c:pt idx="21">
                  <c:v>0.26407736313713304</c:v>
                </c:pt>
                <c:pt idx="22">
                  <c:v>0.21922655844300146</c:v>
                </c:pt>
                <c:pt idx="23">
                  <c:v>0.17145334835439346</c:v>
                </c:pt>
                <c:pt idx="24">
                  <c:v>0.12281712129136782</c:v>
                </c:pt>
                <c:pt idx="25">
                  <c:v>7.4076707585483542E-2</c:v>
                </c:pt>
                <c:pt idx="26">
                  <c:v>2.7132633350948732E-2</c:v>
                </c:pt>
                <c:pt idx="27">
                  <c:v>-1.4528684293346181E-2</c:v>
                </c:pt>
                <c:pt idx="28">
                  <c:v>-4.82857284429518E-2</c:v>
                </c:pt>
                <c:pt idx="29">
                  <c:v>-7.4804980356459924E-2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27-8F4A-AC81-D1DBF00CCFE1}"/>
            </c:ext>
          </c:extLst>
        </c:ser>
        <c:ser>
          <c:idx val="1"/>
          <c:order val="1"/>
          <c:tx>
            <c:strRef>
              <c:f>'[1]kurva 2_2b'!$I$3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2_2b'!$C$4:$C$33</c:f>
              <c:numCache>
                <c:formatCode>General</c:formatCode>
                <c:ptCount val="30"/>
                <c:pt idx="0">
                  <c:v>0</c:v>
                </c:pt>
                <c:pt idx="1">
                  <c:v>31.25</c:v>
                </c:pt>
                <c:pt idx="2">
                  <c:v>62.5</c:v>
                </c:pt>
                <c:pt idx="3">
                  <c:v>93.75</c:v>
                </c:pt>
                <c:pt idx="4">
                  <c:v>125</c:v>
                </c:pt>
                <c:pt idx="5">
                  <c:v>156.25</c:v>
                </c:pt>
                <c:pt idx="6">
                  <c:v>187.5</c:v>
                </c:pt>
                <c:pt idx="7">
                  <c:v>218.75</c:v>
                </c:pt>
                <c:pt idx="8">
                  <c:v>250</c:v>
                </c:pt>
                <c:pt idx="9">
                  <c:v>281.25</c:v>
                </c:pt>
                <c:pt idx="10">
                  <c:v>312.5</c:v>
                </c:pt>
                <c:pt idx="11">
                  <c:v>343.75</c:v>
                </c:pt>
                <c:pt idx="12">
                  <c:v>375</c:v>
                </c:pt>
                <c:pt idx="13">
                  <c:v>406.25</c:v>
                </c:pt>
                <c:pt idx="14">
                  <c:v>437.5</c:v>
                </c:pt>
                <c:pt idx="15">
                  <c:v>468.75</c:v>
                </c:pt>
                <c:pt idx="16">
                  <c:v>500</c:v>
                </c:pt>
                <c:pt idx="17">
                  <c:v>531.25</c:v>
                </c:pt>
                <c:pt idx="18">
                  <c:v>562.5</c:v>
                </c:pt>
                <c:pt idx="19">
                  <c:v>593.75</c:v>
                </c:pt>
                <c:pt idx="20">
                  <c:v>625</c:v>
                </c:pt>
                <c:pt idx="21">
                  <c:v>656.25</c:v>
                </c:pt>
                <c:pt idx="22">
                  <c:v>687.5</c:v>
                </c:pt>
                <c:pt idx="23">
                  <c:v>718.75</c:v>
                </c:pt>
                <c:pt idx="24">
                  <c:v>750</c:v>
                </c:pt>
                <c:pt idx="25">
                  <c:v>781.25</c:v>
                </c:pt>
                <c:pt idx="26">
                  <c:v>812.5</c:v>
                </c:pt>
                <c:pt idx="27">
                  <c:v>843.75</c:v>
                </c:pt>
                <c:pt idx="28">
                  <c:v>875</c:v>
                </c:pt>
                <c:pt idx="29">
                  <c:v>906.25</c:v>
                </c:pt>
              </c:numCache>
            </c:numRef>
          </c:xVal>
          <c:yVal>
            <c:numRef>
              <c:f>'[1]kurva 2_2b'!$I$4:$I$33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0.22976379345</c:v>
                </c:pt>
                <c:pt idx="2">
                  <c:v>0.84142758690000008</c:v>
                </c:pt>
                <c:pt idx="3">
                  <c:v>1.1340038803500001</c:v>
                </c:pt>
                <c:pt idx="4">
                  <c:v>0.75825517379999996</c:v>
                </c:pt>
                <c:pt idx="5">
                  <c:v>0.40511896724999996</c:v>
                </c:pt>
                <c:pt idx="6">
                  <c:v>0.50297651070000005</c:v>
                </c:pt>
                <c:pt idx="7">
                  <c:v>0.87469655415000025</c:v>
                </c:pt>
                <c:pt idx="8">
                  <c:v>0.99642284760000011</c:v>
                </c:pt>
                <c:pt idx="9">
                  <c:v>0.73750539105000013</c:v>
                </c:pt>
                <c:pt idx="10">
                  <c:v>0.59290668449999995</c:v>
                </c:pt>
                <c:pt idx="11">
                  <c:v>0.74478297795000004</c:v>
                </c:pt>
                <c:pt idx="12">
                  <c:v>0.82630927139999999</c:v>
                </c:pt>
                <c:pt idx="13">
                  <c:v>0.69804181485000005</c:v>
                </c:pt>
                <c:pt idx="14">
                  <c:v>0.57731185829999998</c:v>
                </c:pt>
                <c:pt idx="15">
                  <c:v>0.58848815175000002</c:v>
                </c:pt>
                <c:pt idx="16">
                  <c:v>0.59966444520000006</c:v>
                </c:pt>
                <c:pt idx="17">
                  <c:v>0.56059073864999998</c:v>
                </c:pt>
                <c:pt idx="18">
                  <c:v>0.4825732821</c:v>
                </c:pt>
                <c:pt idx="19">
                  <c:v>0.43721832555000001</c:v>
                </c:pt>
                <c:pt idx="20">
                  <c:v>0.40442586899999999</c:v>
                </c:pt>
                <c:pt idx="21">
                  <c:v>0.34022716245000001</c:v>
                </c:pt>
                <c:pt idx="22">
                  <c:v>0.26974720590000001</c:v>
                </c:pt>
                <c:pt idx="23">
                  <c:v>0.23946724935000002</c:v>
                </c:pt>
                <c:pt idx="24">
                  <c:v>0.20667479280000003</c:v>
                </c:pt>
                <c:pt idx="25">
                  <c:v>0.16257608625</c:v>
                </c:pt>
                <c:pt idx="26">
                  <c:v>0.12978362969999999</c:v>
                </c:pt>
                <c:pt idx="27">
                  <c:v>0.10955367314999999</c:v>
                </c:pt>
                <c:pt idx="28">
                  <c:v>6.4198716599999983E-2</c:v>
                </c:pt>
                <c:pt idx="29">
                  <c:v>1.0050000000288994E-8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27-8F4A-AC81-D1DBF00CC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69810639"/>
        <c:axId val="1269504719"/>
      </c:scatterChart>
      <c:valAx>
        <c:axId val="126981063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layout>
            <c:manualLayout>
              <c:xMode val="edge"/>
              <c:yMode val="edge"/>
              <c:x val="0.43855446194225722"/>
              <c:y val="0.8633142571954135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269504719"/>
        <c:crosses val="autoZero"/>
        <c:crossBetween val="midCat"/>
      </c:valAx>
      <c:valAx>
        <c:axId val="1269504719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26981063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 b="1"/>
              <a:t>Comparison delta ICP vs Ven vol 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3617496207469479"/>
          <c:y val="0.12745711364943779"/>
          <c:w val="0.80229598593753748"/>
          <c:h val="0.67775111342441818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2_3b'!$G$3</c:f>
              <c:strCache>
                <c:ptCount val="1"/>
                <c:pt idx="0">
                  <c:v>V vol (ml*s)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2_3b'!$C$4:$C$33</c:f>
              <c:numCache>
                <c:formatCode>General</c:formatCode>
                <c:ptCount val="30"/>
                <c:pt idx="0">
                  <c:v>0</c:v>
                </c:pt>
                <c:pt idx="1">
                  <c:v>28.169</c:v>
                </c:pt>
                <c:pt idx="2">
                  <c:v>56.338000000000001</c:v>
                </c:pt>
                <c:pt idx="3">
                  <c:v>84.507000000000005</c:v>
                </c:pt>
                <c:pt idx="4">
                  <c:v>112.676</c:v>
                </c:pt>
                <c:pt idx="5">
                  <c:v>140.845</c:v>
                </c:pt>
                <c:pt idx="6">
                  <c:v>169.01400000000001</c:v>
                </c:pt>
                <c:pt idx="7">
                  <c:v>197.18299999999999</c:v>
                </c:pt>
                <c:pt idx="8">
                  <c:v>225.352</c:v>
                </c:pt>
                <c:pt idx="9">
                  <c:v>253.52099999999999</c:v>
                </c:pt>
                <c:pt idx="10">
                  <c:v>281.69</c:v>
                </c:pt>
                <c:pt idx="11">
                  <c:v>309.85899999999998</c:v>
                </c:pt>
                <c:pt idx="12">
                  <c:v>338.02800000000002</c:v>
                </c:pt>
                <c:pt idx="13">
                  <c:v>366.197</c:v>
                </c:pt>
                <c:pt idx="14">
                  <c:v>394.36599999999999</c:v>
                </c:pt>
                <c:pt idx="15">
                  <c:v>422.53500000000003</c:v>
                </c:pt>
                <c:pt idx="16">
                  <c:v>450.70400000000001</c:v>
                </c:pt>
                <c:pt idx="17">
                  <c:v>478.87299999999999</c:v>
                </c:pt>
                <c:pt idx="18">
                  <c:v>507.04199999999997</c:v>
                </c:pt>
                <c:pt idx="19">
                  <c:v>535.21100000000001</c:v>
                </c:pt>
                <c:pt idx="20">
                  <c:v>563.38</c:v>
                </c:pt>
                <c:pt idx="21">
                  <c:v>591.54899999999998</c:v>
                </c:pt>
                <c:pt idx="22">
                  <c:v>619.71799999999996</c:v>
                </c:pt>
                <c:pt idx="23">
                  <c:v>647.88699999999994</c:v>
                </c:pt>
                <c:pt idx="24">
                  <c:v>676.05600000000004</c:v>
                </c:pt>
                <c:pt idx="25">
                  <c:v>704.22500000000002</c:v>
                </c:pt>
                <c:pt idx="26">
                  <c:v>732.39400000000001</c:v>
                </c:pt>
                <c:pt idx="27">
                  <c:v>760.56299999999999</c:v>
                </c:pt>
                <c:pt idx="28">
                  <c:v>788.73199999999997</c:v>
                </c:pt>
                <c:pt idx="29">
                  <c:v>816.90099999999995</c:v>
                </c:pt>
              </c:numCache>
            </c:numRef>
          </c:xVal>
          <c:yVal>
            <c:numRef>
              <c:f>'[1]kurva 2_3b'!$G$4:$G$33</c:f>
              <c:numCache>
                <c:formatCode>General</c:formatCode>
                <c:ptCount val="30"/>
                <c:pt idx="0">
                  <c:v>5.9556528187232165E-3</c:v>
                </c:pt>
                <c:pt idx="1">
                  <c:v>6.7770497447682362E-2</c:v>
                </c:pt>
                <c:pt idx="2">
                  <c:v>0.16648878944933279</c:v>
                </c:pt>
                <c:pt idx="3">
                  <c:v>0.2801321577433189</c:v>
                </c:pt>
                <c:pt idx="4">
                  <c:v>0.38866541058694798</c:v>
                </c:pt>
                <c:pt idx="5">
                  <c:v>0.47618955155077408</c:v>
                </c:pt>
                <c:pt idx="6">
                  <c:v>0.53494492961829088</c:v>
                </c:pt>
                <c:pt idx="7">
                  <c:v>0.57019736973404267</c:v>
                </c:pt>
                <c:pt idx="8">
                  <c:v>0.58467139489381437</c:v>
                </c:pt>
                <c:pt idx="9">
                  <c:v>0.57641568737173809</c:v>
                </c:pt>
                <c:pt idx="10">
                  <c:v>0.55477766060850309</c:v>
                </c:pt>
                <c:pt idx="11">
                  <c:v>0.52902264189029835</c:v>
                </c:pt>
                <c:pt idx="12">
                  <c:v>0.50494364172083739</c:v>
                </c:pt>
                <c:pt idx="13">
                  <c:v>0.48647946461823066</c:v>
                </c:pt>
                <c:pt idx="14">
                  <c:v>0.47234035469391084</c:v>
                </c:pt>
                <c:pt idx="15">
                  <c:v>0.46038935647750806</c:v>
                </c:pt>
                <c:pt idx="16">
                  <c:v>0.44868010798903663</c:v>
                </c:pt>
                <c:pt idx="17">
                  <c:v>0.434751173142153</c:v>
                </c:pt>
                <c:pt idx="18">
                  <c:v>0.41658740968175623</c:v>
                </c:pt>
                <c:pt idx="19">
                  <c:v>0.39202038425950608</c:v>
                </c:pt>
                <c:pt idx="20">
                  <c:v>0.36096832791120848</c:v>
                </c:pt>
                <c:pt idx="21">
                  <c:v>0.32471896575466913</c:v>
                </c:pt>
                <c:pt idx="22">
                  <c:v>0.28613601440582676</c:v>
                </c:pt>
                <c:pt idx="23">
                  <c:v>0.24538149204635121</c:v>
                </c:pt>
                <c:pt idx="24">
                  <c:v>0.20555924842191564</c:v>
                </c:pt>
                <c:pt idx="25">
                  <c:v>0.16567251779051198</c:v>
                </c:pt>
                <c:pt idx="26">
                  <c:v>0.12799722858197898</c:v>
                </c:pt>
                <c:pt idx="27">
                  <c:v>9.2355652818708264E-2</c:v>
                </c:pt>
                <c:pt idx="28">
                  <c:v>6.4201727106206891E-2</c:v>
                </c:pt>
                <c:pt idx="2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A16-D743-97CE-CA0206A3A467}"/>
            </c:ext>
          </c:extLst>
        </c:ser>
        <c:ser>
          <c:idx val="1"/>
          <c:order val="1"/>
          <c:tx>
            <c:strRef>
              <c:f>'[1]kurva 2_3b'!$I$3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2_3b'!$C$4:$C$33</c:f>
              <c:numCache>
                <c:formatCode>General</c:formatCode>
                <c:ptCount val="30"/>
                <c:pt idx="0">
                  <c:v>0</c:v>
                </c:pt>
                <c:pt idx="1">
                  <c:v>28.169</c:v>
                </c:pt>
                <c:pt idx="2">
                  <c:v>56.338000000000001</c:v>
                </c:pt>
                <c:pt idx="3">
                  <c:v>84.507000000000005</c:v>
                </c:pt>
                <c:pt idx="4">
                  <c:v>112.676</c:v>
                </c:pt>
                <c:pt idx="5">
                  <c:v>140.845</c:v>
                </c:pt>
                <c:pt idx="6">
                  <c:v>169.01400000000001</c:v>
                </c:pt>
                <c:pt idx="7">
                  <c:v>197.18299999999999</c:v>
                </c:pt>
                <c:pt idx="8">
                  <c:v>225.352</c:v>
                </c:pt>
                <c:pt idx="9">
                  <c:v>253.52099999999999</c:v>
                </c:pt>
                <c:pt idx="10">
                  <c:v>281.69</c:v>
                </c:pt>
                <c:pt idx="11">
                  <c:v>309.85899999999998</c:v>
                </c:pt>
                <c:pt idx="12">
                  <c:v>338.02800000000002</c:v>
                </c:pt>
                <c:pt idx="13">
                  <c:v>366.197</c:v>
                </c:pt>
                <c:pt idx="14">
                  <c:v>394.36599999999999</c:v>
                </c:pt>
                <c:pt idx="15">
                  <c:v>422.53500000000003</c:v>
                </c:pt>
                <c:pt idx="16">
                  <c:v>450.70400000000001</c:v>
                </c:pt>
                <c:pt idx="17">
                  <c:v>478.87299999999999</c:v>
                </c:pt>
                <c:pt idx="18">
                  <c:v>507.04199999999997</c:v>
                </c:pt>
                <c:pt idx="19">
                  <c:v>535.21100000000001</c:v>
                </c:pt>
                <c:pt idx="20">
                  <c:v>563.38</c:v>
                </c:pt>
                <c:pt idx="21">
                  <c:v>591.54899999999998</c:v>
                </c:pt>
                <c:pt idx="22">
                  <c:v>619.71799999999996</c:v>
                </c:pt>
                <c:pt idx="23">
                  <c:v>647.88699999999994</c:v>
                </c:pt>
                <c:pt idx="24">
                  <c:v>676.05600000000004</c:v>
                </c:pt>
                <c:pt idx="25">
                  <c:v>704.22500000000002</c:v>
                </c:pt>
                <c:pt idx="26">
                  <c:v>732.39400000000001</c:v>
                </c:pt>
                <c:pt idx="27">
                  <c:v>760.56299999999999</c:v>
                </c:pt>
                <c:pt idx="28">
                  <c:v>788.73199999999997</c:v>
                </c:pt>
                <c:pt idx="29">
                  <c:v>816.90099999999995</c:v>
                </c:pt>
              </c:numCache>
            </c:numRef>
          </c:xVal>
          <c:yVal>
            <c:numRef>
              <c:f>'[1]kurva 2_3b'!$I$4:$I$33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0.13286899999999979</c:v>
                </c:pt>
                <c:pt idx="2">
                  <c:v>0.53207133333333245</c:v>
                </c:pt>
                <c:pt idx="3">
                  <c:v>1.2289403333333333</c:v>
                </c:pt>
                <c:pt idx="4">
                  <c:v>1.3353718333333329</c:v>
                </c:pt>
                <c:pt idx="5">
                  <c:v>0.84744916666666692</c:v>
                </c:pt>
                <c:pt idx="6">
                  <c:v>0.53088066666666645</c:v>
                </c:pt>
                <c:pt idx="7">
                  <c:v>0.72152049999999901</c:v>
                </c:pt>
                <c:pt idx="8">
                  <c:v>1.1275769999999998</c:v>
                </c:pt>
                <c:pt idx="9">
                  <c:v>1.3642376666666658</c:v>
                </c:pt>
                <c:pt idx="10">
                  <c:v>1.1220858333333323</c:v>
                </c:pt>
                <c:pt idx="11">
                  <c:v>0.74285066666666599</c:v>
                </c:pt>
                <c:pt idx="12">
                  <c:v>0.78171966666666637</c:v>
                </c:pt>
                <c:pt idx="13">
                  <c:v>1.0732136666666658</c:v>
                </c:pt>
                <c:pt idx="14">
                  <c:v>1.1101243333333328</c:v>
                </c:pt>
                <c:pt idx="15">
                  <c:v>0.86307666666666638</c:v>
                </c:pt>
                <c:pt idx="16">
                  <c:v>0.70317483333333242</c:v>
                </c:pt>
                <c:pt idx="17">
                  <c:v>0.6911271666666664</c:v>
                </c:pt>
                <c:pt idx="18">
                  <c:v>0.72803783333333338</c:v>
                </c:pt>
                <c:pt idx="19">
                  <c:v>0.69053183333333346</c:v>
                </c:pt>
                <c:pt idx="20">
                  <c:v>0.59917166666666599</c:v>
                </c:pt>
                <c:pt idx="21">
                  <c:v>0.47745733333333301</c:v>
                </c:pt>
                <c:pt idx="22">
                  <c:v>0.42036799999999952</c:v>
                </c:pt>
                <c:pt idx="23">
                  <c:v>0.36719533333333304</c:v>
                </c:pt>
                <c:pt idx="24">
                  <c:v>0.29933516666666604</c:v>
                </c:pt>
                <c:pt idx="25">
                  <c:v>0.25399583333333348</c:v>
                </c:pt>
                <c:pt idx="26">
                  <c:v>0.21257316666666648</c:v>
                </c:pt>
                <c:pt idx="27">
                  <c:v>0.17212966666666696</c:v>
                </c:pt>
                <c:pt idx="28">
                  <c:v>7.7831999999999998E-2</c:v>
                </c:pt>
                <c:pt idx="29">
                  <c:v>3.6072499999998059E-3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A16-D743-97CE-CA0206A3A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18383"/>
        <c:axId val="1154320031"/>
      </c:scatterChart>
      <c:valAx>
        <c:axId val="1154318383"/>
        <c:scaling>
          <c:orientation val="minMax"/>
          <c:max val="85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(ms)l</a:t>
                </a:r>
              </a:p>
            </c:rich>
          </c:tx>
          <c:layout>
            <c:manualLayout>
              <c:xMode val="edge"/>
              <c:yMode val="edge"/>
              <c:x val="0.45723109152640318"/>
              <c:y val="0.857166713688756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154320031"/>
        <c:crosses val="autoZero"/>
        <c:crossBetween val="midCat"/>
      </c:valAx>
      <c:valAx>
        <c:axId val="1154320031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154318383"/>
        <c:crosses val="autoZero"/>
        <c:crossBetween val="midCat"/>
      </c:valAx>
      <c:spPr>
        <a:noFill/>
        <a:ln w="127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Comparison ICP vs</a:t>
            </a:r>
            <a:r>
              <a:rPr lang="sv-SE" baseline="0"/>
              <a:t> delta venvol</a:t>
            </a:r>
            <a:endParaRPr lang="sv-S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1879795776901786"/>
          <c:y val="0.12460248557943861"/>
          <c:w val="0.82983184323488868"/>
          <c:h val="0.64781863792329319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3_1b'!$G$3</c:f>
              <c:strCache>
                <c:ptCount val="1"/>
                <c:pt idx="0">
                  <c:v>V vol (ml*s)</c:v>
                </c:pt>
              </c:strCache>
            </c:strRef>
          </c:tx>
          <c:spPr>
            <a:ln w="19050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3_1b'!$C$4:$C$33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36.363599999999998</c:v>
                </c:pt>
                <c:pt idx="2">
                  <c:v>72.727199999999996</c:v>
                </c:pt>
                <c:pt idx="3">
                  <c:v>109.0908</c:v>
                </c:pt>
                <c:pt idx="4">
                  <c:v>145.45439999999999</c:v>
                </c:pt>
                <c:pt idx="5">
                  <c:v>181.81800000000001</c:v>
                </c:pt>
                <c:pt idx="6">
                  <c:v>218.1816</c:v>
                </c:pt>
                <c:pt idx="7">
                  <c:v>254.54519999999999</c:v>
                </c:pt>
                <c:pt idx="8">
                  <c:v>290.90879999999999</c:v>
                </c:pt>
                <c:pt idx="9">
                  <c:v>327.2724</c:v>
                </c:pt>
                <c:pt idx="10">
                  <c:v>363.63600000000002</c:v>
                </c:pt>
                <c:pt idx="11">
                  <c:v>399.99959999999999</c:v>
                </c:pt>
                <c:pt idx="12">
                  <c:v>436.36320000000001</c:v>
                </c:pt>
                <c:pt idx="13">
                  <c:v>472.72680000000003</c:v>
                </c:pt>
                <c:pt idx="14">
                  <c:v>509.09039999999999</c:v>
                </c:pt>
                <c:pt idx="15">
                  <c:v>545.45399999999995</c:v>
                </c:pt>
                <c:pt idx="16">
                  <c:v>581.81759999999997</c:v>
                </c:pt>
                <c:pt idx="17">
                  <c:v>618.18119999999999</c:v>
                </c:pt>
                <c:pt idx="18">
                  <c:v>654.54480000000001</c:v>
                </c:pt>
                <c:pt idx="19">
                  <c:v>690.90840000000003</c:v>
                </c:pt>
                <c:pt idx="20">
                  <c:v>727.27200000000005</c:v>
                </c:pt>
                <c:pt idx="21">
                  <c:v>763.63559999999995</c:v>
                </c:pt>
                <c:pt idx="22">
                  <c:v>799.99919999999997</c:v>
                </c:pt>
                <c:pt idx="23">
                  <c:v>836.36279999999999</c:v>
                </c:pt>
                <c:pt idx="24">
                  <c:v>872.72640000000001</c:v>
                </c:pt>
                <c:pt idx="25">
                  <c:v>909.09</c:v>
                </c:pt>
                <c:pt idx="26">
                  <c:v>945.45360000000005</c:v>
                </c:pt>
                <c:pt idx="27">
                  <c:v>981.81719999999996</c:v>
                </c:pt>
                <c:pt idx="28">
                  <c:v>1018.1808</c:v>
                </c:pt>
                <c:pt idx="29">
                  <c:v>1054.5444</c:v>
                </c:pt>
              </c:numCache>
            </c:numRef>
          </c:xVal>
          <c:yVal>
            <c:numRef>
              <c:f>'[1]kurva 3_1b'!$G$4:$G$33</c:f>
              <c:numCache>
                <c:formatCode>General</c:formatCode>
                <c:ptCount val="30"/>
                <c:pt idx="0">
                  <c:v>-5.5470465973780116E-3</c:v>
                </c:pt>
                <c:pt idx="1">
                  <c:v>0.13642851453820706</c:v>
                </c:pt>
                <c:pt idx="2">
                  <c:v>0.37946632137601494</c:v>
                </c:pt>
                <c:pt idx="3">
                  <c:v>0.65301481952874529</c:v>
                </c:pt>
                <c:pt idx="4">
                  <c:v>0.87102992650884214</c:v>
                </c:pt>
                <c:pt idx="5">
                  <c:v>1.0144039812130934</c:v>
                </c:pt>
                <c:pt idx="6">
                  <c:v>1.0483015088007239</c:v>
                </c:pt>
                <c:pt idx="7">
                  <c:v>1.0346053552613304</c:v>
                </c:pt>
                <c:pt idx="8">
                  <c:v>0.99589319906946505</c:v>
                </c:pt>
                <c:pt idx="9">
                  <c:v>0.96485266839380801</c:v>
                </c:pt>
                <c:pt idx="10">
                  <c:v>0.94754035541750736</c:v>
                </c:pt>
                <c:pt idx="11">
                  <c:v>0.95329339003135061</c:v>
                </c:pt>
                <c:pt idx="12">
                  <c:v>0.96747646446384206</c:v>
                </c:pt>
                <c:pt idx="13">
                  <c:v>0.98585370807096895</c:v>
                </c:pt>
                <c:pt idx="14">
                  <c:v>1.0006056623111388</c:v>
                </c:pt>
                <c:pt idx="15">
                  <c:v>1.0007518871201286</c:v>
                </c:pt>
                <c:pt idx="16">
                  <c:v>0.96871734316866187</c:v>
                </c:pt>
                <c:pt idx="17">
                  <c:v>0.91464898493676094</c:v>
                </c:pt>
                <c:pt idx="18">
                  <c:v>0.83515522069000958</c:v>
                </c:pt>
                <c:pt idx="19">
                  <c:v>0.74501339493948715</c:v>
                </c:pt>
                <c:pt idx="20">
                  <c:v>0.64621430759901222</c:v>
                </c:pt>
                <c:pt idx="21">
                  <c:v>0.54000440405912886</c:v>
                </c:pt>
                <c:pt idx="22">
                  <c:v>0.43867966408797898</c:v>
                </c:pt>
                <c:pt idx="23">
                  <c:v>0.347840921765731</c:v>
                </c:pt>
                <c:pt idx="24">
                  <c:v>0.27115202160641672</c:v>
                </c:pt>
                <c:pt idx="25">
                  <c:v>0.20932140609324487</c:v>
                </c:pt>
                <c:pt idx="26">
                  <c:v>0.16516272248612965</c:v>
                </c:pt>
                <c:pt idx="27">
                  <c:v>0.11997735887852634</c:v>
                </c:pt>
                <c:pt idx="28">
                  <c:v>6.1374694039493437E-2</c:v>
                </c:pt>
                <c:pt idx="29">
                  <c:v>-1.0477729794899915E-15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81-2249-B5DA-632C0B7B7088}"/>
            </c:ext>
          </c:extLst>
        </c:ser>
        <c:ser>
          <c:idx val="1"/>
          <c:order val="1"/>
          <c:tx>
            <c:strRef>
              <c:f>'[1]kurva 3_1b'!$I$3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3_1b'!$C$4:$C$33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36.363599999999998</c:v>
                </c:pt>
                <c:pt idx="2">
                  <c:v>72.727199999999996</c:v>
                </c:pt>
                <c:pt idx="3">
                  <c:v>109.0908</c:v>
                </c:pt>
                <c:pt idx="4">
                  <c:v>145.45439999999999</c:v>
                </c:pt>
                <c:pt idx="5">
                  <c:v>181.81800000000001</c:v>
                </c:pt>
                <c:pt idx="6">
                  <c:v>218.1816</c:v>
                </c:pt>
                <c:pt idx="7">
                  <c:v>254.54519999999999</c:v>
                </c:pt>
                <c:pt idx="8">
                  <c:v>290.90879999999999</c:v>
                </c:pt>
                <c:pt idx="9">
                  <c:v>327.2724</c:v>
                </c:pt>
                <c:pt idx="10">
                  <c:v>363.63600000000002</c:v>
                </c:pt>
                <c:pt idx="11">
                  <c:v>399.99959999999999</c:v>
                </c:pt>
                <c:pt idx="12">
                  <c:v>436.36320000000001</c:v>
                </c:pt>
                <c:pt idx="13">
                  <c:v>472.72680000000003</c:v>
                </c:pt>
                <c:pt idx="14">
                  <c:v>509.09039999999999</c:v>
                </c:pt>
                <c:pt idx="15">
                  <c:v>545.45399999999995</c:v>
                </c:pt>
                <c:pt idx="16">
                  <c:v>581.81759999999997</c:v>
                </c:pt>
                <c:pt idx="17">
                  <c:v>618.18119999999999</c:v>
                </c:pt>
                <c:pt idx="18">
                  <c:v>654.54480000000001</c:v>
                </c:pt>
                <c:pt idx="19">
                  <c:v>690.90840000000003</c:v>
                </c:pt>
                <c:pt idx="20">
                  <c:v>727.27200000000005</c:v>
                </c:pt>
                <c:pt idx="21">
                  <c:v>763.63559999999995</c:v>
                </c:pt>
                <c:pt idx="22">
                  <c:v>799.99919999999997</c:v>
                </c:pt>
                <c:pt idx="23">
                  <c:v>836.36279999999999</c:v>
                </c:pt>
                <c:pt idx="24">
                  <c:v>872.72640000000001</c:v>
                </c:pt>
                <c:pt idx="25">
                  <c:v>909.09</c:v>
                </c:pt>
                <c:pt idx="26">
                  <c:v>945.45360000000005</c:v>
                </c:pt>
                <c:pt idx="27">
                  <c:v>981.81719999999996</c:v>
                </c:pt>
                <c:pt idx="28">
                  <c:v>1018.1808</c:v>
                </c:pt>
                <c:pt idx="29">
                  <c:v>1054.5444</c:v>
                </c:pt>
              </c:numCache>
            </c:numRef>
          </c:xVal>
          <c:yVal>
            <c:numRef>
              <c:f>'[1]kurva 3_1b'!$I$4:$I$33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0.91982124999999992</c:v>
                </c:pt>
                <c:pt idx="2">
                  <c:v>2.5739471875</c:v>
                </c:pt>
                <c:pt idx="3">
                  <c:v>2.8165340624999997</c:v>
                </c:pt>
                <c:pt idx="4">
                  <c:v>1.6095349999999999</c:v>
                </c:pt>
                <c:pt idx="5">
                  <c:v>1.0188953125</c:v>
                </c:pt>
                <c:pt idx="6">
                  <c:v>1.7789196875</c:v>
                </c:pt>
                <c:pt idx="7">
                  <c:v>2.4286081250000002</c:v>
                </c:pt>
                <c:pt idx="8">
                  <c:v>1.86460125</c:v>
                </c:pt>
                <c:pt idx="9">
                  <c:v>0.97719593749999989</c:v>
                </c:pt>
                <c:pt idx="10">
                  <c:v>1.3947984375</c:v>
                </c:pt>
                <c:pt idx="11">
                  <c:v>2.1814556249999999</c:v>
                </c:pt>
                <c:pt idx="12">
                  <c:v>1.7734409375</c:v>
                </c:pt>
                <c:pt idx="13">
                  <c:v>1.3045512500000001</c:v>
                </c:pt>
                <c:pt idx="14">
                  <c:v>1.4368021874999999</c:v>
                </c:pt>
                <c:pt idx="15">
                  <c:v>1.6299281249999999</c:v>
                </c:pt>
                <c:pt idx="16">
                  <c:v>1.4387806249999999</c:v>
                </c:pt>
                <c:pt idx="17">
                  <c:v>1.171539375</c:v>
                </c:pt>
                <c:pt idx="18">
                  <c:v>1.0450715625</c:v>
                </c:pt>
                <c:pt idx="19">
                  <c:v>1.04035375</c:v>
                </c:pt>
                <c:pt idx="20">
                  <c:v>0.92910468749999997</c:v>
                </c:pt>
                <c:pt idx="21">
                  <c:v>0.73415249999999987</c:v>
                </c:pt>
                <c:pt idx="22">
                  <c:v>0.58485656249999995</c:v>
                </c:pt>
                <c:pt idx="23">
                  <c:v>0.55350593749999999</c:v>
                </c:pt>
                <c:pt idx="24">
                  <c:v>0.52215531250000002</c:v>
                </c:pt>
                <c:pt idx="25">
                  <c:v>0.49841406249999998</c:v>
                </c:pt>
                <c:pt idx="26">
                  <c:v>0.48608687499999997</c:v>
                </c:pt>
                <c:pt idx="27">
                  <c:v>0.36722843749999995</c:v>
                </c:pt>
                <c:pt idx="28">
                  <c:v>0.21032312499999997</c:v>
                </c:pt>
                <c:pt idx="29">
                  <c:v>1.5218749999996973E-4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81-2249-B5DA-632C0B7B7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0796239"/>
        <c:axId val="2090796639"/>
      </c:scatterChart>
      <c:valAx>
        <c:axId val="209079623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layout>
            <c:manualLayout>
              <c:xMode val="edge"/>
              <c:yMode val="edge"/>
              <c:x val="0.45628836822560076"/>
              <c:y val="0.848554994336384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2090796639"/>
        <c:crosses val="autoZero"/>
        <c:crossBetween val="midCat"/>
      </c:valAx>
      <c:valAx>
        <c:axId val="2090796639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209079623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2647003499562554"/>
          <c:y val="0.10813411078717201"/>
          <c:w val="0.82397440944881895"/>
          <c:h val="0.74520373728794109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3_3b'!$G$3</c:f>
              <c:strCache>
                <c:ptCount val="1"/>
                <c:pt idx="0">
                  <c:v>V vol (ml*s)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3_3b'!$C$4:$C$38</c:f>
              <c:numCache>
                <c:formatCode>General</c:formatCode>
                <c:ptCount val="35"/>
                <c:pt idx="0">
                  <c:v>0</c:v>
                </c:pt>
                <c:pt idx="1">
                  <c:v>24.764706</c:v>
                </c:pt>
                <c:pt idx="2">
                  <c:v>49.529412000000001</c:v>
                </c:pt>
                <c:pt idx="3">
                  <c:v>74.294117999999997</c:v>
                </c:pt>
                <c:pt idx="4">
                  <c:v>99.058824000000001</c:v>
                </c:pt>
                <c:pt idx="5">
                  <c:v>123.82352899999999</c:v>
                </c:pt>
                <c:pt idx="6">
                  <c:v>148.588235</c:v>
                </c:pt>
                <c:pt idx="7">
                  <c:v>173.35294099999999</c:v>
                </c:pt>
                <c:pt idx="8">
                  <c:v>198.11764700000001</c:v>
                </c:pt>
                <c:pt idx="9">
                  <c:v>222.88235299999999</c:v>
                </c:pt>
                <c:pt idx="10">
                  <c:v>247.64705900000001</c:v>
                </c:pt>
                <c:pt idx="11">
                  <c:v>272.411765</c:v>
                </c:pt>
                <c:pt idx="12">
                  <c:v>297.17647099999999</c:v>
                </c:pt>
                <c:pt idx="13">
                  <c:v>321.94117599999998</c:v>
                </c:pt>
                <c:pt idx="14">
                  <c:v>346.70588199999997</c:v>
                </c:pt>
                <c:pt idx="15">
                  <c:v>371.47058800000002</c:v>
                </c:pt>
                <c:pt idx="16">
                  <c:v>396.23529400000001</c:v>
                </c:pt>
                <c:pt idx="17">
                  <c:v>421</c:v>
                </c:pt>
                <c:pt idx="18">
                  <c:v>445.76470599999999</c:v>
                </c:pt>
                <c:pt idx="19">
                  <c:v>470.52941199999998</c:v>
                </c:pt>
                <c:pt idx="20">
                  <c:v>495.29411800000003</c:v>
                </c:pt>
                <c:pt idx="21">
                  <c:v>520.05882399999996</c:v>
                </c:pt>
                <c:pt idx="22">
                  <c:v>544.82352900000001</c:v>
                </c:pt>
                <c:pt idx="23">
                  <c:v>569.58823500000005</c:v>
                </c:pt>
                <c:pt idx="24">
                  <c:v>594.35294099999999</c:v>
                </c:pt>
                <c:pt idx="25">
                  <c:v>619.11764700000003</c:v>
                </c:pt>
                <c:pt idx="26">
                  <c:v>643.88235299999997</c:v>
                </c:pt>
                <c:pt idx="27">
                  <c:v>668.64705900000001</c:v>
                </c:pt>
                <c:pt idx="28">
                  <c:v>693.41176499999995</c:v>
                </c:pt>
                <c:pt idx="29">
                  <c:v>718.17647099999999</c:v>
                </c:pt>
                <c:pt idx="30">
                  <c:v>742.94117600000004</c:v>
                </c:pt>
                <c:pt idx="31">
                  <c:v>767.70588199999997</c:v>
                </c:pt>
                <c:pt idx="32">
                  <c:v>792.47058800000002</c:v>
                </c:pt>
                <c:pt idx="33">
                  <c:v>817.23529399999995</c:v>
                </c:pt>
                <c:pt idx="34">
                  <c:v>842</c:v>
                </c:pt>
              </c:numCache>
            </c:numRef>
          </c:xVal>
          <c:yVal>
            <c:numRef>
              <c:f>'[1]kurva 3_3b'!$G$4:$G$38</c:f>
              <c:numCache>
                <c:formatCode>General</c:formatCode>
                <c:ptCount val="35"/>
                <c:pt idx="0">
                  <c:v>1.3512254536073227E-2</c:v>
                </c:pt>
                <c:pt idx="1">
                  <c:v>0.11993967533586489</c:v>
                </c:pt>
                <c:pt idx="2">
                  <c:v>0.23919906567180571</c:v>
                </c:pt>
                <c:pt idx="3">
                  <c:v>0.3056009957298465</c:v>
                </c:pt>
                <c:pt idx="4">
                  <c:v>0.34567483427667639</c:v>
                </c:pt>
                <c:pt idx="5">
                  <c:v>0.38462664436415511</c:v>
                </c:pt>
                <c:pt idx="6">
                  <c:v>0.48535863741421548</c:v>
                </c:pt>
                <c:pt idx="7">
                  <c:v>0.63394205416802829</c:v>
                </c:pt>
                <c:pt idx="8">
                  <c:v>0.75239512219465143</c:v>
                </c:pt>
                <c:pt idx="9">
                  <c:v>0.81727118851136216</c:v>
                </c:pt>
                <c:pt idx="10">
                  <c:v>0.84021584680855432</c:v>
                </c:pt>
                <c:pt idx="11">
                  <c:v>0.8473207897426156</c:v>
                </c:pt>
                <c:pt idx="12">
                  <c:v>0.84945272276372241</c:v>
                </c:pt>
                <c:pt idx="13">
                  <c:v>0.83858362246159424</c:v>
                </c:pt>
                <c:pt idx="14">
                  <c:v>0.81012550044888121</c:v>
                </c:pt>
                <c:pt idx="15">
                  <c:v>0.76520110764773797</c:v>
                </c:pt>
                <c:pt idx="16">
                  <c:v>0.714120760395898</c:v>
                </c:pt>
                <c:pt idx="17">
                  <c:v>0.6714245222666595</c:v>
                </c:pt>
                <c:pt idx="18">
                  <c:v>0.62999900132975983</c:v>
                </c:pt>
                <c:pt idx="19">
                  <c:v>0.59328538575925927</c:v>
                </c:pt>
                <c:pt idx="20">
                  <c:v>0.55869345642706281</c:v>
                </c:pt>
                <c:pt idx="21">
                  <c:v>0.52840266656099022</c:v>
                </c:pt>
                <c:pt idx="22">
                  <c:v>0.49409931645810462</c:v>
                </c:pt>
                <c:pt idx="23">
                  <c:v>0.45555099609244304</c:v>
                </c:pt>
                <c:pt idx="24">
                  <c:v>0.41769294293039849</c:v>
                </c:pt>
                <c:pt idx="25">
                  <c:v>0.37751236602149274</c:v>
                </c:pt>
                <c:pt idx="26">
                  <c:v>0.33339649709467833</c:v>
                </c:pt>
                <c:pt idx="27">
                  <c:v>0.28413636292797023</c:v>
                </c:pt>
                <c:pt idx="28">
                  <c:v>0.23354122216193146</c:v>
                </c:pt>
                <c:pt idx="29">
                  <c:v>0.18417889908379778</c:v>
                </c:pt>
                <c:pt idx="30">
                  <c:v>0.13237546452706089</c:v>
                </c:pt>
                <c:pt idx="31">
                  <c:v>8.3696412155669447E-2</c:v>
                </c:pt>
                <c:pt idx="32">
                  <c:v>3.8818085407873369E-2</c:v>
                </c:pt>
                <c:pt idx="33">
                  <c:v>-5.1625370645069779E-15</c:v>
                </c:pt>
                <c:pt idx="34">
                  <c:v>-4.4867969716155975E-2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73-A74B-9B61-9F4774FF0A5C}"/>
            </c:ext>
          </c:extLst>
        </c:ser>
        <c:ser>
          <c:idx val="1"/>
          <c:order val="1"/>
          <c:tx>
            <c:strRef>
              <c:f>'[1]kurva 3_3b'!$I$3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3_3b'!$C$4:$C$38</c:f>
              <c:numCache>
                <c:formatCode>General</c:formatCode>
                <c:ptCount val="35"/>
                <c:pt idx="0">
                  <c:v>0</c:v>
                </c:pt>
                <c:pt idx="1">
                  <c:v>24.764706</c:v>
                </c:pt>
                <c:pt idx="2">
                  <c:v>49.529412000000001</c:v>
                </c:pt>
                <c:pt idx="3">
                  <c:v>74.294117999999997</c:v>
                </c:pt>
                <c:pt idx="4">
                  <c:v>99.058824000000001</c:v>
                </c:pt>
                <c:pt idx="5">
                  <c:v>123.82352899999999</c:v>
                </c:pt>
                <c:pt idx="6">
                  <c:v>148.588235</c:v>
                </c:pt>
                <c:pt idx="7">
                  <c:v>173.35294099999999</c:v>
                </c:pt>
                <c:pt idx="8">
                  <c:v>198.11764700000001</c:v>
                </c:pt>
                <c:pt idx="9">
                  <c:v>222.88235299999999</c:v>
                </c:pt>
                <c:pt idx="10">
                  <c:v>247.64705900000001</c:v>
                </c:pt>
                <c:pt idx="11">
                  <c:v>272.411765</c:v>
                </c:pt>
                <c:pt idx="12">
                  <c:v>297.17647099999999</c:v>
                </c:pt>
                <c:pt idx="13">
                  <c:v>321.94117599999998</c:v>
                </c:pt>
                <c:pt idx="14">
                  <c:v>346.70588199999997</c:v>
                </c:pt>
                <c:pt idx="15">
                  <c:v>371.47058800000002</c:v>
                </c:pt>
                <c:pt idx="16">
                  <c:v>396.23529400000001</c:v>
                </c:pt>
                <c:pt idx="17">
                  <c:v>421</c:v>
                </c:pt>
                <c:pt idx="18">
                  <c:v>445.76470599999999</c:v>
                </c:pt>
                <c:pt idx="19">
                  <c:v>470.52941199999998</c:v>
                </c:pt>
                <c:pt idx="20">
                  <c:v>495.29411800000003</c:v>
                </c:pt>
                <c:pt idx="21">
                  <c:v>520.05882399999996</c:v>
                </c:pt>
                <c:pt idx="22">
                  <c:v>544.82352900000001</c:v>
                </c:pt>
                <c:pt idx="23">
                  <c:v>569.58823500000005</c:v>
                </c:pt>
                <c:pt idx="24">
                  <c:v>594.35294099999999</c:v>
                </c:pt>
                <c:pt idx="25">
                  <c:v>619.11764700000003</c:v>
                </c:pt>
                <c:pt idx="26">
                  <c:v>643.88235299999997</c:v>
                </c:pt>
                <c:pt idx="27">
                  <c:v>668.64705900000001</c:v>
                </c:pt>
                <c:pt idx="28">
                  <c:v>693.41176499999995</c:v>
                </c:pt>
                <c:pt idx="29">
                  <c:v>718.17647099999999</c:v>
                </c:pt>
                <c:pt idx="30">
                  <c:v>742.94117600000004</c:v>
                </c:pt>
                <c:pt idx="31">
                  <c:v>767.70588199999997</c:v>
                </c:pt>
                <c:pt idx="32">
                  <c:v>792.47058800000002</c:v>
                </c:pt>
                <c:pt idx="33">
                  <c:v>817.23529399999995</c:v>
                </c:pt>
                <c:pt idx="34">
                  <c:v>842</c:v>
                </c:pt>
              </c:numCache>
            </c:numRef>
          </c:xVal>
          <c:yVal>
            <c:numRef>
              <c:f>'[1]kurva 3_3b'!$I$4:$I$38</c:f>
              <c:numCache>
                <c:formatCode>General</c:formatCode>
                <c:ptCount val="35"/>
                <c:pt idx="0">
                  <c:v>4.5609171818181651E-2</c:v>
                </c:pt>
                <c:pt idx="1">
                  <c:v>0</c:v>
                </c:pt>
                <c:pt idx="2">
                  <c:v>0.24194831454545496</c:v>
                </c:pt>
                <c:pt idx="3">
                  <c:v>1.0377034472727276</c:v>
                </c:pt>
                <c:pt idx="4">
                  <c:v>1.8593676709090881</c:v>
                </c:pt>
                <c:pt idx="5">
                  <c:v>2.0171114400000003</c:v>
                </c:pt>
                <c:pt idx="6">
                  <c:v>1.5051052090909123</c:v>
                </c:pt>
                <c:pt idx="7">
                  <c:v>0.82209897818181754</c:v>
                </c:pt>
                <c:pt idx="8">
                  <c:v>0.88657002000000007</c:v>
                </c:pt>
                <c:pt idx="9">
                  <c:v>1.2910978799999999</c:v>
                </c:pt>
                <c:pt idx="10">
                  <c:v>1.5738530127272747</c:v>
                </c:pt>
                <c:pt idx="11">
                  <c:v>1.4446536000000001</c:v>
                </c:pt>
                <c:pt idx="12">
                  <c:v>1.0900450963636363</c:v>
                </c:pt>
                <c:pt idx="13">
                  <c:v>0.88052750181818129</c:v>
                </c:pt>
                <c:pt idx="14">
                  <c:v>0.96313490727272744</c:v>
                </c:pt>
                <c:pt idx="15">
                  <c:v>1.1409582218181871</c:v>
                </c:pt>
                <c:pt idx="16">
                  <c:v>1.1736906272727252</c:v>
                </c:pt>
                <c:pt idx="17">
                  <c:v>0.95251394181818139</c:v>
                </c:pt>
                <c:pt idx="18">
                  <c:v>0.75854180181818132</c:v>
                </c:pt>
                <c:pt idx="19">
                  <c:v>0.66755829818181756</c:v>
                </c:pt>
                <c:pt idx="20">
                  <c:v>0.67179070363636373</c:v>
                </c:pt>
                <c:pt idx="21">
                  <c:v>0.68379583636363628</c:v>
                </c:pt>
                <c:pt idx="22">
                  <c:v>0.64463051454545506</c:v>
                </c:pt>
                <c:pt idx="23">
                  <c:v>0.56919246545454494</c:v>
                </c:pt>
                <c:pt idx="24">
                  <c:v>0.48727714363636376</c:v>
                </c:pt>
                <c:pt idx="25">
                  <c:v>0.41831636727272747</c:v>
                </c:pt>
                <c:pt idx="26">
                  <c:v>0.36295786363636379</c:v>
                </c:pt>
                <c:pt idx="27">
                  <c:v>0.31472436000000004</c:v>
                </c:pt>
                <c:pt idx="28">
                  <c:v>0.23993403818181758</c:v>
                </c:pt>
                <c:pt idx="29">
                  <c:v>0.18328008000000001</c:v>
                </c:pt>
                <c:pt idx="30">
                  <c:v>0.14800112181818129</c:v>
                </c:pt>
                <c:pt idx="31">
                  <c:v>0.12697216363636374</c:v>
                </c:pt>
                <c:pt idx="32">
                  <c:v>8.4568205454545048E-2</c:v>
                </c:pt>
                <c:pt idx="33">
                  <c:v>2.5971065454545382E-2</c:v>
                </c:pt>
                <c:pt idx="34">
                  <c:v>3.18681818163713E-6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73-A74B-9B61-9F4774FF0A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8002527"/>
        <c:axId val="2088593999"/>
      </c:scatterChart>
      <c:valAx>
        <c:axId val="2088002527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2088593999"/>
        <c:crosses val="autoZero"/>
        <c:crossBetween val="midCat"/>
      </c:valAx>
      <c:valAx>
        <c:axId val="2088593999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208800252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Comparison K*ICP vs Venvol</a:t>
            </a:r>
          </a:p>
        </c:rich>
      </c:tx>
      <c:layout>
        <c:manualLayout>
          <c:xMode val="edge"/>
          <c:yMode val="edge"/>
          <c:x val="0.37547222222222221"/>
          <c:y val="4.1791044776119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0.12647003499562554"/>
          <c:y val="0.1388771888588553"/>
          <c:w val="0.81764107611548553"/>
          <c:h val="0.66703466917381593"/>
        </c:manualLayout>
      </c:layout>
      <c:scatterChart>
        <c:scatterStyle val="lineMarker"/>
        <c:varyColors val="0"/>
        <c:ser>
          <c:idx val="0"/>
          <c:order val="0"/>
          <c:tx>
            <c:strRef>
              <c:f>'[1]kurva 4_1b'!$G$3</c:f>
              <c:strCache>
                <c:ptCount val="1"/>
                <c:pt idx="0">
                  <c:v>V vol (ml*s)</c:v>
                </c:pt>
              </c:strCache>
            </c:strRef>
          </c:tx>
          <c:spPr>
            <a:ln w="28575" cap="rnd">
              <a:solidFill>
                <a:srgbClr val="CD0804"/>
              </a:solidFill>
              <a:round/>
            </a:ln>
            <a:effectLst/>
          </c:spPr>
          <c:marker>
            <c:symbol val="none"/>
          </c:marker>
          <c:xVal>
            <c:numRef>
              <c:f>'[1]kurva 4_1b'!$C$4:$C$33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30.758621000000002</c:v>
                </c:pt>
                <c:pt idx="2">
                  <c:v>61.517240999999999</c:v>
                </c:pt>
                <c:pt idx="3">
                  <c:v>92.275862000000004</c:v>
                </c:pt>
                <c:pt idx="4">
                  <c:v>123.03448299999999</c:v>
                </c:pt>
                <c:pt idx="5">
                  <c:v>153.793103</c:v>
                </c:pt>
                <c:pt idx="6">
                  <c:v>184.55172400000001</c:v>
                </c:pt>
                <c:pt idx="7">
                  <c:v>215.31034500000001</c:v>
                </c:pt>
                <c:pt idx="8">
                  <c:v>246.06896599999999</c:v>
                </c:pt>
                <c:pt idx="9">
                  <c:v>276.827586</c:v>
                </c:pt>
                <c:pt idx="10">
                  <c:v>307.586207</c:v>
                </c:pt>
                <c:pt idx="11">
                  <c:v>338.34482800000001</c:v>
                </c:pt>
                <c:pt idx="12">
                  <c:v>369.10344800000001</c:v>
                </c:pt>
                <c:pt idx="13">
                  <c:v>399.86206900000002</c:v>
                </c:pt>
                <c:pt idx="14">
                  <c:v>430.62069000000002</c:v>
                </c:pt>
                <c:pt idx="15">
                  <c:v>461.37930999999998</c:v>
                </c:pt>
                <c:pt idx="16">
                  <c:v>492.13793099999998</c:v>
                </c:pt>
                <c:pt idx="17">
                  <c:v>522.89655200000004</c:v>
                </c:pt>
                <c:pt idx="18">
                  <c:v>553.65517199999999</c:v>
                </c:pt>
                <c:pt idx="19">
                  <c:v>584.41379300000006</c:v>
                </c:pt>
                <c:pt idx="20">
                  <c:v>615.172414</c:v>
                </c:pt>
                <c:pt idx="21">
                  <c:v>645.93103399999995</c:v>
                </c:pt>
                <c:pt idx="22">
                  <c:v>676.68965500000002</c:v>
                </c:pt>
                <c:pt idx="23">
                  <c:v>707.44827599999996</c:v>
                </c:pt>
                <c:pt idx="24">
                  <c:v>738.20689700000003</c:v>
                </c:pt>
                <c:pt idx="25">
                  <c:v>768.96551699999998</c:v>
                </c:pt>
                <c:pt idx="26">
                  <c:v>799.72413800000004</c:v>
                </c:pt>
                <c:pt idx="27">
                  <c:v>830.48275899999999</c:v>
                </c:pt>
                <c:pt idx="28">
                  <c:v>861.24137900000005</c:v>
                </c:pt>
                <c:pt idx="29">
                  <c:v>892</c:v>
                </c:pt>
              </c:numCache>
            </c:numRef>
          </c:xVal>
          <c:yVal>
            <c:numRef>
              <c:f>'[1]kurva 4_1b'!$G$4:$G$33</c:f>
              <c:numCache>
                <c:formatCode>General</c:formatCode>
                <c:ptCount val="30"/>
                <c:pt idx="0">
                  <c:v>-1.4572405857299054E-3</c:v>
                </c:pt>
                <c:pt idx="1">
                  <c:v>1.2568338607336182E-3</c:v>
                </c:pt>
                <c:pt idx="2">
                  <c:v>7.7554523778867197E-3</c:v>
                </c:pt>
                <c:pt idx="3">
                  <c:v>2.1293205796250447E-2</c:v>
                </c:pt>
                <c:pt idx="4">
                  <c:v>4.8731795810948844E-2</c:v>
                </c:pt>
                <c:pt idx="5">
                  <c:v>8.9950820884668214E-2</c:v>
                </c:pt>
                <c:pt idx="6">
                  <c:v>0.1348205829536348</c:v>
                </c:pt>
                <c:pt idx="7">
                  <c:v>0.1738652755818898</c:v>
                </c:pt>
                <c:pt idx="8">
                  <c:v>0.20252465543614437</c:v>
                </c:pt>
                <c:pt idx="9">
                  <c:v>0.22025715243636701</c:v>
                </c:pt>
                <c:pt idx="10">
                  <c:v>0.22643205345610137</c:v>
                </c:pt>
                <c:pt idx="11">
                  <c:v>0.22417113442171679</c:v>
                </c:pt>
                <c:pt idx="12">
                  <c:v>0.21870434672793246</c:v>
                </c:pt>
                <c:pt idx="13">
                  <c:v>0.21443113887899826</c:v>
                </c:pt>
                <c:pt idx="14">
                  <c:v>0.2109444931476466</c:v>
                </c:pt>
                <c:pt idx="15">
                  <c:v>0.20751558003808901</c:v>
                </c:pt>
                <c:pt idx="16">
                  <c:v>0.20104657164247977</c:v>
                </c:pt>
                <c:pt idx="17">
                  <c:v>0.19012812538504567</c:v>
                </c:pt>
                <c:pt idx="18">
                  <c:v>0.17328004799901564</c:v>
                </c:pt>
                <c:pt idx="19">
                  <c:v>0.15116491368353185</c:v>
                </c:pt>
                <c:pt idx="20">
                  <c:v>0.12681533052662403</c:v>
                </c:pt>
                <c:pt idx="21">
                  <c:v>0.10233328912593592</c:v>
                </c:pt>
                <c:pt idx="22">
                  <c:v>7.9256006341777693E-2</c:v>
                </c:pt>
                <c:pt idx="23">
                  <c:v>5.9648934528580111E-2</c:v>
                </c:pt>
                <c:pt idx="24">
                  <c:v>4.2716207071666623E-2</c:v>
                </c:pt>
                <c:pt idx="25">
                  <c:v>2.8136015555401683E-2</c:v>
                </c:pt>
                <c:pt idx="26">
                  <c:v>1.5999659372760301E-2</c:v>
                </c:pt>
                <c:pt idx="27">
                  <c:v>6.1285407459425387E-3</c:v>
                </c:pt>
                <c:pt idx="28">
                  <c:v>3.3366427035569964E-4</c:v>
                </c:pt>
                <c:pt idx="29">
                  <c:v>-1.4572405857328206E-3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7D9-0842-B8EA-C341CDE9D331}"/>
            </c:ext>
          </c:extLst>
        </c:ser>
        <c:ser>
          <c:idx val="1"/>
          <c:order val="1"/>
          <c:tx>
            <c:strRef>
              <c:f>'[1]kurva 4_1b'!$I$3</c:f>
              <c:strCache>
                <c:ptCount val="1"/>
                <c:pt idx="0">
                  <c:v>k*rICP (ml)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'[1]kurva 4_1b'!$C$4:$C$33</c:f>
              <c:numCache>
                <c:formatCode>General</c:formatCode>
                <c:ptCount val="30"/>
                <c:pt idx="0">
                  <c:v>0</c:v>
                </c:pt>
                <c:pt idx="1">
                  <c:v>30.758621000000002</c:v>
                </c:pt>
                <c:pt idx="2">
                  <c:v>61.517240999999999</c:v>
                </c:pt>
                <c:pt idx="3">
                  <c:v>92.275862000000004</c:v>
                </c:pt>
                <c:pt idx="4">
                  <c:v>123.03448299999999</c:v>
                </c:pt>
                <c:pt idx="5">
                  <c:v>153.793103</c:v>
                </c:pt>
                <c:pt idx="6">
                  <c:v>184.55172400000001</c:v>
                </c:pt>
                <c:pt idx="7">
                  <c:v>215.31034500000001</c:v>
                </c:pt>
                <c:pt idx="8">
                  <c:v>246.06896599999999</c:v>
                </c:pt>
                <c:pt idx="9">
                  <c:v>276.827586</c:v>
                </c:pt>
                <c:pt idx="10">
                  <c:v>307.586207</c:v>
                </c:pt>
                <c:pt idx="11">
                  <c:v>338.34482800000001</c:v>
                </c:pt>
                <c:pt idx="12">
                  <c:v>369.10344800000001</c:v>
                </c:pt>
                <c:pt idx="13">
                  <c:v>399.86206900000002</c:v>
                </c:pt>
                <c:pt idx="14">
                  <c:v>430.62069000000002</c:v>
                </c:pt>
                <c:pt idx="15">
                  <c:v>461.37930999999998</c:v>
                </c:pt>
                <c:pt idx="16">
                  <c:v>492.13793099999998</c:v>
                </c:pt>
                <c:pt idx="17">
                  <c:v>522.89655200000004</c:v>
                </c:pt>
                <c:pt idx="18">
                  <c:v>553.65517199999999</c:v>
                </c:pt>
                <c:pt idx="19">
                  <c:v>584.41379300000006</c:v>
                </c:pt>
                <c:pt idx="20">
                  <c:v>615.172414</c:v>
                </c:pt>
                <c:pt idx="21">
                  <c:v>645.93103399999995</c:v>
                </c:pt>
                <c:pt idx="22">
                  <c:v>676.68965500000002</c:v>
                </c:pt>
                <c:pt idx="23">
                  <c:v>707.44827599999996</c:v>
                </c:pt>
                <c:pt idx="24">
                  <c:v>738.20689700000003</c:v>
                </c:pt>
                <c:pt idx="25">
                  <c:v>768.96551699999998</c:v>
                </c:pt>
                <c:pt idx="26">
                  <c:v>799.72413800000004</c:v>
                </c:pt>
                <c:pt idx="27">
                  <c:v>830.48275899999999</c:v>
                </c:pt>
                <c:pt idx="28">
                  <c:v>861.24137900000005</c:v>
                </c:pt>
                <c:pt idx="29">
                  <c:v>892</c:v>
                </c:pt>
              </c:numCache>
            </c:numRef>
          </c:xVal>
          <c:yVal>
            <c:numRef>
              <c:f>'[1]kurva 4_1b'!$I$4:$I$33</c:f>
              <c:numCache>
                <c:formatCode>General</c:formatCode>
                <c:ptCount val="30"/>
                <c:pt idx="0">
                  <c:v>0</c:v>
                </c:pt>
                <c:pt idx="1">
                  <c:v>0.11546903205</c:v>
                </c:pt>
                <c:pt idx="2">
                  <c:v>0.25351681409999999</c:v>
                </c:pt>
                <c:pt idx="3">
                  <c:v>0.18605615865</c:v>
                </c:pt>
                <c:pt idx="4">
                  <c:v>0.13072112820000001</c:v>
                </c:pt>
                <c:pt idx="5">
                  <c:v>0.23761859774999999</c:v>
                </c:pt>
                <c:pt idx="6">
                  <c:v>0.37273950480000001</c:v>
                </c:pt>
                <c:pt idx="7">
                  <c:v>0.33099353684999999</c:v>
                </c:pt>
                <c:pt idx="8">
                  <c:v>0.26206944390000003</c:v>
                </c:pt>
                <c:pt idx="9">
                  <c:v>0.31607410095000005</c:v>
                </c:pt>
                <c:pt idx="10">
                  <c:v>0.35209938299999999</c:v>
                </c:pt>
                <c:pt idx="11">
                  <c:v>0.31411654005</c:v>
                </c:pt>
                <c:pt idx="12">
                  <c:v>0.26672588460000002</c:v>
                </c:pt>
                <c:pt idx="13">
                  <c:v>0.26930116664999998</c:v>
                </c:pt>
                <c:pt idx="14">
                  <c:v>0.26142332369999999</c:v>
                </c:pt>
                <c:pt idx="15">
                  <c:v>0.22699454325000001</c:v>
                </c:pt>
                <c:pt idx="16">
                  <c:v>0.20343701280000001</c:v>
                </c:pt>
                <c:pt idx="17">
                  <c:v>0.19137791984999999</c:v>
                </c:pt>
                <c:pt idx="18">
                  <c:v>0.17367413940000001</c:v>
                </c:pt>
                <c:pt idx="19">
                  <c:v>0.15387973394999999</c:v>
                </c:pt>
                <c:pt idx="20">
                  <c:v>0.13533970349999999</c:v>
                </c:pt>
                <c:pt idx="21">
                  <c:v>0.11575436055</c:v>
                </c:pt>
                <c:pt idx="22">
                  <c:v>9.8886830100000003E-2</c:v>
                </c:pt>
                <c:pt idx="23">
                  <c:v>8.9754612149999996E-2</c:v>
                </c:pt>
                <c:pt idx="24">
                  <c:v>7.5813956700000004E-2</c:v>
                </c:pt>
                <c:pt idx="25">
                  <c:v>5.6019551250000001E-2</c:v>
                </c:pt>
                <c:pt idx="26">
                  <c:v>4.1869833300000006E-2</c:v>
                </c:pt>
                <c:pt idx="27">
                  <c:v>3.7964177850000003E-2</c:v>
                </c:pt>
                <c:pt idx="28">
                  <c:v>2.5486959900000002E-2</c:v>
                </c:pt>
                <c:pt idx="29">
                  <c:v>1.4086166666617829E-6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7D9-0842-B8EA-C341CDE9D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490160"/>
        <c:axId val="471491840"/>
      </c:scatterChart>
      <c:valAx>
        <c:axId val="471490160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 sz="1100" b="1"/>
                  <a:t>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471491840"/>
        <c:crosses val="autoZero"/>
        <c:crossBetween val="midCat"/>
      </c:valAx>
      <c:valAx>
        <c:axId val="471491840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471490160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8468</xdr:colOff>
      <xdr:row>2</xdr:row>
      <xdr:rowOff>12699</xdr:rowOff>
    </xdr:from>
    <xdr:to>
      <xdr:col>17</xdr:col>
      <xdr:colOff>16934</xdr:colOff>
      <xdr:row>20</xdr:row>
      <xdr:rowOff>16933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28E1049-9A34-0545-AF26-49C6F15F79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8467</xdr:colOff>
      <xdr:row>2</xdr:row>
      <xdr:rowOff>12700</xdr:rowOff>
    </xdr:from>
    <xdr:to>
      <xdr:col>16</xdr:col>
      <xdr:colOff>431800</xdr:colOff>
      <xdr:row>23</xdr:row>
      <xdr:rowOff>186267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D9A7AFB-2812-EC43-B07F-BA93A403CF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8467</xdr:colOff>
      <xdr:row>3</xdr:row>
      <xdr:rowOff>12700</xdr:rowOff>
    </xdr:from>
    <xdr:to>
      <xdr:col>16</xdr:col>
      <xdr:colOff>431800</xdr:colOff>
      <xdr:row>26</xdr:row>
      <xdr:rowOff>177800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44ABB896-2B4E-3143-842B-C9F706167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804333</xdr:colOff>
      <xdr:row>1</xdr:row>
      <xdr:rowOff>186265</xdr:rowOff>
    </xdr:from>
    <xdr:to>
      <xdr:col>15</xdr:col>
      <xdr:colOff>452965</xdr:colOff>
      <xdr:row>22</xdr:row>
      <xdr:rowOff>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EB655D7-851C-0E44-BF1D-9C8DE0B0A7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821267</xdr:colOff>
      <xdr:row>1</xdr:row>
      <xdr:rowOff>198966</xdr:rowOff>
    </xdr:from>
    <xdr:to>
      <xdr:col>16</xdr:col>
      <xdr:colOff>414867</xdr:colOff>
      <xdr:row>19</xdr:row>
      <xdr:rowOff>177800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B731D0-4F6A-3A40-ABA3-64D1F83B30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12700</xdr:colOff>
      <xdr:row>2</xdr:row>
      <xdr:rowOff>29635</xdr:rowOff>
    </xdr:from>
    <xdr:to>
      <xdr:col>16</xdr:col>
      <xdr:colOff>16933</xdr:colOff>
      <xdr:row>22</xdr:row>
      <xdr:rowOff>169333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11FF9C48-1BBE-8C4B-90CC-CE4FAAAB3C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4232</xdr:colOff>
      <xdr:row>2</xdr:row>
      <xdr:rowOff>12700</xdr:rowOff>
    </xdr:from>
    <xdr:to>
      <xdr:col>17</xdr:col>
      <xdr:colOff>0</xdr:colOff>
      <xdr:row>21</xdr:row>
      <xdr:rowOff>203199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2603F1E3-8257-AB46-9D68-1910C4DECB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12698</xdr:colOff>
      <xdr:row>1</xdr:row>
      <xdr:rowOff>190499</xdr:rowOff>
    </xdr:from>
    <xdr:to>
      <xdr:col>16</xdr:col>
      <xdr:colOff>436032</xdr:colOff>
      <xdr:row>27</xdr:row>
      <xdr:rowOff>169332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4A0627F-6D39-744F-A25E-9D82636919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190500</xdr:rowOff>
    </xdr:from>
    <xdr:to>
      <xdr:col>16</xdr:col>
      <xdr:colOff>423334</xdr:colOff>
      <xdr:row>22</xdr:row>
      <xdr:rowOff>135467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28C5B96-2B92-22ED-2F42-DB3943668D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8467</xdr:colOff>
      <xdr:row>9</xdr:row>
      <xdr:rowOff>0</xdr:rowOff>
    </xdr:from>
    <xdr:to>
      <xdr:col>5</xdr:col>
      <xdr:colOff>630766</xdr:colOff>
      <xdr:row>11</xdr:row>
      <xdr:rowOff>110067</xdr:rowOff>
    </xdr:to>
    <xdr:pic>
      <xdr:nvPicPr>
        <xdr:cNvPr id="2" name="Bildobjekt 1">
          <a:extLst>
            <a:ext uri="{FF2B5EF4-FFF2-40B4-BE49-F238E27FC236}">
              <a16:creationId xmlns:a16="http://schemas.microsoft.com/office/drawing/2014/main" id="{74EF6F0B-EB31-A6A0-C91C-7AD248781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1981200"/>
          <a:ext cx="4017433" cy="516467"/>
        </a:xfrm>
        <a:prstGeom prst="rect">
          <a:avLst/>
        </a:prstGeom>
        <a:noFill/>
        <a:ln w="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</xdr:row>
      <xdr:rowOff>203199</xdr:rowOff>
    </xdr:from>
    <xdr:to>
      <xdr:col>5</xdr:col>
      <xdr:colOff>863600</xdr:colOff>
      <xdr:row>7</xdr:row>
      <xdr:rowOff>25400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6C4973D8-6310-AF3E-54E3-7765D5BD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733" y="1346199"/>
          <a:ext cx="4258734" cy="254001"/>
        </a:xfrm>
        <a:prstGeom prst="rect">
          <a:avLst/>
        </a:prstGeom>
        <a:noFill/>
        <a:ln w="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erikryding/Desktop/Unnerba&#776;ck/Ma&#778;rtens%2011%20kurvor.xlsx" TargetMode="External"/><Relationship Id="rId1" Type="http://schemas.openxmlformats.org/officeDocument/2006/relationships/externalLinkPath" Target="Unnerba&#776;ck/Ma&#778;rtens%2011%20kurv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urva 1_1"/>
      <sheetName val="kurva 1_1a"/>
      <sheetName val="kurva 1_1b"/>
      <sheetName val="kurva 1_2"/>
      <sheetName val="kurva 1_2a"/>
      <sheetName val="kurva 1_2b"/>
      <sheetName val="kurva 1_3"/>
      <sheetName val="kurva 1_3a"/>
      <sheetName val="kurva 1_3b"/>
      <sheetName val="kurva 2_1"/>
      <sheetName val="kurva 2_1a"/>
      <sheetName val="kurva 2_1b"/>
      <sheetName val="kurva 2_2"/>
      <sheetName val="kurva 2_2a"/>
      <sheetName val="kurva 2_2b"/>
      <sheetName val="kurva 2_3"/>
      <sheetName val="kurva 2_3a"/>
      <sheetName val="kurva 2_3b"/>
      <sheetName val="kurva 3_1"/>
      <sheetName val="kurva 3_1a"/>
      <sheetName val="kurva 3_1b"/>
      <sheetName val="kurva 3_2"/>
      <sheetName val="kurva 3_2a"/>
      <sheetName val="kurva 3_3"/>
      <sheetName val="kurva 3_3a"/>
      <sheetName val="kurva 3_3b"/>
      <sheetName val="kurva 4_1"/>
      <sheetName val="kurva 4_1a"/>
      <sheetName val="kurva 4_1b"/>
      <sheetName val="ICP"/>
      <sheetName val="calc"/>
      <sheetName val="rICP"/>
      <sheetName val="illustrations"/>
      <sheetName val="tables"/>
      <sheetName val="picture"/>
      <sheetName val="Blad2"/>
    </sheetNames>
    <sheetDataSet>
      <sheetData sheetId="0" refreshError="1"/>
      <sheetData sheetId="1" refreshError="1"/>
      <sheetData sheetId="2">
        <row r="3">
          <cell r="G3" t="str">
            <v>V vol (ml)</v>
          </cell>
          <cell r="I3" t="str">
            <v>k*rICP</v>
          </cell>
        </row>
        <row r="4">
          <cell r="C4">
            <v>0</v>
          </cell>
          <cell r="G4">
            <v>0</v>
          </cell>
          <cell r="I4">
            <v>0</v>
          </cell>
        </row>
        <row r="5">
          <cell r="C5">
            <v>30.275862</v>
          </cell>
          <cell r="G5">
            <v>1.9139211934010053E-2</v>
          </cell>
          <cell r="I5">
            <v>0</v>
          </cell>
        </row>
        <row r="6">
          <cell r="C6">
            <v>60.551724</v>
          </cell>
          <cell r="G6">
            <v>8.8355991361885405E-2</v>
          </cell>
          <cell r="I6">
            <v>5.1666666666666486E-2</v>
          </cell>
        </row>
        <row r="7">
          <cell r="C7">
            <v>90.827585999999997</v>
          </cell>
          <cell r="G7">
            <v>0.21680047781702969</v>
          </cell>
          <cell r="I7">
            <v>0.41333333333333355</v>
          </cell>
        </row>
        <row r="8">
          <cell r="C8">
            <v>121.103448</v>
          </cell>
          <cell r="G8">
            <v>0.40614667856567432</v>
          </cell>
          <cell r="I8">
            <v>1.6339583333333336</v>
          </cell>
        </row>
        <row r="9">
          <cell r="C9">
            <v>151.37931</v>
          </cell>
          <cell r="G9">
            <v>0.61370319657783423</v>
          </cell>
          <cell r="I9">
            <v>2.9805208333333333</v>
          </cell>
        </row>
        <row r="10">
          <cell r="C10">
            <v>181.65517199999999</v>
          </cell>
          <cell r="G10">
            <v>0.78526342945904437</v>
          </cell>
          <cell r="I10">
            <v>3.3195833333333336</v>
          </cell>
        </row>
        <row r="11">
          <cell r="C11">
            <v>211.93103400000001</v>
          </cell>
          <cell r="G11">
            <v>0.8879010830353754</v>
          </cell>
          <cell r="I11">
            <v>1.8503124999999998</v>
          </cell>
        </row>
        <row r="12">
          <cell r="C12">
            <v>242.206897</v>
          </cell>
          <cell r="G12">
            <v>0.91263826851325835</v>
          </cell>
          <cell r="I12">
            <v>1.0236458333333336</v>
          </cell>
        </row>
        <row r="13">
          <cell r="C13">
            <v>272.48275899999999</v>
          </cell>
          <cell r="G13">
            <v>0.89631166618815628</v>
          </cell>
          <cell r="I13">
            <v>1.3401041666666669</v>
          </cell>
        </row>
        <row r="14">
          <cell r="C14">
            <v>302.75862100000001</v>
          </cell>
          <cell r="G14">
            <v>0.85608536064839524</v>
          </cell>
          <cell r="I14">
            <v>2.0731250000000006</v>
          </cell>
        </row>
        <row r="15">
          <cell r="C15">
            <v>333.03448300000002</v>
          </cell>
          <cell r="G15">
            <v>0.81096741679620921</v>
          </cell>
          <cell r="I15">
            <v>1.7243750000000004</v>
          </cell>
        </row>
        <row r="16">
          <cell r="C16">
            <v>363.31034499999998</v>
          </cell>
          <cell r="G16">
            <v>0.77070809374719162</v>
          </cell>
          <cell r="I16">
            <v>0.81375000000000008</v>
          </cell>
        </row>
        <row r="17">
          <cell r="C17">
            <v>393.586207</v>
          </cell>
          <cell r="G17">
            <v>0.74349234977874268</v>
          </cell>
          <cell r="I17">
            <v>0.77822916666666653</v>
          </cell>
        </row>
        <row r="18">
          <cell r="C18">
            <v>423.86206900000002</v>
          </cell>
          <cell r="G18">
            <v>0.72670310850831499</v>
          </cell>
          <cell r="I18">
            <v>1.3594791666666666</v>
          </cell>
        </row>
        <row r="19">
          <cell r="C19">
            <v>454.13793099999998</v>
          </cell>
          <cell r="G19">
            <v>0.71356752764902587</v>
          </cell>
          <cell r="I19">
            <v>1.847083333333333</v>
          </cell>
        </row>
        <row r="20">
          <cell r="C20">
            <v>484.413793</v>
          </cell>
          <cell r="G20">
            <v>0.69461124512740124</v>
          </cell>
          <cell r="I20">
            <v>1.2948958333333331</v>
          </cell>
        </row>
        <row r="21">
          <cell r="C21">
            <v>514.68965500000002</v>
          </cell>
          <cell r="G21">
            <v>0.66228459256652605</v>
          </cell>
          <cell r="I21">
            <v>0.65229166666666705</v>
          </cell>
        </row>
        <row r="22">
          <cell r="C22">
            <v>544.96551699999998</v>
          </cell>
          <cell r="G22">
            <v>0.61709805953882713</v>
          </cell>
          <cell r="I22">
            <v>0.68135416666666704</v>
          </cell>
        </row>
        <row r="23">
          <cell r="C23">
            <v>575.24137900000005</v>
          </cell>
          <cell r="G23">
            <v>0.56036697586440021</v>
          </cell>
          <cell r="I23">
            <v>0.90416666666666679</v>
          </cell>
        </row>
        <row r="24">
          <cell r="C24">
            <v>605.51724100000001</v>
          </cell>
          <cell r="G24">
            <v>0.49777313798964318</v>
          </cell>
          <cell r="I24">
            <v>0.87187500000000007</v>
          </cell>
        </row>
        <row r="25">
          <cell r="C25">
            <v>635.79310299999997</v>
          </cell>
          <cell r="G25">
            <v>0.43129029764501936</v>
          </cell>
          <cell r="I25">
            <v>0.49406250000000002</v>
          </cell>
        </row>
        <row r="26">
          <cell r="C26">
            <v>666.06896600000005</v>
          </cell>
          <cell r="G26">
            <v>0.36629931162569274</v>
          </cell>
          <cell r="I26">
            <v>0.28739583333333324</v>
          </cell>
        </row>
        <row r="27">
          <cell r="C27">
            <v>696.34482800000001</v>
          </cell>
          <cell r="G27">
            <v>0.30252915902152611</v>
          </cell>
          <cell r="I27">
            <v>0.36489583333333298</v>
          </cell>
        </row>
        <row r="28">
          <cell r="C28">
            <v>726.62068999999997</v>
          </cell>
          <cell r="G28">
            <v>0.24032876252165414</v>
          </cell>
          <cell r="I28">
            <v>0.44239583333333354</v>
          </cell>
        </row>
        <row r="29">
          <cell r="C29">
            <v>756.89655200000004</v>
          </cell>
          <cell r="G29">
            <v>0.18021910047872663</v>
          </cell>
          <cell r="I29">
            <v>0.29385416666666675</v>
          </cell>
        </row>
        <row r="30">
          <cell r="C30">
            <v>787.172414</v>
          </cell>
          <cell r="G30">
            <v>0.12353178419632968</v>
          </cell>
          <cell r="I30">
            <v>0.10656250000000014</v>
          </cell>
        </row>
        <row r="31">
          <cell r="C31">
            <v>817.44827599999996</v>
          </cell>
          <cell r="G31">
            <v>7.3569117381761445E-2</v>
          </cell>
          <cell r="I31">
            <v>9.3645833333333525E-2</v>
          </cell>
        </row>
        <row r="32">
          <cell r="C32">
            <v>847.72413800000004</v>
          </cell>
          <cell r="G32">
            <v>3.3198001664417977E-2</v>
          </cell>
          <cell r="I32">
            <v>0.12270833333333353</v>
          </cell>
        </row>
        <row r="33">
          <cell r="C33">
            <v>878</v>
          </cell>
          <cell r="G33">
            <v>7.7101674676822926E-3</v>
          </cell>
          <cell r="I33">
            <v>7.1041666666666628E-2</v>
          </cell>
        </row>
      </sheetData>
      <sheetData sheetId="3" refreshError="1"/>
      <sheetData sheetId="4" refreshError="1"/>
      <sheetData sheetId="5">
        <row r="3">
          <cell r="G3" t="str">
            <v>V vol (ml)</v>
          </cell>
          <cell r="J3" t="str">
            <v>k*rICP (ml)</v>
          </cell>
        </row>
        <row r="4">
          <cell r="C4">
            <v>0</v>
          </cell>
          <cell r="G4">
            <v>0</v>
          </cell>
          <cell r="J4">
            <v>1.5500000000000109E-2</v>
          </cell>
        </row>
        <row r="5">
          <cell r="C5">
            <v>36.344828</v>
          </cell>
          <cell r="G5">
            <v>8.7671140596429969E-2</v>
          </cell>
          <cell r="J5">
            <v>1.4079166666666663</v>
          </cell>
        </row>
        <row r="6">
          <cell r="C6">
            <v>72.689655000000002</v>
          </cell>
          <cell r="G6">
            <v>0.26000893179428164</v>
          </cell>
          <cell r="J6">
            <v>3.0225</v>
          </cell>
        </row>
        <row r="7">
          <cell r="C7">
            <v>109.03448299999999</v>
          </cell>
          <cell r="G7">
            <v>0.47100174613373169</v>
          </cell>
          <cell r="J7">
            <v>2.5265</v>
          </cell>
        </row>
        <row r="8">
          <cell r="C8">
            <v>145.37931</v>
          </cell>
          <cell r="G8">
            <v>0.66766055517085232</v>
          </cell>
          <cell r="J8">
            <v>1.3485</v>
          </cell>
        </row>
        <row r="9">
          <cell r="C9">
            <v>181.72413800000001</v>
          </cell>
          <cell r="G9">
            <v>0.82582902606805375</v>
          </cell>
          <cell r="J9">
            <v>1.4104999999999999</v>
          </cell>
        </row>
        <row r="10">
          <cell r="C10">
            <v>218.06896599999999</v>
          </cell>
          <cell r="G10">
            <v>0.96524666243244062</v>
          </cell>
          <cell r="J10">
            <v>1.9943333333333331</v>
          </cell>
        </row>
        <row r="11">
          <cell r="C11">
            <v>254.413793</v>
          </cell>
          <cell r="G11">
            <v>1.0771912983054597</v>
          </cell>
          <cell r="J11">
            <v>2.0821666666666663</v>
          </cell>
        </row>
        <row r="12">
          <cell r="C12">
            <v>290.75862100000001</v>
          </cell>
          <cell r="G12">
            <v>1.157669006466497</v>
          </cell>
          <cell r="J12">
            <v>1.6791666666666667</v>
          </cell>
        </row>
        <row r="13">
          <cell r="C13">
            <v>327.10344800000001</v>
          </cell>
          <cell r="G13">
            <v>1.2035941091583429</v>
          </cell>
          <cell r="J13">
            <v>1.2735833333333331</v>
          </cell>
        </row>
        <row r="14">
          <cell r="C14">
            <v>363.44827600000002</v>
          </cell>
          <cell r="G14">
            <v>1.2171057462356842</v>
          </cell>
          <cell r="J14">
            <v>1.6274999999999999</v>
          </cell>
        </row>
        <row r="15">
          <cell r="C15">
            <v>399.79310299999997</v>
          </cell>
          <cell r="G15">
            <v>1.2150453612451666</v>
          </cell>
          <cell r="J15">
            <v>2.074416666666667</v>
          </cell>
        </row>
        <row r="16">
          <cell r="C16">
            <v>436.13793099999998</v>
          </cell>
          <cell r="G16">
            <v>1.2026624942262718</v>
          </cell>
          <cell r="J16">
            <v>1.7876666666666665</v>
          </cell>
        </row>
        <row r="17">
          <cell r="C17">
            <v>472.48275899999999</v>
          </cell>
          <cell r="G17">
            <v>1.1782590195768472</v>
          </cell>
          <cell r="J17">
            <v>1.5655000000000001</v>
          </cell>
        </row>
        <row r="18">
          <cell r="C18">
            <v>508.827586</v>
          </cell>
          <cell r="G18">
            <v>1.1398115058951228</v>
          </cell>
          <cell r="J18">
            <v>1.5448333333333337</v>
          </cell>
        </row>
        <row r="19">
          <cell r="C19">
            <v>545.172414</v>
          </cell>
          <cell r="G19">
            <v>1.0901214244958941</v>
          </cell>
          <cell r="J19">
            <v>1.4492500000000001</v>
          </cell>
        </row>
        <row r="20">
          <cell r="C20">
            <v>581.51724100000001</v>
          </cell>
          <cell r="G20">
            <v>1.0342334450723738</v>
          </cell>
          <cell r="J20">
            <v>1.2425833333333336</v>
          </cell>
        </row>
        <row r="21">
          <cell r="C21">
            <v>617.86206900000002</v>
          </cell>
          <cell r="G21">
            <v>0.97372648423371166</v>
          </cell>
          <cell r="J21">
            <v>1.1108333333333331</v>
          </cell>
        </row>
        <row r="22">
          <cell r="C22">
            <v>654.20689700000003</v>
          </cell>
          <cell r="G22">
            <v>0.91062055587920709</v>
          </cell>
          <cell r="J22">
            <v>1.0075000000000003</v>
          </cell>
        </row>
        <row r="23">
          <cell r="C23">
            <v>690.55172400000004</v>
          </cell>
          <cell r="G23">
            <v>0.84454885959231574</v>
          </cell>
          <cell r="J23">
            <v>0.91966666666666641</v>
          </cell>
        </row>
        <row r="24">
          <cell r="C24">
            <v>726.89655200000004</v>
          </cell>
          <cell r="G24">
            <v>0.77429816864929024</v>
          </cell>
          <cell r="J24">
            <v>0.77241666666666686</v>
          </cell>
        </row>
        <row r="25">
          <cell r="C25">
            <v>763.24137900000005</v>
          </cell>
          <cell r="G25">
            <v>0.69902613767062938</v>
          </cell>
          <cell r="J25">
            <v>0.71558333333333313</v>
          </cell>
        </row>
        <row r="26">
          <cell r="C26">
            <v>799.58620699999994</v>
          </cell>
          <cell r="G26">
            <v>0.61786083992038388</v>
          </cell>
          <cell r="J26">
            <v>0.64324999999999977</v>
          </cell>
        </row>
        <row r="27">
          <cell r="C27">
            <v>835.93103399999995</v>
          </cell>
          <cell r="G27">
            <v>0.53417126392097503</v>
          </cell>
          <cell r="J27">
            <v>0.53991666666666682</v>
          </cell>
        </row>
        <row r="28">
          <cell r="C28">
            <v>872.27586199999996</v>
          </cell>
          <cell r="G28">
            <v>0.44955668431765361</v>
          </cell>
          <cell r="J28">
            <v>0.47016666666666679</v>
          </cell>
        </row>
        <row r="29">
          <cell r="C29">
            <v>908.62068999999997</v>
          </cell>
          <cell r="G29">
            <v>0.36381376617441658</v>
          </cell>
          <cell r="J29">
            <v>0.51666666666666683</v>
          </cell>
        </row>
        <row r="30">
          <cell r="C30">
            <v>944.96551699999998</v>
          </cell>
          <cell r="G30">
            <v>0.27347797388325035</v>
          </cell>
          <cell r="J30">
            <v>0.45466666666666639</v>
          </cell>
        </row>
        <row r="31">
          <cell r="C31">
            <v>981.31034499999998</v>
          </cell>
          <cell r="G31">
            <v>0.17291512270518558</v>
          </cell>
          <cell r="J31">
            <v>0.28933333333333361</v>
          </cell>
        </row>
        <row r="32">
          <cell r="C32">
            <v>1017.655172</v>
          </cell>
          <cell r="G32">
            <v>6.7013599726704134E-2</v>
          </cell>
          <cell r="J32">
            <v>0.14531250000000001</v>
          </cell>
        </row>
        <row r="33">
          <cell r="C33">
            <v>1054</v>
          </cell>
          <cell r="G33">
            <v>-1.9931668028978278E-2</v>
          </cell>
          <cell r="J33">
            <v>0</v>
          </cell>
        </row>
      </sheetData>
      <sheetData sheetId="6" refreshError="1"/>
      <sheetData sheetId="7" refreshError="1"/>
      <sheetData sheetId="8">
        <row r="3">
          <cell r="G3" t="str">
            <v>V vol (ml)</v>
          </cell>
          <cell r="I3" t="str">
            <v>k*rICP (ml)</v>
          </cell>
        </row>
        <row r="4">
          <cell r="C4">
            <v>0</v>
          </cell>
          <cell r="G4">
            <v>1.2779110719597978E-2</v>
          </cell>
          <cell r="I4">
            <v>0</v>
          </cell>
        </row>
        <row r="5">
          <cell r="C5">
            <v>29</v>
          </cell>
          <cell r="G5">
            <v>7.5485203141482229E-2</v>
          </cell>
          <cell r="I5">
            <v>0.58048772727272835</v>
          </cell>
        </row>
        <row r="6">
          <cell r="C6">
            <v>57</v>
          </cell>
          <cell r="G6">
            <v>0.1759914166982815</v>
          </cell>
          <cell r="I6">
            <v>1.7376800000000001</v>
          </cell>
        </row>
        <row r="7">
          <cell r="C7">
            <v>86</v>
          </cell>
          <cell r="G7">
            <v>0.30839819760046383</v>
          </cell>
          <cell r="I7">
            <v>2.7864518181818192</v>
          </cell>
        </row>
        <row r="8">
          <cell r="C8">
            <v>114</v>
          </cell>
          <cell r="G8">
            <v>0.4534777322922644</v>
          </cell>
          <cell r="I8">
            <v>2.4926554545454569</v>
          </cell>
        </row>
        <row r="9">
          <cell r="C9">
            <v>143</v>
          </cell>
          <cell r="G9">
            <v>0.58806917135823034</v>
          </cell>
          <cell r="I9">
            <v>1.3176545454545474</v>
          </cell>
        </row>
        <row r="10">
          <cell r="C10">
            <v>171</v>
          </cell>
          <cell r="G10">
            <v>0.68868391239460147</v>
          </cell>
          <cell r="I10">
            <v>0.80009681818181899</v>
          </cell>
        </row>
        <row r="11">
          <cell r="C11">
            <v>200</v>
          </cell>
          <cell r="G11">
            <v>0.76417128608567575</v>
          </cell>
          <cell r="I11">
            <v>1.1199140909090906</v>
          </cell>
        </row>
        <row r="12">
          <cell r="C12">
            <v>229</v>
          </cell>
          <cell r="G12">
            <v>0.81518679840806785</v>
          </cell>
          <cell r="I12">
            <v>1.7742200000000001</v>
          </cell>
        </row>
        <row r="13">
          <cell r="C13">
            <v>257</v>
          </cell>
          <cell r="G13">
            <v>0.84468022625654371</v>
          </cell>
          <cell r="I13">
            <v>1.7387872727272715</v>
          </cell>
        </row>
        <row r="14">
          <cell r="C14">
            <v>286</v>
          </cell>
          <cell r="G14">
            <v>0.88269523180101028</v>
          </cell>
          <cell r="I14">
            <v>1.1312636363636377</v>
          </cell>
        </row>
        <row r="15">
          <cell r="C15">
            <v>314</v>
          </cell>
          <cell r="G15">
            <v>0.89296084609372139</v>
          </cell>
          <cell r="I15">
            <v>1.0035581818181811</v>
          </cell>
        </row>
        <row r="16">
          <cell r="C16">
            <v>343</v>
          </cell>
          <cell r="G16">
            <v>0.90453747233966175</v>
          </cell>
          <cell r="I16">
            <v>1.4871595454545474</v>
          </cell>
        </row>
        <row r="17">
          <cell r="C17">
            <v>371</v>
          </cell>
          <cell r="G17">
            <v>0.87820436469631935</v>
          </cell>
          <cell r="I17">
            <v>1.8461927272727288</v>
          </cell>
        </row>
        <row r="18">
          <cell r="C18">
            <v>400</v>
          </cell>
          <cell r="G18">
            <v>0.85121575107636238</v>
          </cell>
          <cell r="I18">
            <v>1.741555454545457</v>
          </cell>
        </row>
        <row r="19">
          <cell r="C19">
            <v>429</v>
          </cell>
          <cell r="G19">
            <v>0.82521039642132732</v>
          </cell>
          <cell r="I19">
            <v>1.1732477272727286</v>
          </cell>
        </row>
        <row r="20">
          <cell r="C20">
            <v>457</v>
          </cell>
          <cell r="G20">
            <v>0.77538868637422476</v>
          </cell>
          <cell r="I20">
            <v>0.83331500000000014</v>
          </cell>
        </row>
        <row r="21">
          <cell r="C21">
            <v>486</v>
          </cell>
          <cell r="G21">
            <v>0.73802158988280087</v>
          </cell>
          <cell r="I21">
            <v>0.73790500000000003</v>
          </cell>
        </row>
        <row r="22">
          <cell r="C22">
            <v>514</v>
          </cell>
          <cell r="G22">
            <v>0.67782139696423149</v>
          </cell>
          <cell r="I22">
            <v>0.83857454545454735</v>
          </cell>
        </row>
        <row r="23">
          <cell r="C23">
            <v>543</v>
          </cell>
          <cell r="G23">
            <v>0.62548727576503804</v>
          </cell>
          <cell r="I23">
            <v>0.90694863636363787</v>
          </cell>
        </row>
        <row r="24">
          <cell r="C24">
            <v>571</v>
          </cell>
          <cell r="G24">
            <v>0.54671477526731849</v>
          </cell>
          <cell r="I24">
            <v>0.81845909090909053</v>
          </cell>
        </row>
        <row r="25">
          <cell r="C25">
            <v>600</v>
          </cell>
          <cell r="G25">
            <v>0.47187531062928689</v>
          </cell>
          <cell r="I25">
            <v>0.59617409090909057</v>
          </cell>
        </row>
        <row r="26">
          <cell r="C26">
            <v>629</v>
          </cell>
          <cell r="G26">
            <v>0.39933011690940662</v>
          </cell>
          <cell r="I26">
            <v>0.42463909090909091</v>
          </cell>
        </row>
        <row r="27">
          <cell r="C27">
            <v>657</v>
          </cell>
          <cell r="G27">
            <v>0.32907919410767766</v>
          </cell>
          <cell r="I27">
            <v>0.40766090909090907</v>
          </cell>
        </row>
        <row r="28">
          <cell r="C28">
            <v>686</v>
          </cell>
          <cell r="G28">
            <v>0.26440007210717337</v>
          </cell>
          <cell r="I28">
            <v>0.4483531818181819</v>
          </cell>
        </row>
        <row r="29">
          <cell r="C29">
            <v>714</v>
          </cell>
          <cell r="G29">
            <v>0.20365398596635706</v>
          </cell>
          <cell r="I29">
            <v>0.44521590909090908</v>
          </cell>
        </row>
        <row r="30">
          <cell r="C30">
            <v>743</v>
          </cell>
          <cell r="G30">
            <v>0.14782419465015073</v>
          </cell>
          <cell r="I30">
            <v>0.39594227272727289</v>
          </cell>
        </row>
        <row r="31">
          <cell r="C31">
            <v>771</v>
          </cell>
          <cell r="G31">
            <v>9.4616427240403089E-2</v>
          </cell>
          <cell r="I31">
            <v>0.32590727272727282</v>
          </cell>
        </row>
        <row r="32">
          <cell r="C32">
            <v>800</v>
          </cell>
          <cell r="G32">
            <v>4.6324954655265475E-2</v>
          </cell>
          <cell r="I32">
            <v>0.26279272727272718</v>
          </cell>
        </row>
        <row r="33">
          <cell r="C33">
            <v>829</v>
          </cell>
          <cell r="G33">
            <v>-2.8151092568151626E-14</v>
          </cell>
          <cell r="I33">
            <v>0</v>
          </cell>
        </row>
      </sheetData>
      <sheetData sheetId="9" refreshError="1"/>
      <sheetData sheetId="10" refreshError="1"/>
      <sheetData sheetId="11">
        <row r="3">
          <cell r="G3" t="str">
            <v>V vol (ml)</v>
          </cell>
          <cell r="I3" t="str">
            <v>k*rICP (ml)</v>
          </cell>
        </row>
        <row r="4">
          <cell r="C4">
            <v>0</v>
          </cell>
          <cell r="G4">
            <v>-7.6551466732493675E-3</v>
          </cell>
          <cell r="I4">
            <v>0</v>
          </cell>
        </row>
        <row r="5">
          <cell r="C5">
            <v>38.461500000000001</v>
          </cell>
          <cell r="G5">
            <v>1.867120623635856E-2</v>
          </cell>
          <cell r="I5">
            <v>0.30802259733749998</v>
          </cell>
        </row>
        <row r="6">
          <cell r="C6">
            <v>76.923000000000002</v>
          </cell>
          <cell r="G6">
            <v>8.609702717450457E-2</v>
          </cell>
          <cell r="I6">
            <v>0.90592453061249989</v>
          </cell>
        </row>
        <row r="7">
          <cell r="C7">
            <v>115.3845</v>
          </cell>
          <cell r="G7">
            <v>0.19591236220189773</v>
          </cell>
          <cell r="I7">
            <v>0.74972384670000003</v>
          </cell>
        </row>
        <row r="8">
          <cell r="C8">
            <v>153.846</v>
          </cell>
          <cell r="G8">
            <v>0.31275794525850004</v>
          </cell>
          <cell r="I8">
            <v>0.55136835809999996</v>
          </cell>
        </row>
        <row r="9">
          <cell r="C9">
            <v>192.3075</v>
          </cell>
          <cell r="G9">
            <v>0.42392240701731931</v>
          </cell>
          <cell r="I9">
            <v>0.98845751793749992</v>
          </cell>
        </row>
        <row r="10">
          <cell r="C10">
            <v>230.76900000000001</v>
          </cell>
          <cell r="G10">
            <v>0.5083487301170031</v>
          </cell>
          <cell r="I10">
            <v>1.3282263262125</v>
          </cell>
        </row>
        <row r="11">
          <cell r="C11">
            <v>269.23050000000001</v>
          </cell>
          <cell r="G11">
            <v>0.57433392922687065</v>
          </cell>
          <cell r="I11">
            <v>1.1220643923</v>
          </cell>
        </row>
        <row r="12">
          <cell r="C12">
            <v>307.69200000000001</v>
          </cell>
          <cell r="G12">
            <v>0.61664810639550605</v>
          </cell>
          <cell r="I12">
            <v>0.95077124744999986</v>
          </cell>
        </row>
        <row r="13">
          <cell r="C13">
            <v>346.15350000000001</v>
          </cell>
          <cell r="G13">
            <v>0.64971231883904801</v>
          </cell>
          <cell r="I13">
            <v>1.0740413057249998</v>
          </cell>
        </row>
        <row r="14">
          <cell r="C14">
            <v>384.61500000000001</v>
          </cell>
          <cell r="G14">
            <v>0.67688356207110412</v>
          </cell>
          <cell r="I14">
            <v>1.1811780436874999</v>
          </cell>
        </row>
        <row r="15">
          <cell r="C15">
            <v>423.07650000000001</v>
          </cell>
          <cell r="G15">
            <v>0.69373434972843417</v>
          </cell>
          <cell r="I15">
            <v>0.99947630508749996</v>
          </cell>
        </row>
        <row r="16">
          <cell r="C16">
            <v>461.53800000000001</v>
          </cell>
          <cell r="G16">
            <v>0.70213408661428056</v>
          </cell>
          <cell r="I16">
            <v>0.90624761336249982</v>
          </cell>
        </row>
        <row r="17">
          <cell r="C17">
            <v>499.99950000000001</v>
          </cell>
          <cell r="G17">
            <v>0.69646721404133016</v>
          </cell>
          <cell r="I17">
            <v>0.91085970288749996</v>
          </cell>
        </row>
        <row r="18">
          <cell r="C18">
            <v>538.46100000000001</v>
          </cell>
          <cell r="G18">
            <v>0.68216385503580068</v>
          </cell>
          <cell r="I18">
            <v>0.84469335491249997</v>
          </cell>
        </row>
        <row r="19">
          <cell r="C19">
            <v>576.92250000000001</v>
          </cell>
          <cell r="G19">
            <v>0.65942727768539933</v>
          </cell>
          <cell r="I19">
            <v>0.74261735849999988</v>
          </cell>
        </row>
        <row r="20">
          <cell r="C20">
            <v>615.38400000000001</v>
          </cell>
          <cell r="G20">
            <v>0.62531799840050084</v>
          </cell>
          <cell r="I20">
            <v>0.68633917458749993</v>
          </cell>
        </row>
        <row r="21">
          <cell r="C21">
            <v>653.84550000000002</v>
          </cell>
          <cell r="G21">
            <v>0.58549159591483446</v>
          </cell>
          <cell r="I21">
            <v>0.61392767036249996</v>
          </cell>
        </row>
        <row r="22">
          <cell r="C22">
            <v>692.30700000000002</v>
          </cell>
          <cell r="G22">
            <v>0.54023006884827185</v>
          </cell>
          <cell r="I22">
            <v>0.546200033325</v>
          </cell>
        </row>
        <row r="23">
          <cell r="C23">
            <v>730.76850000000002</v>
          </cell>
          <cell r="G23">
            <v>0.49258144094543277</v>
          </cell>
          <cell r="I23">
            <v>0.5102186072249999</v>
          </cell>
        </row>
        <row r="24">
          <cell r="C24">
            <v>769.23</v>
          </cell>
          <cell r="G24">
            <v>0.44188330542045506</v>
          </cell>
          <cell r="I24">
            <v>0.451338274875</v>
          </cell>
        </row>
        <row r="25">
          <cell r="C25">
            <v>807.69150000000002</v>
          </cell>
          <cell r="G25">
            <v>0.38594548188519606</v>
          </cell>
          <cell r="I25">
            <v>0.38204934877500002</v>
          </cell>
        </row>
        <row r="26">
          <cell r="C26">
            <v>846.15300000000002</v>
          </cell>
          <cell r="G26">
            <v>0.32537094244895925</v>
          </cell>
          <cell r="I26">
            <v>0.32837331329999997</v>
          </cell>
        </row>
        <row r="27">
          <cell r="C27">
            <v>884.61450000000002</v>
          </cell>
          <cell r="G27">
            <v>0.25879511317291592</v>
          </cell>
          <cell r="I27">
            <v>0.27729942626249998</v>
          </cell>
        </row>
        <row r="28">
          <cell r="C28">
            <v>923.07600000000002</v>
          </cell>
          <cell r="G28">
            <v>0.19102271712654234</v>
          </cell>
          <cell r="I28">
            <v>0.23299112516250001</v>
          </cell>
        </row>
        <row r="29">
          <cell r="C29">
            <v>961.53750000000002</v>
          </cell>
          <cell r="G29">
            <v>0.12341520967538799</v>
          </cell>
          <cell r="I29">
            <v>0.17931508968749998</v>
          </cell>
        </row>
        <row r="30">
          <cell r="C30">
            <v>999.99900000000002</v>
          </cell>
          <cell r="G30">
            <v>5.7454382142337543E-2</v>
          </cell>
          <cell r="I30">
            <v>0.13656807764999998</v>
          </cell>
        </row>
        <row r="31">
          <cell r="C31">
            <v>1038.4604999999999</v>
          </cell>
          <cell r="G31">
            <v>-7.6551466732269757E-3</v>
          </cell>
          <cell r="I31">
            <v>0.1151586828</v>
          </cell>
        </row>
        <row r="32">
          <cell r="C32">
            <v>1076.922</v>
          </cell>
          <cell r="G32">
            <v>-6.8650045774031984E-2</v>
          </cell>
          <cell r="I32">
            <v>6.6166514512499996E-2</v>
          </cell>
        </row>
        <row r="33">
          <cell r="C33">
            <v>1115.3834999999999</v>
          </cell>
          <cell r="G33">
            <v>-0.1207269753801119</v>
          </cell>
          <cell r="I33">
            <v>1.66537500001091E-7</v>
          </cell>
        </row>
      </sheetData>
      <sheetData sheetId="12" refreshError="1"/>
      <sheetData sheetId="13" refreshError="1"/>
      <sheetData sheetId="14">
        <row r="3">
          <cell r="G3" t="str">
            <v>V vol (ml)</v>
          </cell>
          <cell r="I3" t="str">
            <v>k*rICP (ml)</v>
          </cell>
        </row>
        <row r="4">
          <cell r="C4">
            <v>0</v>
          </cell>
          <cell r="G4">
            <v>-1.4528684293363459E-2</v>
          </cell>
          <cell r="I4">
            <v>0</v>
          </cell>
        </row>
        <row r="5">
          <cell r="C5">
            <v>31.25</v>
          </cell>
          <cell r="G5">
            <v>2.3802407645497903E-3</v>
          </cell>
          <cell r="I5">
            <v>0.22976379345</v>
          </cell>
        </row>
        <row r="6">
          <cell r="C6">
            <v>62.5</v>
          </cell>
          <cell r="G6">
            <v>5.787132680970225E-2</v>
          </cell>
          <cell r="I6">
            <v>0.84142758690000008</v>
          </cell>
        </row>
        <row r="7">
          <cell r="C7">
            <v>93.75</v>
          </cell>
          <cell r="G7">
            <v>0.15843134845753701</v>
          </cell>
          <cell r="I7">
            <v>1.1340038803500001</v>
          </cell>
        </row>
        <row r="8">
          <cell r="C8">
            <v>125</v>
          </cell>
          <cell r="G8">
            <v>0.28063688428120792</v>
          </cell>
          <cell r="I8">
            <v>0.75825517379999996</v>
          </cell>
        </row>
        <row r="9">
          <cell r="C9">
            <v>156.25</v>
          </cell>
          <cell r="G9">
            <v>0.39833561345083901</v>
          </cell>
          <cell r="I9">
            <v>0.40511896724999996</v>
          </cell>
        </row>
        <row r="10">
          <cell r="C10">
            <v>187.5</v>
          </cell>
          <cell r="G10">
            <v>0.49510694221865975</v>
          </cell>
          <cell r="I10">
            <v>0.50297651070000005</v>
          </cell>
        </row>
        <row r="11">
          <cell r="C11">
            <v>218.75</v>
          </cell>
          <cell r="G11">
            <v>0.54109407015008382</v>
          </cell>
          <cell r="I11">
            <v>0.87469655415000025</v>
          </cell>
        </row>
        <row r="12">
          <cell r="C12">
            <v>250</v>
          </cell>
          <cell r="G12">
            <v>0.55753084043054102</v>
          </cell>
          <cell r="I12">
            <v>0.99642284760000011</v>
          </cell>
        </row>
        <row r="13">
          <cell r="C13">
            <v>281.25</v>
          </cell>
          <cell r="G13">
            <v>0.55029120416491639</v>
          </cell>
          <cell r="I13">
            <v>0.73750539105000013</v>
          </cell>
        </row>
        <row r="14">
          <cell r="C14">
            <v>312.5</v>
          </cell>
          <cell r="G14">
            <v>0.52705620830198585</v>
          </cell>
          <cell r="I14">
            <v>0.59290668449999995</v>
          </cell>
        </row>
        <row r="15">
          <cell r="C15">
            <v>343.75</v>
          </cell>
          <cell r="G15">
            <v>0.49581432466830794</v>
          </cell>
          <cell r="I15">
            <v>0.74478297795000004</v>
          </cell>
        </row>
        <row r="16">
          <cell r="C16">
            <v>375</v>
          </cell>
          <cell r="G16">
            <v>0.46532159996820144</v>
          </cell>
          <cell r="I16">
            <v>0.82630927139999999</v>
          </cell>
        </row>
        <row r="17">
          <cell r="C17">
            <v>406.25</v>
          </cell>
          <cell r="G17">
            <v>0.44145745298406197</v>
          </cell>
          <cell r="I17">
            <v>0.69804181485000005</v>
          </cell>
        </row>
        <row r="18">
          <cell r="C18">
            <v>437.5</v>
          </cell>
          <cell r="G18">
            <v>0.42441266769656949</v>
          </cell>
          <cell r="I18">
            <v>0.57731185829999998</v>
          </cell>
        </row>
        <row r="19">
          <cell r="C19">
            <v>468.75</v>
          </cell>
          <cell r="G19">
            <v>0.41293419408185117</v>
          </cell>
          <cell r="I19">
            <v>0.58848815175000002</v>
          </cell>
        </row>
        <row r="20">
          <cell r="C20">
            <v>500</v>
          </cell>
          <cell r="G20">
            <v>0.40179434284073912</v>
          </cell>
          <cell r="I20">
            <v>0.59966444520000006</v>
          </cell>
        </row>
        <row r="21">
          <cell r="C21">
            <v>531.25</v>
          </cell>
          <cell r="G21">
            <v>0.38780807296328562</v>
          </cell>
          <cell r="I21">
            <v>0.56059073864999998</v>
          </cell>
        </row>
        <row r="22">
          <cell r="C22">
            <v>562.5</v>
          </cell>
          <cell r="G22">
            <v>0.36785070298258904</v>
          </cell>
          <cell r="I22">
            <v>0.4825732821</v>
          </cell>
        </row>
        <row r="23">
          <cell r="C23">
            <v>593.75</v>
          </cell>
          <cell r="G23">
            <v>0.34004167667674401</v>
          </cell>
          <cell r="I23">
            <v>0.43721832555000001</v>
          </cell>
        </row>
        <row r="24">
          <cell r="C24">
            <v>625</v>
          </cell>
          <cell r="G24">
            <v>0.30554778960787654</v>
          </cell>
          <cell r="I24">
            <v>0.40442586899999999</v>
          </cell>
        </row>
        <row r="25">
          <cell r="C25">
            <v>656.25</v>
          </cell>
          <cell r="G25">
            <v>0.26407736313713304</v>
          </cell>
          <cell r="I25">
            <v>0.34022716245000001</v>
          </cell>
        </row>
        <row r="26">
          <cell r="C26">
            <v>687.5</v>
          </cell>
          <cell r="G26">
            <v>0.21922655844300146</v>
          </cell>
          <cell r="I26">
            <v>0.26974720590000001</v>
          </cell>
        </row>
        <row r="27">
          <cell r="C27">
            <v>718.75</v>
          </cell>
          <cell r="G27">
            <v>0.17145334835439346</v>
          </cell>
          <cell r="I27">
            <v>0.23946724935000002</v>
          </cell>
        </row>
        <row r="28">
          <cell r="C28">
            <v>750</v>
          </cell>
          <cell r="G28">
            <v>0.12281712129136782</v>
          </cell>
          <cell r="I28">
            <v>0.20667479280000003</v>
          </cell>
        </row>
        <row r="29">
          <cell r="C29">
            <v>781.25</v>
          </cell>
          <cell r="G29">
            <v>7.4076707585483542E-2</v>
          </cell>
          <cell r="I29">
            <v>0.16257608625</v>
          </cell>
        </row>
        <row r="30">
          <cell r="C30">
            <v>812.5</v>
          </cell>
          <cell r="G30">
            <v>2.7132633350948732E-2</v>
          </cell>
          <cell r="I30">
            <v>0.12978362969999999</v>
          </cell>
        </row>
        <row r="31">
          <cell r="C31">
            <v>843.75</v>
          </cell>
          <cell r="G31">
            <v>-1.4528684293346181E-2</v>
          </cell>
          <cell r="I31">
            <v>0.10955367314999999</v>
          </cell>
        </row>
        <row r="32">
          <cell r="C32">
            <v>875</v>
          </cell>
          <cell r="G32">
            <v>-4.82857284429518E-2</v>
          </cell>
          <cell r="I32">
            <v>6.4198716599999983E-2</v>
          </cell>
        </row>
        <row r="33">
          <cell r="C33">
            <v>906.25</v>
          </cell>
          <cell r="G33">
            <v>-7.4804980356459924E-2</v>
          </cell>
          <cell r="I33">
            <v>1.0050000000288994E-8</v>
          </cell>
        </row>
      </sheetData>
      <sheetData sheetId="15" refreshError="1"/>
      <sheetData sheetId="16" refreshError="1"/>
      <sheetData sheetId="17">
        <row r="3">
          <cell r="G3" t="str">
            <v>V vol (ml*s)</v>
          </cell>
          <cell r="I3" t="str">
            <v>k*rICP (ml)</v>
          </cell>
        </row>
        <row r="4">
          <cell r="C4">
            <v>0</v>
          </cell>
          <cell r="G4">
            <v>5.9556528187232165E-3</v>
          </cell>
          <cell r="I4">
            <v>0</v>
          </cell>
        </row>
        <row r="5">
          <cell r="C5">
            <v>28.169</v>
          </cell>
          <cell r="G5">
            <v>6.7770497447682362E-2</v>
          </cell>
          <cell r="I5">
            <v>0.13286899999999979</v>
          </cell>
        </row>
        <row r="6">
          <cell r="C6">
            <v>56.338000000000001</v>
          </cell>
          <cell r="G6">
            <v>0.16648878944933279</v>
          </cell>
          <cell r="I6">
            <v>0.53207133333333245</v>
          </cell>
        </row>
        <row r="7">
          <cell r="C7">
            <v>84.507000000000005</v>
          </cell>
          <cell r="G7">
            <v>0.2801321577433189</v>
          </cell>
          <cell r="I7">
            <v>1.2289403333333333</v>
          </cell>
        </row>
        <row r="8">
          <cell r="C8">
            <v>112.676</v>
          </cell>
          <cell r="G8">
            <v>0.38866541058694798</v>
          </cell>
          <cell r="I8">
            <v>1.3353718333333329</v>
          </cell>
        </row>
        <row r="9">
          <cell r="C9">
            <v>140.845</v>
          </cell>
          <cell r="G9">
            <v>0.47618955155077408</v>
          </cell>
          <cell r="I9">
            <v>0.84744916666666692</v>
          </cell>
        </row>
        <row r="10">
          <cell r="C10">
            <v>169.01400000000001</v>
          </cell>
          <cell r="G10">
            <v>0.53494492961829088</v>
          </cell>
          <cell r="I10">
            <v>0.53088066666666645</v>
          </cell>
        </row>
        <row r="11">
          <cell r="C11">
            <v>197.18299999999999</v>
          </cell>
          <cell r="G11">
            <v>0.57019736973404267</v>
          </cell>
          <cell r="I11">
            <v>0.72152049999999901</v>
          </cell>
        </row>
        <row r="12">
          <cell r="C12">
            <v>225.352</v>
          </cell>
          <cell r="G12">
            <v>0.58467139489381437</v>
          </cell>
          <cell r="I12">
            <v>1.1275769999999998</v>
          </cell>
        </row>
        <row r="13">
          <cell r="C13">
            <v>253.52099999999999</v>
          </cell>
          <cell r="G13">
            <v>0.57641568737173809</v>
          </cell>
          <cell r="I13">
            <v>1.3642376666666658</v>
          </cell>
        </row>
        <row r="14">
          <cell r="C14">
            <v>281.69</v>
          </cell>
          <cell r="G14">
            <v>0.55477766060850309</v>
          </cell>
          <cell r="I14">
            <v>1.1220858333333323</v>
          </cell>
        </row>
        <row r="15">
          <cell r="C15">
            <v>309.85899999999998</v>
          </cell>
          <cell r="G15">
            <v>0.52902264189029835</v>
          </cell>
          <cell r="I15">
            <v>0.74285066666666599</v>
          </cell>
        </row>
        <row r="16">
          <cell r="C16">
            <v>338.02800000000002</v>
          </cell>
          <cell r="G16">
            <v>0.50494364172083739</v>
          </cell>
          <cell r="I16">
            <v>0.78171966666666637</v>
          </cell>
        </row>
        <row r="17">
          <cell r="C17">
            <v>366.197</v>
          </cell>
          <cell r="G17">
            <v>0.48647946461823066</v>
          </cell>
          <cell r="I17">
            <v>1.0732136666666658</v>
          </cell>
        </row>
        <row r="18">
          <cell r="C18">
            <v>394.36599999999999</v>
          </cell>
          <cell r="G18">
            <v>0.47234035469391084</v>
          </cell>
          <cell r="I18">
            <v>1.1101243333333328</v>
          </cell>
        </row>
        <row r="19">
          <cell r="C19">
            <v>422.53500000000003</v>
          </cell>
          <cell r="G19">
            <v>0.46038935647750806</v>
          </cell>
          <cell r="I19">
            <v>0.86307666666666638</v>
          </cell>
        </row>
        <row r="20">
          <cell r="C20">
            <v>450.70400000000001</v>
          </cell>
          <cell r="G20">
            <v>0.44868010798903663</v>
          </cell>
          <cell r="I20">
            <v>0.70317483333333242</v>
          </cell>
        </row>
        <row r="21">
          <cell r="C21">
            <v>478.87299999999999</v>
          </cell>
          <cell r="G21">
            <v>0.434751173142153</v>
          </cell>
          <cell r="I21">
            <v>0.6911271666666664</v>
          </cell>
        </row>
        <row r="22">
          <cell r="C22">
            <v>507.04199999999997</v>
          </cell>
          <cell r="G22">
            <v>0.41658740968175623</v>
          </cell>
          <cell r="I22">
            <v>0.72803783333333338</v>
          </cell>
        </row>
        <row r="23">
          <cell r="C23">
            <v>535.21100000000001</v>
          </cell>
          <cell r="G23">
            <v>0.39202038425950608</v>
          </cell>
          <cell r="I23">
            <v>0.69053183333333346</v>
          </cell>
        </row>
        <row r="24">
          <cell r="C24">
            <v>563.38</v>
          </cell>
          <cell r="G24">
            <v>0.36096832791120848</v>
          </cell>
          <cell r="I24">
            <v>0.59917166666666599</v>
          </cell>
        </row>
        <row r="25">
          <cell r="C25">
            <v>591.54899999999998</v>
          </cell>
          <cell r="G25">
            <v>0.32471896575466913</v>
          </cell>
          <cell r="I25">
            <v>0.47745733333333301</v>
          </cell>
        </row>
        <row r="26">
          <cell r="C26">
            <v>619.71799999999996</v>
          </cell>
          <cell r="G26">
            <v>0.28613601440582676</v>
          </cell>
          <cell r="I26">
            <v>0.42036799999999952</v>
          </cell>
        </row>
        <row r="27">
          <cell r="C27">
            <v>647.88699999999994</v>
          </cell>
          <cell r="G27">
            <v>0.24538149204635121</v>
          </cell>
          <cell r="I27">
            <v>0.36719533333333304</v>
          </cell>
        </row>
        <row r="28">
          <cell r="C28">
            <v>676.05600000000004</v>
          </cell>
          <cell r="G28">
            <v>0.20555924842191564</v>
          </cell>
          <cell r="I28">
            <v>0.29933516666666604</v>
          </cell>
        </row>
        <row r="29">
          <cell r="C29">
            <v>704.22500000000002</v>
          </cell>
          <cell r="G29">
            <v>0.16567251779051198</v>
          </cell>
          <cell r="I29">
            <v>0.25399583333333348</v>
          </cell>
        </row>
        <row r="30">
          <cell r="C30">
            <v>732.39400000000001</v>
          </cell>
          <cell r="G30">
            <v>0.12799722858197898</v>
          </cell>
          <cell r="I30">
            <v>0.21257316666666648</v>
          </cell>
        </row>
        <row r="31">
          <cell r="C31">
            <v>760.56299999999999</v>
          </cell>
          <cell r="G31">
            <v>9.2355652818708264E-2</v>
          </cell>
          <cell r="I31">
            <v>0.17212966666666696</v>
          </cell>
        </row>
        <row r="32">
          <cell r="C32">
            <v>788.73199999999997</v>
          </cell>
          <cell r="G32">
            <v>6.4201727106206891E-2</v>
          </cell>
          <cell r="I32">
            <v>7.7831999999999998E-2</v>
          </cell>
        </row>
        <row r="33">
          <cell r="C33">
            <v>816.90099999999995</v>
          </cell>
          <cell r="G33">
            <v>0</v>
          </cell>
          <cell r="I33">
            <v>3.6072499999998059E-3</v>
          </cell>
        </row>
      </sheetData>
      <sheetData sheetId="18" refreshError="1"/>
      <sheetData sheetId="19" refreshError="1"/>
      <sheetData sheetId="20">
        <row r="3">
          <cell r="G3" t="str">
            <v>V vol (ml*s)</v>
          </cell>
          <cell r="I3" t="str">
            <v>k*rICP (ml)</v>
          </cell>
        </row>
        <row r="4">
          <cell r="C4">
            <v>0</v>
          </cell>
          <cell r="G4">
            <v>-5.5470465973780116E-3</v>
          </cell>
          <cell r="I4">
            <v>0</v>
          </cell>
        </row>
        <row r="5">
          <cell r="C5">
            <v>36.363599999999998</v>
          </cell>
          <cell r="G5">
            <v>0.13642851453820706</v>
          </cell>
          <cell r="I5">
            <v>0.91982124999999992</v>
          </cell>
        </row>
        <row r="6">
          <cell r="C6">
            <v>72.727199999999996</v>
          </cell>
          <cell r="G6">
            <v>0.37946632137601494</v>
          </cell>
          <cell r="I6">
            <v>2.5739471875</v>
          </cell>
        </row>
        <row r="7">
          <cell r="C7">
            <v>109.0908</v>
          </cell>
          <cell r="G7">
            <v>0.65301481952874529</v>
          </cell>
          <cell r="I7">
            <v>2.8165340624999997</v>
          </cell>
        </row>
        <row r="8">
          <cell r="C8">
            <v>145.45439999999999</v>
          </cell>
          <cell r="G8">
            <v>0.87102992650884214</v>
          </cell>
          <cell r="I8">
            <v>1.6095349999999999</v>
          </cell>
        </row>
        <row r="9">
          <cell r="C9">
            <v>181.81800000000001</v>
          </cell>
          <cell r="G9">
            <v>1.0144039812130934</v>
          </cell>
          <cell r="I9">
            <v>1.0188953125</v>
          </cell>
        </row>
        <row r="10">
          <cell r="C10">
            <v>218.1816</v>
          </cell>
          <cell r="G10">
            <v>1.0483015088007239</v>
          </cell>
          <cell r="I10">
            <v>1.7789196875</v>
          </cell>
        </row>
        <row r="11">
          <cell r="C11">
            <v>254.54519999999999</v>
          </cell>
          <cell r="G11">
            <v>1.0346053552613304</v>
          </cell>
          <cell r="I11">
            <v>2.4286081250000002</v>
          </cell>
        </row>
        <row r="12">
          <cell r="C12">
            <v>290.90879999999999</v>
          </cell>
          <cell r="G12">
            <v>0.99589319906946505</v>
          </cell>
          <cell r="I12">
            <v>1.86460125</v>
          </cell>
        </row>
        <row r="13">
          <cell r="C13">
            <v>327.2724</v>
          </cell>
          <cell r="G13">
            <v>0.96485266839380801</v>
          </cell>
          <cell r="I13">
            <v>0.97719593749999989</v>
          </cell>
        </row>
        <row r="14">
          <cell r="C14">
            <v>363.63600000000002</v>
          </cell>
          <cell r="G14">
            <v>0.94754035541750736</v>
          </cell>
          <cell r="I14">
            <v>1.3947984375</v>
          </cell>
        </row>
        <row r="15">
          <cell r="C15">
            <v>399.99959999999999</v>
          </cell>
          <cell r="G15">
            <v>0.95329339003135061</v>
          </cell>
          <cell r="I15">
            <v>2.1814556249999999</v>
          </cell>
        </row>
        <row r="16">
          <cell r="C16">
            <v>436.36320000000001</v>
          </cell>
          <cell r="G16">
            <v>0.96747646446384206</v>
          </cell>
          <cell r="I16">
            <v>1.7734409375</v>
          </cell>
        </row>
        <row r="17">
          <cell r="C17">
            <v>472.72680000000003</v>
          </cell>
          <cell r="G17">
            <v>0.98585370807096895</v>
          </cell>
          <cell r="I17">
            <v>1.3045512500000001</v>
          </cell>
        </row>
        <row r="18">
          <cell r="C18">
            <v>509.09039999999999</v>
          </cell>
          <cell r="G18">
            <v>1.0006056623111388</v>
          </cell>
          <cell r="I18">
            <v>1.4368021874999999</v>
          </cell>
        </row>
        <row r="19">
          <cell r="C19">
            <v>545.45399999999995</v>
          </cell>
          <cell r="G19">
            <v>1.0007518871201286</v>
          </cell>
          <cell r="I19">
            <v>1.6299281249999999</v>
          </cell>
        </row>
        <row r="20">
          <cell r="C20">
            <v>581.81759999999997</v>
          </cell>
          <cell r="G20">
            <v>0.96871734316866187</v>
          </cell>
          <cell r="I20">
            <v>1.4387806249999999</v>
          </cell>
        </row>
        <row r="21">
          <cell r="C21">
            <v>618.18119999999999</v>
          </cell>
          <cell r="G21">
            <v>0.91464898493676094</v>
          </cell>
          <cell r="I21">
            <v>1.171539375</v>
          </cell>
        </row>
        <row r="22">
          <cell r="C22">
            <v>654.54480000000001</v>
          </cell>
          <cell r="G22">
            <v>0.83515522069000958</v>
          </cell>
          <cell r="I22">
            <v>1.0450715625</v>
          </cell>
        </row>
        <row r="23">
          <cell r="C23">
            <v>690.90840000000003</v>
          </cell>
          <cell r="G23">
            <v>0.74501339493948715</v>
          </cell>
          <cell r="I23">
            <v>1.04035375</v>
          </cell>
        </row>
        <row r="24">
          <cell r="C24">
            <v>727.27200000000005</v>
          </cell>
          <cell r="G24">
            <v>0.64621430759901222</v>
          </cell>
          <cell r="I24">
            <v>0.92910468749999997</v>
          </cell>
        </row>
        <row r="25">
          <cell r="C25">
            <v>763.63559999999995</v>
          </cell>
          <cell r="G25">
            <v>0.54000440405912886</v>
          </cell>
          <cell r="I25">
            <v>0.73415249999999987</v>
          </cell>
        </row>
        <row r="26">
          <cell r="C26">
            <v>799.99919999999997</v>
          </cell>
          <cell r="G26">
            <v>0.43867966408797898</v>
          </cell>
          <cell r="I26">
            <v>0.58485656249999995</v>
          </cell>
        </row>
        <row r="27">
          <cell r="C27">
            <v>836.36279999999999</v>
          </cell>
          <cell r="G27">
            <v>0.347840921765731</v>
          </cell>
          <cell r="I27">
            <v>0.55350593749999999</v>
          </cell>
        </row>
        <row r="28">
          <cell r="C28">
            <v>872.72640000000001</v>
          </cell>
          <cell r="G28">
            <v>0.27115202160641672</v>
          </cell>
          <cell r="I28">
            <v>0.52215531250000002</v>
          </cell>
        </row>
        <row r="29">
          <cell r="C29">
            <v>909.09</v>
          </cell>
          <cell r="G29">
            <v>0.20932140609324487</v>
          </cell>
          <cell r="I29">
            <v>0.49841406249999998</v>
          </cell>
        </row>
        <row r="30">
          <cell r="C30">
            <v>945.45360000000005</v>
          </cell>
          <cell r="G30">
            <v>0.16516272248612965</v>
          </cell>
          <cell r="I30">
            <v>0.48608687499999997</v>
          </cell>
        </row>
        <row r="31">
          <cell r="C31">
            <v>981.81719999999996</v>
          </cell>
          <cell r="G31">
            <v>0.11997735887852634</v>
          </cell>
          <cell r="I31">
            <v>0.36722843749999995</v>
          </cell>
        </row>
        <row r="32">
          <cell r="C32">
            <v>1018.1808</v>
          </cell>
          <cell r="G32">
            <v>6.1374694039493437E-2</v>
          </cell>
          <cell r="I32">
            <v>0.21032312499999997</v>
          </cell>
        </row>
        <row r="33">
          <cell r="C33">
            <v>1054.5444</v>
          </cell>
          <cell r="G33">
            <v>-1.0477729794899915E-15</v>
          </cell>
          <cell r="I33">
            <v>1.5218749999996973E-4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>
        <row r="3">
          <cell r="G3" t="str">
            <v>V vol (ml*s)</v>
          </cell>
          <cell r="I3" t="str">
            <v>k*rICP (ml)</v>
          </cell>
        </row>
        <row r="4">
          <cell r="C4">
            <v>0</v>
          </cell>
          <cell r="G4">
            <v>1.3512254536073227E-2</v>
          </cell>
          <cell r="I4">
            <v>4.5609171818181651E-2</v>
          </cell>
        </row>
        <row r="5">
          <cell r="C5">
            <v>24.764706</v>
          </cell>
          <cell r="G5">
            <v>0.11993967533586489</v>
          </cell>
          <cell r="I5">
            <v>0</v>
          </cell>
        </row>
        <row r="6">
          <cell r="C6">
            <v>49.529412000000001</v>
          </cell>
          <cell r="G6">
            <v>0.23919906567180571</v>
          </cell>
          <cell r="I6">
            <v>0.24194831454545496</v>
          </cell>
        </row>
        <row r="7">
          <cell r="C7">
            <v>74.294117999999997</v>
          </cell>
          <cell r="G7">
            <v>0.3056009957298465</v>
          </cell>
          <cell r="I7">
            <v>1.0377034472727276</v>
          </cell>
        </row>
        <row r="8">
          <cell r="C8">
            <v>99.058824000000001</v>
          </cell>
          <cell r="G8">
            <v>0.34567483427667639</v>
          </cell>
          <cell r="I8">
            <v>1.8593676709090881</v>
          </cell>
        </row>
        <row r="9">
          <cell r="C9">
            <v>123.82352899999999</v>
          </cell>
          <cell r="G9">
            <v>0.38462664436415511</v>
          </cell>
          <cell r="I9">
            <v>2.0171114400000003</v>
          </cell>
        </row>
        <row r="10">
          <cell r="C10">
            <v>148.588235</v>
          </cell>
          <cell r="G10">
            <v>0.48535863741421548</v>
          </cell>
          <cell r="I10">
            <v>1.5051052090909123</v>
          </cell>
        </row>
        <row r="11">
          <cell r="C11">
            <v>173.35294099999999</v>
          </cell>
          <cell r="G11">
            <v>0.63394205416802829</v>
          </cell>
          <cell r="I11">
            <v>0.82209897818181754</v>
          </cell>
        </row>
        <row r="12">
          <cell r="C12">
            <v>198.11764700000001</v>
          </cell>
          <cell r="G12">
            <v>0.75239512219465143</v>
          </cell>
          <cell r="I12">
            <v>0.88657002000000007</v>
          </cell>
        </row>
        <row r="13">
          <cell r="C13">
            <v>222.88235299999999</v>
          </cell>
          <cell r="G13">
            <v>0.81727118851136216</v>
          </cell>
          <cell r="I13">
            <v>1.2910978799999999</v>
          </cell>
        </row>
        <row r="14">
          <cell r="C14">
            <v>247.64705900000001</v>
          </cell>
          <cell r="G14">
            <v>0.84021584680855432</v>
          </cell>
          <cell r="I14">
            <v>1.5738530127272747</v>
          </cell>
        </row>
        <row r="15">
          <cell r="C15">
            <v>272.411765</v>
          </cell>
          <cell r="G15">
            <v>0.8473207897426156</v>
          </cell>
          <cell r="I15">
            <v>1.4446536000000001</v>
          </cell>
        </row>
        <row r="16">
          <cell r="C16">
            <v>297.17647099999999</v>
          </cell>
          <cell r="G16">
            <v>0.84945272276372241</v>
          </cell>
          <cell r="I16">
            <v>1.0900450963636363</v>
          </cell>
        </row>
        <row r="17">
          <cell r="C17">
            <v>321.94117599999998</v>
          </cell>
          <cell r="G17">
            <v>0.83858362246159424</v>
          </cell>
          <cell r="I17">
            <v>0.88052750181818129</v>
          </cell>
        </row>
        <row r="18">
          <cell r="C18">
            <v>346.70588199999997</v>
          </cell>
          <cell r="G18">
            <v>0.81012550044888121</v>
          </cell>
          <cell r="I18">
            <v>0.96313490727272744</v>
          </cell>
        </row>
        <row r="19">
          <cell r="C19">
            <v>371.47058800000002</v>
          </cell>
          <cell r="G19">
            <v>0.76520110764773797</v>
          </cell>
          <cell r="I19">
            <v>1.1409582218181871</v>
          </cell>
        </row>
        <row r="20">
          <cell r="C20">
            <v>396.23529400000001</v>
          </cell>
          <cell r="G20">
            <v>0.714120760395898</v>
          </cell>
          <cell r="I20">
            <v>1.1736906272727252</v>
          </cell>
        </row>
        <row r="21">
          <cell r="C21">
            <v>421</v>
          </cell>
          <cell r="G21">
            <v>0.6714245222666595</v>
          </cell>
          <cell r="I21">
            <v>0.95251394181818139</v>
          </cell>
        </row>
        <row r="22">
          <cell r="C22">
            <v>445.76470599999999</v>
          </cell>
          <cell r="G22">
            <v>0.62999900132975983</v>
          </cell>
          <cell r="I22">
            <v>0.75854180181818132</v>
          </cell>
        </row>
        <row r="23">
          <cell r="C23">
            <v>470.52941199999998</v>
          </cell>
          <cell r="G23">
            <v>0.59328538575925927</v>
          </cell>
          <cell r="I23">
            <v>0.66755829818181756</v>
          </cell>
        </row>
        <row r="24">
          <cell r="C24">
            <v>495.29411800000003</v>
          </cell>
          <cell r="G24">
            <v>0.55869345642706281</v>
          </cell>
          <cell r="I24">
            <v>0.67179070363636373</v>
          </cell>
        </row>
        <row r="25">
          <cell r="C25">
            <v>520.05882399999996</v>
          </cell>
          <cell r="G25">
            <v>0.52840266656099022</v>
          </cell>
          <cell r="I25">
            <v>0.68379583636363628</v>
          </cell>
        </row>
        <row r="26">
          <cell r="C26">
            <v>544.82352900000001</v>
          </cell>
          <cell r="G26">
            <v>0.49409931645810462</v>
          </cell>
          <cell r="I26">
            <v>0.64463051454545506</v>
          </cell>
        </row>
        <row r="27">
          <cell r="C27">
            <v>569.58823500000005</v>
          </cell>
          <cell r="G27">
            <v>0.45555099609244304</v>
          </cell>
          <cell r="I27">
            <v>0.56919246545454494</v>
          </cell>
        </row>
        <row r="28">
          <cell r="C28">
            <v>594.35294099999999</v>
          </cell>
          <cell r="G28">
            <v>0.41769294293039849</v>
          </cell>
          <cell r="I28">
            <v>0.48727714363636376</v>
          </cell>
        </row>
        <row r="29">
          <cell r="C29">
            <v>619.11764700000003</v>
          </cell>
          <cell r="G29">
            <v>0.37751236602149274</v>
          </cell>
          <cell r="I29">
            <v>0.41831636727272747</v>
          </cell>
        </row>
        <row r="30">
          <cell r="C30">
            <v>643.88235299999997</v>
          </cell>
          <cell r="G30">
            <v>0.33339649709467833</v>
          </cell>
          <cell r="I30">
            <v>0.36295786363636379</v>
          </cell>
        </row>
        <row r="31">
          <cell r="C31">
            <v>668.64705900000001</v>
          </cell>
          <cell r="G31">
            <v>0.28413636292797023</v>
          </cell>
          <cell r="I31">
            <v>0.31472436000000004</v>
          </cell>
        </row>
        <row r="32">
          <cell r="C32">
            <v>693.41176499999995</v>
          </cell>
          <cell r="G32">
            <v>0.23354122216193146</v>
          </cell>
          <cell r="I32">
            <v>0.23993403818181758</v>
          </cell>
        </row>
        <row r="33">
          <cell r="C33">
            <v>718.17647099999999</v>
          </cell>
          <cell r="G33">
            <v>0.18417889908379778</v>
          </cell>
          <cell r="I33">
            <v>0.18328008000000001</v>
          </cell>
        </row>
        <row r="34">
          <cell r="C34">
            <v>742.94117600000004</v>
          </cell>
          <cell r="G34">
            <v>0.13237546452706089</v>
          </cell>
          <cell r="I34">
            <v>0.14800112181818129</v>
          </cell>
        </row>
        <row r="35">
          <cell r="C35">
            <v>767.70588199999997</v>
          </cell>
          <cell r="G35">
            <v>8.3696412155669447E-2</v>
          </cell>
          <cell r="I35">
            <v>0.12697216363636374</v>
          </cell>
        </row>
        <row r="36">
          <cell r="C36">
            <v>792.47058800000002</v>
          </cell>
          <cell r="G36">
            <v>3.8818085407873369E-2</v>
          </cell>
          <cell r="I36">
            <v>8.4568205454545048E-2</v>
          </cell>
        </row>
        <row r="37">
          <cell r="C37">
            <v>817.23529399999995</v>
          </cell>
          <cell r="G37">
            <v>-5.1625370645069779E-15</v>
          </cell>
          <cell r="I37">
            <v>2.5971065454545382E-2</v>
          </cell>
        </row>
        <row r="38">
          <cell r="C38">
            <v>842</v>
          </cell>
          <cell r="G38">
            <v>-4.4867969716155975E-2</v>
          </cell>
          <cell r="I38">
            <v>3.18681818163713E-6</v>
          </cell>
        </row>
      </sheetData>
      <sheetData sheetId="26" refreshError="1"/>
      <sheetData sheetId="27" refreshError="1"/>
      <sheetData sheetId="28">
        <row r="3">
          <cell r="G3" t="str">
            <v>V vol (ml*s)</v>
          </cell>
          <cell r="I3" t="str">
            <v>k*rICP (ml)</v>
          </cell>
        </row>
        <row r="4">
          <cell r="C4">
            <v>0</v>
          </cell>
          <cell r="G4">
            <v>-1.4572405857299054E-3</v>
          </cell>
          <cell r="I4">
            <v>0</v>
          </cell>
        </row>
        <row r="5">
          <cell r="C5">
            <v>30.758621000000002</v>
          </cell>
          <cell r="G5">
            <v>1.2568338607336182E-3</v>
          </cell>
          <cell r="I5">
            <v>0.11546903205</v>
          </cell>
        </row>
        <row r="6">
          <cell r="C6">
            <v>61.517240999999999</v>
          </cell>
          <cell r="G6">
            <v>7.7554523778867197E-3</v>
          </cell>
          <cell r="I6">
            <v>0.25351681409999999</v>
          </cell>
        </row>
        <row r="7">
          <cell r="C7">
            <v>92.275862000000004</v>
          </cell>
          <cell r="G7">
            <v>2.1293205796250447E-2</v>
          </cell>
          <cell r="I7">
            <v>0.18605615865</v>
          </cell>
        </row>
        <row r="8">
          <cell r="C8">
            <v>123.03448299999999</v>
          </cell>
          <cell r="G8">
            <v>4.8731795810948844E-2</v>
          </cell>
          <cell r="I8">
            <v>0.13072112820000001</v>
          </cell>
        </row>
        <row r="9">
          <cell r="C9">
            <v>153.793103</v>
          </cell>
          <cell r="G9">
            <v>8.9950820884668214E-2</v>
          </cell>
          <cell r="I9">
            <v>0.23761859774999999</v>
          </cell>
        </row>
        <row r="10">
          <cell r="C10">
            <v>184.55172400000001</v>
          </cell>
          <cell r="G10">
            <v>0.1348205829536348</v>
          </cell>
          <cell r="I10">
            <v>0.37273950480000001</v>
          </cell>
        </row>
        <row r="11">
          <cell r="C11">
            <v>215.31034500000001</v>
          </cell>
          <cell r="G11">
            <v>0.1738652755818898</v>
          </cell>
          <cell r="I11">
            <v>0.33099353684999999</v>
          </cell>
        </row>
        <row r="12">
          <cell r="C12">
            <v>246.06896599999999</v>
          </cell>
          <cell r="G12">
            <v>0.20252465543614437</v>
          </cell>
          <cell r="I12">
            <v>0.26206944390000003</v>
          </cell>
        </row>
        <row r="13">
          <cell r="C13">
            <v>276.827586</v>
          </cell>
          <cell r="G13">
            <v>0.22025715243636701</v>
          </cell>
          <cell r="I13">
            <v>0.31607410095000005</v>
          </cell>
        </row>
        <row r="14">
          <cell r="C14">
            <v>307.586207</v>
          </cell>
          <cell r="G14">
            <v>0.22643205345610137</v>
          </cell>
          <cell r="I14">
            <v>0.35209938299999999</v>
          </cell>
        </row>
        <row r="15">
          <cell r="C15">
            <v>338.34482800000001</v>
          </cell>
          <cell r="G15">
            <v>0.22417113442171679</v>
          </cell>
          <cell r="I15">
            <v>0.31411654005</v>
          </cell>
        </row>
        <row r="16">
          <cell r="C16">
            <v>369.10344800000001</v>
          </cell>
          <cell r="G16">
            <v>0.21870434672793246</v>
          </cell>
          <cell r="I16">
            <v>0.26672588460000002</v>
          </cell>
        </row>
        <row r="17">
          <cell r="C17">
            <v>399.86206900000002</v>
          </cell>
          <cell r="G17">
            <v>0.21443113887899826</v>
          </cell>
          <cell r="I17">
            <v>0.26930116664999998</v>
          </cell>
        </row>
        <row r="18">
          <cell r="C18">
            <v>430.62069000000002</v>
          </cell>
          <cell r="G18">
            <v>0.2109444931476466</v>
          </cell>
          <cell r="I18">
            <v>0.26142332369999999</v>
          </cell>
        </row>
        <row r="19">
          <cell r="C19">
            <v>461.37930999999998</v>
          </cell>
          <cell r="G19">
            <v>0.20751558003808901</v>
          </cell>
          <cell r="I19">
            <v>0.22699454325000001</v>
          </cell>
        </row>
        <row r="20">
          <cell r="C20">
            <v>492.13793099999998</v>
          </cell>
          <cell r="G20">
            <v>0.20104657164247977</v>
          </cell>
          <cell r="I20">
            <v>0.20343701280000001</v>
          </cell>
        </row>
        <row r="21">
          <cell r="C21">
            <v>522.89655200000004</v>
          </cell>
          <cell r="G21">
            <v>0.19012812538504567</v>
          </cell>
          <cell r="I21">
            <v>0.19137791984999999</v>
          </cell>
        </row>
        <row r="22">
          <cell r="C22">
            <v>553.65517199999999</v>
          </cell>
          <cell r="G22">
            <v>0.17328004799901564</v>
          </cell>
          <cell r="I22">
            <v>0.17367413940000001</v>
          </cell>
        </row>
        <row r="23">
          <cell r="C23">
            <v>584.41379300000006</v>
          </cell>
          <cell r="G23">
            <v>0.15116491368353185</v>
          </cell>
          <cell r="I23">
            <v>0.15387973394999999</v>
          </cell>
        </row>
        <row r="24">
          <cell r="C24">
            <v>615.172414</v>
          </cell>
          <cell r="G24">
            <v>0.12681533052662403</v>
          </cell>
          <cell r="I24">
            <v>0.13533970349999999</v>
          </cell>
        </row>
        <row r="25">
          <cell r="C25">
            <v>645.93103399999995</v>
          </cell>
          <cell r="G25">
            <v>0.10233328912593592</v>
          </cell>
          <cell r="I25">
            <v>0.11575436055</v>
          </cell>
        </row>
        <row r="26">
          <cell r="C26">
            <v>676.68965500000002</v>
          </cell>
          <cell r="G26">
            <v>7.9256006341777693E-2</v>
          </cell>
          <cell r="I26">
            <v>9.8886830100000003E-2</v>
          </cell>
        </row>
        <row r="27">
          <cell r="C27">
            <v>707.44827599999996</v>
          </cell>
          <cell r="G27">
            <v>5.9648934528580111E-2</v>
          </cell>
          <cell r="I27">
            <v>8.9754612149999996E-2</v>
          </cell>
        </row>
        <row r="28">
          <cell r="C28">
            <v>738.20689700000003</v>
          </cell>
          <cell r="G28">
            <v>4.2716207071666623E-2</v>
          </cell>
          <cell r="I28">
            <v>7.5813956700000004E-2</v>
          </cell>
        </row>
        <row r="29">
          <cell r="C29">
            <v>768.96551699999998</v>
          </cell>
          <cell r="G29">
            <v>2.8136015555401683E-2</v>
          </cell>
          <cell r="I29">
            <v>5.6019551250000001E-2</v>
          </cell>
        </row>
        <row r="30">
          <cell r="C30">
            <v>799.72413800000004</v>
          </cell>
          <cell r="G30">
            <v>1.5999659372760301E-2</v>
          </cell>
          <cell r="I30">
            <v>4.1869833300000006E-2</v>
          </cell>
        </row>
        <row r="31">
          <cell r="C31">
            <v>830.48275899999999</v>
          </cell>
          <cell r="G31">
            <v>6.1285407459425387E-3</v>
          </cell>
          <cell r="I31">
            <v>3.7964177850000003E-2</v>
          </cell>
        </row>
        <row r="32">
          <cell r="C32">
            <v>861.24137900000005</v>
          </cell>
          <cell r="G32">
            <v>3.3366427035569964E-4</v>
          </cell>
          <cell r="I32">
            <v>2.5486959900000002E-2</v>
          </cell>
        </row>
        <row r="33">
          <cell r="C33">
            <v>892</v>
          </cell>
          <cell r="G33">
            <v>-1.4572405857328206E-3</v>
          </cell>
          <cell r="I33">
            <v>1.4086166666617829E-6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5D8A-478B-B94E-89C9-8B2930789F6B}">
  <dimension ref="A2:Q37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style="1" bestFit="1" customWidth="1"/>
    <col min="2" max="2" width="25.5" style="1" bestFit="1" customWidth="1"/>
    <col min="3" max="3" width="13.33203125" style="2" bestFit="1" customWidth="1"/>
    <col min="4" max="4" width="16.1640625" style="2" customWidth="1"/>
    <col min="5" max="5" width="18.6640625" style="2" customWidth="1"/>
    <col min="6" max="6" width="9.6640625" style="2" customWidth="1"/>
    <col min="7" max="7" width="10.83203125" style="2"/>
    <col min="8" max="8" width="10.83203125" style="1"/>
    <col min="9" max="9" width="12" style="1" bestFit="1" customWidth="1"/>
    <col min="10" max="10" width="14.5" style="1" bestFit="1" customWidth="1"/>
    <col min="11" max="11" width="6.83203125" style="1" customWidth="1"/>
    <col min="12" max="16384" width="10.83203125" style="1"/>
  </cols>
  <sheetData>
    <row r="2" spans="1:10" x14ac:dyDescent="0.2">
      <c r="D2"/>
      <c r="E2"/>
      <c r="F2"/>
      <c r="G2"/>
      <c r="H2" s="1" t="s">
        <v>0</v>
      </c>
      <c r="J2" s="3" t="s">
        <v>1</v>
      </c>
    </row>
    <row r="3" spans="1:10" ht="19" x14ac:dyDescent="0.25"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3" t="s">
        <v>9</v>
      </c>
      <c r="J3" s="3" t="s">
        <v>10</v>
      </c>
    </row>
    <row r="4" spans="1:10" ht="19" x14ac:dyDescent="0.25">
      <c r="A4" s="69" t="s">
        <v>83</v>
      </c>
      <c r="B4" s="75">
        <v>69.400000000000006</v>
      </c>
      <c r="C4" s="9">
        <v>0</v>
      </c>
      <c r="D4" s="10">
        <f>(((0.649990716032071*$B$4)*(1/64.6))*64.6)*(1/6)</f>
        <v>7.5182259487709553</v>
      </c>
      <c r="E4" s="10">
        <f>(((0.672008390141445*$B$4)*(1/64.6))*64.6)*(1/6)</f>
        <v>7.7728970459693807</v>
      </c>
      <c r="F4" s="10">
        <f t="shared" ref="F4:F33" si="0">D4-E4</f>
        <v>-0.2546710971984254</v>
      </c>
      <c r="G4" s="11">
        <v>0</v>
      </c>
      <c r="H4" s="2">
        <v>0</v>
      </c>
      <c r="I4" s="12">
        <f>$B$7*H4</f>
        <v>0</v>
      </c>
      <c r="J4" s="13">
        <f>$H$4*C5/1000</f>
        <v>0</v>
      </c>
    </row>
    <row r="5" spans="1:10" x14ac:dyDescent="0.2">
      <c r="A5"/>
      <c r="C5" s="9">
        <v>30.275862</v>
      </c>
      <c r="D5" s="10">
        <f>(((0.664068665829647*$B$4)*(1/64.6))*64.6)*(1/6)</f>
        <v>7.681060901429583</v>
      </c>
      <c r="E5" s="10">
        <f>(((0.609413441693517*$B$4)*(1/64.6))*64.6)*(1/6)</f>
        <v>7.0488821422550147</v>
      </c>
      <c r="F5" s="10">
        <f t="shared" si="0"/>
        <v>0.63217875917456823</v>
      </c>
      <c r="G5" s="11">
        <f>G4+30.275*F5/1000</f>
        <v>1.9139211934010053E-2</v>
      </c>
      <c r="H5" s="2">
        <v>0</v>
      </c>
      <c r="I5" s="12">
        <f t="shared" ref="I5:I33" si="1">$B$7*H5</f>
        <v>0</v>
      </c>
      <c r="J5" s="14">
        <f>J4+H5*$C$5/1000</f>
        <v>0</v>
      </c>
    </row>
    <row r="6" spans="1:10" x14ac:dyDescent="0.2">
      <c r="A6"/>
      <c r="B6" s="3" t="s">
        <v>11</v>
      </c>
      <c r="C6" s="9">
        <v>60.551724</v>
      </c>
      <c r="D6" s="10">
        <f>(((0.784514575085488*$B$4)*(1/64.6))*64.6)*(1/6)</f>
        <v>9.074218585155478</v>
      </c>
      <c r="E6" s="10">
        <f>(((0.586854472535019*$B$4)*(1/64.6))*64.6)*(1/6)</f>
        <v>6.7879500656550533</v>
      </c>
      <c r="F6" s="10">
        <f t="shared" si="0"/>
        <v>2.2862685195004246</v>
      </c>
      <c r="G6" s="11">
        <f t="shared" ref="G6:G33" si="2">G5+30.275*F6/1000</f>
        <v>8.8355991361885405E-2</v>
      </c>
      <c r="H6" s="15">
        <v>0.11111111111111072</v>
      </c>
      <c r="I6" s="12">
        <f t="shared" si="1"/>
        <v>5.1666666666666486E-2</v>
      </c>
      <c r="J6" s="14">
        <f t="shared" ref="J6:J33" si="3">J5+H6*$C$5/1000</f>
        <v>3.3639846666666546E-3</v>
      </c>
    </row>
    <row r="7" spans="1:10" x14ac:dyDescent="0.2">
      <c r="A7" s="7" t="s">
        <v>76</v>
      </c>
      <c r="B7" s="1">
        <v>0.46500000000000002</v>
      </c>
      <c r="C7" s="9">
        <v>90.827585999999997</v>
      </c>
      <c r="D7" s="10">
        <f>(((1.00888376353844*$B$4)*(1/64.6))*64.6)*(1/6)</f>
        <v>11.669422198261289</v>
      </c>
      <c r="E7" s="10">
        <f>(((0.642089027137549*$B$4)*(1/64.6))*64.6)*(1/6)</f>
        <v>7.4268297472243185</v>
      </c>
      <c r="F7" s="10">
        <f t="shared" si="0"/>
        <v>4.2425924510369706</v>
      </c>
      <c r="G7" s="11">
        <f t="shared" si="2"/>
        <v>0.21680047781702969</v>
      </c>
      <c r="H7" s="15">
        <v>0.88888888888888928</v>
      </c>
      <c r="I7" s="12">
        <f t="shared" si="1"/>
        <v>0.41333333333333355</v>
      </c>
      <c r="J7" s="14">
        <f t="shared" si="3"/>
        <v>3.0275862000000001E-2</v>
      </c>
    </row>
    <row r="8" spans="1:10" x14ac:dyDescent="0.2">
      <c r="A8"/>
      <c r="B8" s="1" t="s">
        <v>86</v>
      </c>
      <c r="C8" s="9">
        <v>121.103448</v>
      </c>
      <c r="D8" s="10">
        <f>(((1.31648453737338*$B$4)*(1/64.6))*64.6)*(1/6)</f>
        <v>15.227337815618762</v>
      </c>
      <c r="E8" s="10">
        <f>(((0.775774759096029*$B$4)*(1/64.6))*64.6)*(1/6)</f>
        <v>8.9731280468774024</v>
      </c>
      <c r="F8" s="10">
        <f t="shared" si="0"/>
        <v>6.2542097687413598</v>
      </c>
      <c r="G8" s="11">
        <f t="shared" si="2"/>
        <v>0.40614667856567432</v>
      </c>
      <c r="H8" s="15">
        <v>3.5138888888888893</v>
      </c>
      <c r="I8" s="12">
        <f t="shared" si="1"/>
        <v>1.6339583333333336</v>
      </c>
      <c r="J8" s="14">
        <f t="shared" si="3"/>
        <v>0.13666187708333336</v>
      </c>
    </row>
    <row r="9" spans="1:10" x14ac:dyDescent="0.2">
      <c r="A9" s="7" t="s">
        <v>78</v>
      </c>
      <c r="B9" s="14">
        <f>1/B7</f>
        <v>2.150537634408602</v>
      </c>
      <c r="C9" s="9">
        <v>151.37931</v>
      </c>
      <c r="D9" s="10">
        <f>(((1.55557031655766*$B$4)*(1/64.6))*64.6)*(1/6)</f>
        <v>17.992763328183599</v>
      </c>
      <c r="E9" s="10">
        <f>(((0.962857928399656*$B$4)*(1/64.6))*64.6)*(1/6)</f>
        <v>11.137056705156022</v>
      </c>
      <c r="F9" s="10">
        <f t="shared" si="0"/>
        <v>6.8557066230275776</v>
      </c>
      <c r="G9" s="11">
        <f t="shared" si="2"/>
        <v>0.61370319657783423</v>
      </c>
      <c r="H9" s="15">
        <v>6.4097222222222214</v>
      </c>
      <c r="I9" s="12">
        <f t="shared" si="1"/>
        <v>2.9805208333333333</v>
      </c>
      <c r="J9" s="14">
        <f t="shared" si="3"/>
        <v>0.33072174254166664</v>
      </c>
    </row>
    <row r="10" spans="1:10" x14ac:dyDescent="0.2">
      <c r="A10"/>
      <c r="B10" s="1" t="s">
        <v>12</v>
      </c>
      <c r="C10" s="9">
        <v>181.65517199999999</v>
      </c>
      <c r="D10" s="10">
        <f>(((1.63522349969384*$B$4)*(1/64.6))*64.6)*(1/6)</f>
        <v>18.914085146458749</v>
      </c>
      <c r="E10" s="10">
        <f>(((1.14530453054825*$B$4)*(1/64.6))*64.6)*(1/6)</f>
        <v>13.247355736674763</v>
      </c>
      <c r="F10" s="10">
        <f t="shared" si="0"/>
        <v>5.6667294097839864</v>
      </c>
      <c r="G10" s="11">
        <f t="shared" si="2"/>
        <v>0.78526342945904437</v>
      </c>
      <c r="H10" s="15">
        <v>7.1388888888888893</v>
      </c>
      <c r="I10" s="12">
        <f t="shared" si="1"/>
        <v>3.3195833333333336</v>
      </c>
      <c r="J10" s="14">
        <f t="shared" si="3"/>
        <v>0.54685775737499998</v>
      </c>
    </row>
    <row r="11" spans="1:10" x14ac:dyDescent="0.2">
      <c r="A11"/>
      <c r="B11" s="3" t="s">
        <v>77</v>
      </c>
      <c r="C11" s="9">
        <v>211.93103400000001</v>
      </c>
      <c r="D11" s="10">
        <f>(((1.58457554275543*$B$4)*(1/64.6))*64.6)*(1/6)</f>
        <v>18.328257111204476</v>
      </c>
      <c r="E11" s="10">
        <f>(((1.29147653845147*$B$4)*(1/64.6))*64.6)*(1/6)</f>
        <v>14.93807862808867</v>
      </c>
      <c r="F11" s="10">
        <f t="shared" si="0"/>
        <v>3.3901784831158057</v>
      </c>
      <c r="G11" s="11">
        <f t="shared" si="2"/>
        <v>0.8879010830353754</v>
      </c>
      <c r="H11" s="15">
        <v>3.9791666666666661</v>
      </c>
      <c r="I11" s="12">
        <f t="shared" si="1"/>
        <v>1.8503124999999998</v>
      </c>
      <c r="J11" s="14">
        <f t="shared" si="3"/>
        <v>0.66733045824999992</v>
      </c>
    </row>
    <row r="12" spans="1:10" x14ac:dyDescent="0.2">
      <c r="A12" s="7" t="s">
        <v>79</v>
      </c>
      <c r="B12" s="1">
        <v>10.56</v>
      </c>
      <c r="C12" s="9">
        <v>242.206897</v>
      </c>
      <c r="D12" s="10">
        <f>(((1.42131647419481*$B$4)*(1/64.6))*64.6)*(1/6)</f>
        <v>16.439893884853305</v>
      </c>
      <c r="E12" s="10">
        <f>(((1.3506752993412*$B$4)*(1/64.6))*64.6)*(1/6)</f>
        <v>15.62281096237988</v>
      </c>
      <c r="F12" s="10">
        <f t="shared" si="0"/>
        <v>0.81708292247342484</v>
      </c>
      <c r="G12" s="11">
        <f t="shared" si="2"/>
        <v>0.91263826851325835</v>
      </c>
      <c r="H12" s="15">
        <v>2.2013888888888893</v>
      </c>
      <c r="I12" s="12">
        <f t="shared" si="1"/>
        <v>1.0236458333333336</v>
      </c>
      <c r="J12" s="14">
        <f t="shared" si="3"/>
        <v>0.73397940445833321</v>
      </c>
    </row>
    <row r="13" spans="1:10" x14ac:dyDescent="0.2">
      <c r="A13" s="7"/>
      <c r="C13" s="9">
        <v>272.48275899999999</v>
      </c>
      <c r="D13" s="10">
        <f>(((1.30495585389816*$B$4)*(1/64.6))*64.6)*(1/6)</f>
        <v>15.093989376755385</v>
      </c>
      <c r="E13" s="10">
        <f>(((1.35157920038372*$B$4)*(1/64.6))*64.6)*(1/6)</f>
        <v>15.633266084438361</v>
      </c>
      <c r="F13" s="10">
        <f t="shared" si="0"/>
        <v>-0.53927670768297631</v>
      </c>
      <c r="G13" s="11">
        <f t="shared" si="2"/>
        <v>0.89631166618815628</v>
      </c>
      <c r="H13" s="15">
        <v>2.8819444444444446</v>
      </c>
      <c r="I13" s="12">
        <f t="shared" si="1"/>
        <v>1.3401041666666669</v>
      </c>
      <c r="J13" s="14">
        <f t="shared" si="3"/>
        <v>0.82123275674999985</v>
      </c>
    </row>
    <row r="14" spans="1:10" x14ac:dyDescent="0.2">
      <c r="B14" s="3" t="s">
        <v>13</v>
      </c>
      <c r="C14" s="9">
        <v>302.75862100000001</v>
      </c>
      <c r="D14" s="10">
        <f>(((1.21073380216629*$B$4)*(1/64.6))*64.6)*(1/6)</f>
        <v>14.00415431172342</v>
      </c>
      <c r="E14" s="10">
        <f>(((1.32560675268403*$B$4)*(1/64.6))*64.6)*(1/6)</f>
        <v>15.332851439378615</v>
      </c>
      <c r="F14" s="10">
        <f t="shared" si="0"/>
        <v>-1.3286971276551949</v>
      </c>
      <c r="G14" s="11">
        <f t="shared" si="2"/>
        <v>0.85608536064839524</v>
      </c>
      <c r="H14" s="15">
        <v>4.4583333333333339</v>
      </c>
      <c r="I14" s="12">
        <f t="shared" si="1"/>
        <v>2.0731250000000006</v>
      </c>
      <c r="J14" s="14">
        <f t="shared" si="3"/>
        <v>0.95621264149999985</v>
      </c>
    </row>
    <row r="15" spans="1:10" x14ac:dyDescent="0.2">
      <c r="A15"/>
      <c r="B15" s="14">
        <f>J34</f>
        <v>0.84440325238687486</v>
      </c>
      <c r="C15" s="9">
        <v>333.03448300000002</v>
      </c>
      <c r="D15" s="10">
        <f>(((1.14673583560589*$B$4)*(1/64.6))*64.6)*(1/6)</f>
        <v>13.263911165174797</v>
      </c>
      <c r="E15" s="10">
        <f>(((1.27557767832673*$B$4)*(1/64.6))*64.6)*(1/6)</f>
        <v>14.754181812645847</v>
      </c>
      <c r="F15" s="10">
        <f t="shared" si="0"/>
        <v>-1.4902706474710499</v>
      </c>
      <c r="G15" s="11">
        <f t="shared" si="2"/>
        <v>0.81096741679620921</v>
      </c>
      <c r="H15" s="15">
        <v>3.7083333333333339</v>
      </c>
      <c r="I15" s="12">
        <f t="shared" si="1"/>
        <v>1.7243750000000004</v>
      </c>
      <c r="J15" s="14">
        <f t="shared" si="3"/>
        <v>1.0684856297499998</v>
      </c>
    </row>
    <row r="16" spans="1:10" x14ac:dyDescent="0.2">
      <c r="A16"/>
      <c r="C16" s="9">
        <v>363.31034499999998</v>
      </c>
      <c r="D16" s="10">
        <f>(((1.10590216805417*$B$4)*(1/64.6))*64.6)*(1/6)</f>
        <v>12.791601743826568</v>
      </c>
      <c r="E16" s="10">
        <f>(((1.22086940559768*$B$4)*(1/64.6))*64.6)*(1/6)</f>
        <v>14.121389458079834</v>
      </c>
      <c r="F16" s="10">
        <f t="shared" si="0"/>
        <v>-1.3297877142532659</v>
      </c>
      <c r="G16" s="11">
        <f t="shared" si="2"/>
        <v>0.77070809374719162</v>
      </c>
      <c r="H16" s="15">
        <v>1.75</v>
      </c>
      <c r="I16" s="12">
        <f t="shared" si="1"/>
        <v>0.81375000000000008</v>
      </c>
      <c r="J16" s="14">
        <f t="shared" si="3"/>
        <v>1.1214683882499998</v>
      </c>
    </row>
    <row r="17" spans="1:17" x14ac:dyDescent="0.2">
      <c r="A17"/>
      <c r="B17" s="1" t="s">
        <v>14</v>
      </c>
      <c r="C17" s="9">
        <v>393.586207</v>
      </c>
      <c r="D17" s="10">
        <f>(((1.08570994457471*$B$4)*(1/64.6))*64.6)*(1/6)</f>
        <v>12.558045025580814</v>
      </c>
      <c r="E17" s="10">
        <f>(((1.16342905818063*$B$4)*(1/64.6))*64.6)*(1/6)</f>
        <v>13.456996106289285</v>
      </c>
      <c r="F17" s="10">
        <f t="shared" si="0"/>
        <v>-0.8989510807084713</v>
      </c>
      <c r="G17" s="11">
        <f t="shared" si="2"/>
        <v>0.74349234977874268</v>
      </c>
      <c r="H17" s="15">
        <v>1.6736111111111107</v>
      </c>
      <c r="I17" s="12">
        <f t="shared" si="1"/>
        <v>0.77822916666666653</v>
      </c>
      <c r="J17" s="14">
        <f t="shared" si="3"/>
        <v>1.1721384072916665</v>
      </c>
    </row>
    <row r="18" spans="1:17" x14ac:dyDescent="0.2">
      <c r="A18"/>
      <c r="B18" s="1" t="s">
        <v>15</v>
      </c>
      <c r="C18" s="9">
        <v>423.86206900000002</v>
      </c>
      <c r="D18" s="10">
        <f>(((1.0756328278432*$B$4)*(1/64.6))*64.6)*(1/6)</f>
        <v>12.441486375386347</v>
      </c>
      <c r="E18" s="10">
        <f>(((1.1235773172963*$B$4)*(1/64.6))*64.6)*(1/6)</f>
        <v>12.99604430339387</v>
      </c>
      <c r="F18" s="10">
        <f t="shared" si="0"/>
        <v>-0.55455792800752235</v>
      </c>
      <c r="G18" s="11">
        <f t="shared" si="2"/>
        <v>0.72670310850831499</v>
      </c>
      <c r="H18" s="15">
        <v>2.9236111111111107</v>
      </c>
      <c r="I18" s="12">
        <f t="shared" si="1"/>
        <v>1.3594791666666666</v>
      </c>
      <c r="J18" s="14">
        <f t="shared" si="3"/>
        <v>1.2606532538333333</v>
      </c>
    </row>
    <row r="19" spans="1:17" x14ac:dyDescent="0.2">
      <c r="A19"/>
      <c r="B19" s="12">
        <f>60/0.878</f>
        <v>68.337129840546694</v>
      </c>
      <c r="C19" s="9">
        <v>454.13793099999998</v>
      </c>
      <c r="D19" s="10">
        <f>(((1.05420683695731*$B$4)*(1/64.6))*64.6)*(1/6)</f>
        <v>12.193659080806222</v>
      </c>
      <c r="E19" s="10">
        <f>(((1.0917176873778*$B$4)*(1/64.6))*64.6)*(1/6)</f>
        <v>12.627534584003222</v>
      </c>
      <c r="F19" s="10">
        <f t="shared" si="0"/>
        <v>-0.43387550319699919</v>
      </c>
      <c r="G19" s="11">
        <f t="shared" si="2"/>
        <v>0.71356752764902587</v>
      </c>
      <c r="H19" s="15">
        <v>3.9722222222222214</v>
      </c>
      <c r="I19" s="12">
        <f t="shared" si="1"/>
        <v>1.847083333333333</v>
      </c>
      <c r="J19" s="14">
        <f t="shared" si="3"/>
        <v>1.3809157056666665</v>
      </c>
    </row>
    <row r="20" spans="1:17" x14ac:dyDescent="0.2">
      <c r="A20"/>
      <c r="C20" s="9">
        <v>484.413793</v>
      </c>
      <c r="D20" s="10">
        <f>(((1.01941252253712*$B$4)*(1/64.6))*64.6)*(1/6)</f>
        <v>11.79120484401269</v>
      </c>
      <c r="E20" s="10">
        <f>(((1.0735453611085*$B$4)*(1/64.6))*64.6)*(1/6)</f>
        <v>12.417341343488317</v>
      </c>
      <c r="F20" s="10">
        <f t="shared" si="0"/>
        <v>-0.62613649947562777</v>
      </c>
      <c r="G20" s="11">
        <f t="shared" si="2"/>
        <v>0.69461124512740124</v>
      </c>
      <c r="H20" s="15">
        <v>2.7847222222222214</v>
      </c>
      <c r="I20" s="12">
        <f t="shared" si="1"/>
        <v>1.2948958333333331</v>
      </c>
      <c r="J20" s="14">
        <f t="shared" si="3"/>
        <v>1.4652255713749998</v>
      </c>
    </row>
    <row r="21" spans="1:17" x14ac:dyDescent="0.2">
      <c r="A21"/>
      <c r="B21" s="1" t="s">
        <v>16</v>
      </c>
      <c r="C21" s="9">
        <v>514.68965500000002</v>
      </c>
      <c r="D21" s="10">
        <f>(((0.96856803158935*$B$4)*(1/64.6))*64.6)*(1/6)</f>
        <v>11.203103565383481</v>
      </c>
      <c r="E21" s="10">
        <f>(((1.06088220039511*$B$4)*(1/64.6))*64.6)*(1/6)</f>
        <v>12.270870784570109</v>
      </c>
      <c r="F21" s="10">
        <f t="shared" si="0"/>
        <v>-1.0677672191866279</v>
      </c>
      <c r="G21" s="11">
        <f t="shared" si="2"/>
        <v>0.66228459256652605</v>
      </c>
      <c r="H21" s="15">
        <v>1.4027777777777786</v>
      </c>
      <c r="I21" s="12">
        <f t="shared" si="1"/>
        <v>0.65229166666666705</v>
      </c>
      <c r="J21" s="14">
        <f t="shared" si="3"/>
        <v>1.5076958777916665</v>
      </c>
    </row>
    <row r="22" spans="1:17" x14ac:dyDescent="0.2">
      <c r="A22"/>
      <c r="B22" s="3" t="s">
        <v>17</v>
      </c>
      <c r="C22" s="9">
        <v>544.96551699999998</v>
      </c>
      <c r="D22" s="10">
        <f>(((0.920527839544418*$B$4)*(1/64.6))*64.6)*(1/6)</f>
        <v>10.647438677397101</v>
      </c>
      <c r="E22" s="10">
        <f>(((1.04956555013975*$B$4)*(1/64.6))*64.6)*(1/6)</f>
        <v>12.139974863283109</v>
      </c>
      <c r="F22" s="10">
        <f t="shared" si="0"/>
        <v>-1.4925361858860082</v>
      </c>
      <c r="G22" s="11">
        <f t="shared" si="2"/>
        <v>0.61709805953882713</v>
      </c>
      <c r="H22" s="15">
        <v>1.4652777777777786</v>
      </c>
      <c r="I22" s="12">
        <f t="shared" si="1"/>
        <v>0.68135416666666704</v>
      </c>
      <c r="J22" s="14">
        <f t="shared" si="3"/>
        <v>1.5520584255833332</v>
      </c>
      <c r="M22" t="s">
        <v>81</v>
      </c>
      <c r="N22"/>
      <c r="O22"/>
      <c r="P22"/>
      <c r="Q22"/>
    </row>
    <row r="23" spans="1:17" x14ac:dyDescent="0.2">
      <c r="A23" s="16" t="s">
        <v>90</v>
      </c>
      <c r="B23" s="14">
        <f>2*J34*(B19/60)*(B19/60)</f>
        <v>2.1907401175452463</v>
      </c>
      <c r="C23" s="9">
        <v>575.24137900000005</v>
      </c>
      <c r="D23" s="10">
        <f>(((0.880236021629578*$B$4)*(1/64.6))*64.6)*(1/6)</f>
        <v>10.181396650182119</v>
      </c>
      <c r="E23" s="10">
        <f>(((1.04224112948888*$B$4)*(1/64.6))*64.6)*(1/6)</f>
        <v>12.055255731088046</v>
      </c>
      <c r="F23" s="10">
        <f t="shared" si="0"/>
        <v>-1.8738590809059268</v>
      </c>
      <c r="G23" s="11">
        <f t="shared" si="2"/>
        <v>0.56036697586440021</v>
      </c>
      <c r="H23" s="15">
        <v>1.9444444444444446</v>
      </c>
      <c r="I23" s="12">
        <f t="shared" si="1"/>
        <v>0.90416666666666679</v>
      </c>
      <c r="J23" s="14">
        <f t="shared" si="3"/>
        <v>1.6109281572499998</v>
      </c>
      <c r="M23"/>
      <c r="N23"/>
      <c r="O23"/>
      <c r="P23"/>
      <c r="Q23"/>
    </row>
    <row r="24" spans="1:17" x14ac:dyDescent="0.2">
      <c r="A24"/>
      <c r="B24" s="1" t="s">
        <v>19</v>
      </c>
      <c r="C24" s="9">
        <v>605.51724100000001</v>
      </c>
      <c r="D24" s="10">
        <f>(((0.852129993390671*$B$4)*(1/64.6))*64.6)*(1/6)</f>
        <v>9.8563035902187615</v>
      </c>
      <c r="E24" s="10">
        <f>(((1.03087717746392*$B$4)*(1/64.6))*64.6)*(1/6)</f>
        <v>11.923812685999341</v>
      </c>
      <c r="F24" s="10">
        <f t="shared" si="0"/>
        <v>-2.0675090957805793</v>
      </c>
      <c r="G24" s="11">
        <f t="shared" si="2"/>
        <v>0.49777313798964318</v>
      </c>
      <c r="H24" s="15">
        <v>1.875</v>
      </c>
      <c r="I24" s="12">
        <f t="shared" si="1"/>
        <v>0.87187500000000007</v>
      </c>
      <c r="J24" s="14">
        <f t="shared" si="3"/>
        <v>1.6676953984999998</v>
      </c>
      <c r="M24"/>
      <c r="N24"/>
      <c r="O24"/>
      <c r="P24"/>
      <c r="Q24"/>
    </row>
    <row r="25" spans="1:17" x14ac:dyDescent="0.2">
      <c r="A25" s="16" t="s">
        <v>91</v>
      </c>
      <c r="B25" s="14">
        <f>B23*6</f>
        <v>13.144440705271478</v>
      </c>
      <c r="C25" s="9">
        <v>635.79310299999997</v>
      </c>
      <c r="D25" s="10">
        <f>(((0.827884341105254*$B$4)*(1/64.6))*64.6)*(1/6)</f>
        <v>9.575862212117439</v>
      </c>
      <c r="E25" s="10">
        <f>(((1.01773722286289*$B$4)*(1/64.6))*64.6)*(1/6)</f>
        <v>11.771827211114097</v>
      </c>
      <c r="F25" s="10">
        <f t="shared" si="0"/>
        <v>-2.1959649989966579</v>
      </c>
      <c r="G25" s="11">
        <f t="shared" si="2"/>
        <v>0.43129029764501936</v>
      </c>
      <c r="H25" s="15">
        <v>1.0625</v>
      </c>
      <c r="I25" s="12">
        <f t="shared" si="1"/>
        <v>0.49406250000000002</v>
      </c>
      <c r="J25" s="14">
        <f t="shared" si="3"/>
        <v>1.6998635018749999</v>
      </c>
      <c r="M25"/>
      <c r="N25"/>
      <c r="O25"/>
      <c r="P25"/>
      <c r="Q25"/>
    </row>
    <row r="26" spans="1:17" x14ac:dyDescent="0.2">
      <c r="A26"/>
      <c r="B26"/>
      <c r="C26" s="9">
        <v>666.06896600000005</v>
      </c>
      <c r="D26" s="10">
        <f>(((0.811025930761772*$B$4)*(1/64.6))*64.6)*(1/6)</f>
        <v>9.3808665991444968</v>
      </c>
      <c r="E26" s="10">
        <f>(((0.996618572713887*$B$4)*(1/64.6))*64.6)*(1/6)</f>
        <v>11.527554824390627</v>
      </c>
      <c r="F26" s="10">
        <f t="shared" si="0"/>
        <v>-2.1466882252461303</v>
      </c>
      <c r="G26" s="11">
        <f t="shared" si="2"/>
        <v>0.36629931162569274</v>
      </c>
      <c r="H26" s="15">
        <v>0.61805555555555536</v>
      </c>
      <c r="I26" s="12">
        <f t="shared" si="1"/>
        <v>0.28739583333333324</v>
      </c>
      <c r="J26" s="14">
        <f t="shared" si="3"/>
        <v>1.7185756665833332</v>
      </c>
      <c r="M26"/>
      <c r="N26"/>
      <c r="O26"/>
      <c r="P26"/>
      <c r="Q26"/>
    </row>
    <row r="27" spans="1:17" x14ac:dyDescent="0.2">
      <c r="A27"/>
      <c r="B27" s="1" t="s">
        <v>20</v>
      </c>
      <c r="C27" s="9">
        <v>696.34482800000001</v>
      </c>
      <c r="D27" s="10">
        <f>(((0.793810247773637*$B$4)*(1/64.6))*64.6)*(1/6)</f>
        <v>9.1817385325817344</v>
      </c>
      <c r="E27" s="10">
        <f>(((0.97591659550588*$B$4)*(1/64.6))*64.6)*(1/6)</f>
        <v>11.288101954684679</v>
      </c>
      <c r="F27" s="10">
        <f t="shared" si="0"/>
        <v>-2.1063634221029446</v>
      </c>
      <c r="G27" s="11">
        <f t="shared" si="2"/>
        <v>0.30252915902152611</v>
      </c>
      <c r="H27" s="15">
        <v>0.78472222222222143</v>
      </c>
      <c r="I27" s="12">
        <f t="shared" si="1"/>
        <v>0.36489583333333298</v>
      </c>
      <c r="J27" s="14">
        <f t="shared" si="3"/>
        <v>1.7423338082916664</v>
      </c>
      <c r="M27"/>
      <c r="N27"/>
      <c r="O27"/>
      <c r="P27"/>
      <c r="Q27"/>
    </row>
    <row r="28" spans="1:17" x14ac:dyDescent="0.2">
      <c r="A28" s="16" t="s">
        <v>92</v>
      </c>
      <c r="B28" s="17">
        <f>H34/B25</f>
        <v>0.15210274825567507</v>
      </c>
      <c r="C28" s="9">
        <v>726.62068999999997</v>
      </c>
      <c r="D28" s="10">
        <f>(((0.775086164371767*$B$4)*(1/64.6))*64.6)*(1/6)</f>
        <v>8.9651633012334386</v>
      </c>
      <c r="E28" s="10">
        <f>(((0.952709810725547*$B$4)*(1/64.6))*64.6)*(1/6)</f>
        <v>11.019676810725494</v>
      </c>
      <c r="F28" s="10">
        <f t="shared" si="0"/>
        <v>-2.0545135094920557</v>
      </c>
      <c r="G28" s="11">
        <f t="shared" si="2"/>
        <v>0.24032876252165414</v>
      </c>
      <c r="H28" s="15">
        <v>0.95138888888888928</v>
      </c>
      <c r="I28" s="12">
        <f t="shared" si="1"/>
        <v>0.44239583333333354</v>
      </c>
      <c r="J28" s="14">
        <f t="shared" si="3"/>
        <v>1.7711379269999998</v>
      </c>
      <c r="M28"/>
      <c r="N28"/>
      <c r="O28"/>
      <c r="P28"/>
      <c r="Q28"/>
    </row>
    <row r="29" spans="1:17" x14ac:dyDescent="0.2">
      <c r="A29"/>
      <c r="C29" s="9">
        <v>756.89655200000004</v>
      </c>
      <c r="D29" s="10">
        <f>(((0.751425724829648*$B$4)*(1/64.6))*64.6)*(1/6)</f>
        <v>8.6914908838629295</v>
      </c>
      <c r="E29" s="10">
        <f>(((0.923078928892104*$B$4)*(1/64.6))*64.6)*(1/6)</f>
        <v>10.676946277518669</v>
      </c>
      <c r="F29" s="10">
        <f t="shared" si="0"/>
        <v>-1.9854553936557391</v>
      </c>
      <c r="G29" s="11">
        <f t="shared" si="2"/>
        <v>0.18021910047872663</v>
      </c>
      <c r="H29" s="15">
        <v>0.63194444444444464</v>
      </c>
      <c r="I29" s="12">
        <f t="shared" si="1"/>
        <v>0.29385416666666675</v>
      </c>
      <c r="J29" s="14">
        <f t="shared" si="3"/>
        <v>1.7902705897916664</v>
      </c>
      <c r="M29"/>
      <c r="N29"/>
      <c r="O29"/>
      <c r="P29"/>
      <c r="Q29"/>
    </row>
    <row r="30" spans="1:17" x14ac:dyDescent="0.2">
      <c r="A30"/>
      <c r="B30" s="1" t="s">
        <v>21</v>
      </c>
      <c r="C30" s="9">
        <v>787.172414</v>
      </c>
      <c r="D30" s="10">
        <f>(((0.728366011882162*$B$4)*(1/64.6))*64.6)*(1/6)</f>
        <v>8.4247668707703411</v>
      </c>
      <c r="E30" s="10">
        <f>(((0.890246134625593*$B$4)*(1/64.6))*64.6)*(1/6)</f>
        <v>10.297180290502693</v>
      </c>
      <c r="F30" s="10">
        <f t="shared" si="0"/>
        <v>-1.8724134197323519</v>
      </c>
      <c r="G30" s="11">
        <f t="shared" si="2"/>
        <v>0.12353178419632968</v>
      </c>
      <c r="H30" s="15">
        <v>0.22916666666666696</v>
      </c>
      <c r="I30" s="12">
        <f t="shared" si="1"/>
        <v>0.10656250000000014</v>
      </c>
      <c r="J30" s="14">
        <f t="shared" si="3"/>
        <v>1.7972088081666664</v>
      </c>
      <c r="M30"/>
      <c r="N30"/>
      <c r="O30"/>
      <c r="P30"/>
      <c r="Q30"/>
    </row>
    <row r="31" spans="1:17" x14ac:dyDescent="0.2">
      <c r="A31" s="16" t="s">
        <v>93</v>
      </c>
      <c r="B31" s="13">
        <f>H34/B23</f>
        <v>0.9126164895340505</v>
      </c>
      <c r="C31" s="9">
        <v>817.44827599999996</v>
      </c>
      <c r="D31" s="10">
        <f>(((0.708438886067232*$B$4)*(1/64.6))*64.6)*(1/6)</f>
        <v>8.1942764488443167</v>
      </c>
      <c r="E31" s="10">
        <f>(((0.851115646354136*$B$4)*(1/64.6))*64.6)*(1/6)</f>
        <v>9.8445709761628386</v>
      </c>
      <c r="F31" s="10">
        <f t="shared" si="0"/>
        <v>-1.6502945273185219</v>
      </c>
      <c r="G31" s="11">
        <f t="shared" si="2"/>
        <v>7.3569117381761445E-2</v>
      </c>
      <c r="H31" s="15">
        <v>0.20138888888888928</v>
      </c>
      <c r="I31" s="12">
        <f t="shared" si="1"/>
        <v>9.3645833333333525E-2</v>
      </c>
      <c r="J31" s="14">
        <f t="shared" si="3"/>
        <v>1.8033060303749997</v>
      </c>
      <c r="M31"/>
      <c r="N31"/>
      <c r="O31"/>
      <c r="P31"/>
      <c r="Q31"/>
    </row>
    <row r="32" spans="1:17" x14ac:dyDescent="0.2">
      <c r="A32"/>
      <c r="C32" s="9">
        <v>847.72413800000004</v>
      </c>
      <c r="D32" s="10">
        <f>(((0.689018798320334*$B$4)*(1/64.6))*64.6)*(1/6)</f>
        <v>7.9696507672385311</v>
      </c>
      <c r="E32" s="10">
        <f>(((0.80430527854558*$B$4)*(1/64.6))*64.6)*(1/6)</f>
        <v>9.3031310551772091</v>
      </c>
      <c r="F32" s="10">
        <f t="shared" si="0"/>
        <v>-1.333480287938678</v>
      </c>
      <c r="G32" s="11">
        <f t="shared" si="2"/>
        <v>3.3198001664417977E-2</v>
      </c>
      <c r="H32" s="15">
        <v>0.26388888888888928</v>
      </c>
      <c r="I32" s="12">
        <f t="shared" si="1"/>
        <v>0.12270833333333353</v>
      </c>
      <c r="J32" s="14">
        <f t="shared" si="3"/>
        <v>1.811295493958333</v>
      </c>
      <c r="M32"/>
      <c r="N32"/>
      <c r="O32"/>
      <c r="P32"/>
      <c r="Q32"/>
    </row>
    <row r="33" spans="1:17" x14ac:dyDescent="0.2">
      <c r="A33"/>
      <c r="B33" s="1" t="s">
        <v>22</v>
      </c>
      <c r="C33" s="9">
        <v>878</v>
      </c>
      <c r="D33" s="10">
        <f>(((0.669564126036556*$B$4)*(1/64.6))*64.6)*(1/6)</f>
        <v>7.7446250578228311</v>
      </c>
      <c r="E33" s="10">
        <f>(((0.742348903987193*$B$4)*(1/64.6))*64.6)*(1/6)</f>
        <v>8.5865023227851989</v>
      </c>
      <c r="F33" s="10">
        <f t="shared" si="0"/>
        <v>-0.84187726496236781</v>
      </c>
      <c r="G33" s="11">
        <f t="shared" si="2"/>
        <v>7.7101674676822926E-3</v>
      </c>
      <c r="H33" s="15">
        <v>0.15277777777777768</v>
      </c>
      <c r="I33" s="12">
        <f t="shared" si="1"/>
        <v>7.1041666666666628E-2</v>
      </c>
      <c r="J33" s="18">
        <f t="shared" si="3"/>
        <v>1.8159209728749997</v>
      </c>
      <c r="K33" s="19" t="s">
        <v>23</v>
      </c>
      <c r="M33"/>
      <c r="N33"/>
      <c r="O33"/>
      <c r="P33"/>
      <c r="Q33"/>
    </row>
    <row r="34" spans="1:17" ht="19" x14ac:dyDescent="0.25">
      <c r="A34" s="69" t="s">
        <v>82</v>
      </c>
      <c r="B34" s="75">
        <f>B12/B28</f>
        <v>69.426753435442933</v>
      </c>
      <c r="G34" s="21" t="s">
        <v>24</v>
      </c>
      <c r="H34" s="18">
        <f>AVERAGE(H4:H33)</f>
        <v>1.9993055555555559</v>
      </c>
      <c r="I34" s="16" t="s">
        <v>25</v>
      </c>
      <c r="J34" s="18">
        <f>B7*J33</f>
        <v>0.84440325238687486</v>
      </c>
    </row>
    <row r="35" spans="1:17" x14ac:dyDescent="0.2">
      <c r="A35" s="20"/>
      <c r="C35" s="22" t="s">
        <v>24</v>
      </c>
      <c r="D35" s="15">
        <f>AVERAGE(D4:D33)</f>
        <v>11.566666666666665</v>
      </c>
      <c r="E35" s="15">
        <f>AVERAGE(E4:E33)</f>
        <v>11.566666666666666</v>
      </c>
      <c r="G35" s="21"/>
      <c r="H35" s="9"/>
    </row>
    <row r="36" spans="1:17" x14ac:dyDescent="0.2">
      <c r="B36" s="23" t="s">
        <v>26</v>
      </c>
      <c r="C36" s="24" t="s">
        <v>27</v>
      </c>
      <c r="D36" s="25">
        <f>D35*6</f>
        <v>69.399999999999991</v>
      </c>
      <c r="E36" s="25">
        <f>E35*6</f>
        <v>69.400000000000006</v>
      </c>
      <c r="G36" s="21"/>
      <c r="H36" s="16"/>
      <c r="I36" s="12"/>
    </row>
    <row r="37" spans="1:17" x14ac:dyDescent="0.2">
      <c r="B37" s="23" t="s">
        <v>28</v>
      </c>
      <c r="D37" s="10"/>
      <c r="E37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A55D7-B8F4-114D-997A-2BC2D5862427}">
  <dimension ref="A2:N40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8.6640625" bestFit="1" customWidth="1"/>
    <col min="4" max="4" width="16.6640625" bestFit="1" customWidth="1"/>
    <col min="5" max="5" width="18.6640625" bestFit="1" customWidth="1"/>
    <col min="7" max="7" width="10.83203125" style="1"/>
    <col min="8" max="8" width="11.1640625" bestFit="1" customWidth="1"/>
    <col min="9" max="9" width="15.33203125" style="1" bestFit="1" customWidth="1"/>
    <col min="10" max="10" width="10.83203125" style="1"/>
  </cols>
  <sheetData>
    <row r="2" spans="1:12" x14ac:dyDescent="0.2">
      <c r="B2" s="1"/>
      <c r="C2" s="2"/>
      <c r="H2" s="1" t="s">
        <v>0</v>
      </c>
      <c r="I2" s="3" t="s">
        <v>1</v>
      </c>
    </row>
    <row r="3" spans="1:12" ht="19" x14ac:dyDescent="0.25"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3" t="s">
        <v>29</v>
      </c>
      <c r="J3" s="26" t="s">
        <v>30</v>
      </c>
    </row>
    <row r="4" spans="1:12" ht="19" x14ac:dyDescent="0.25">
      <c r="A4" s="70" t="s">
        <v>83</v>
      </c>
      <c r="B4" s="75">
        <v>51.4</v>
      </c>
      <c r="C4" s="9">
        <v>0</v>
      </c>
      <c r="D4" s="10">
        <f>7.236823*(1/53.0371433571428)*B4</f>
        <v>7.0134377278806515</v>
      </c>
      <c r="E4" s="10">
        <f>((-7.84138787531074*(1/8.57498858543256))*8.83952389285714)*(1/53.0371433571428)*B4</f>
        <v>-7.8337779068238991</v>
      </c>
      <c r="F4" s="10">
        <f>D4+E4</f>
        <v>-0.82034017894324762</v>
      </c>
      <c r="G4" s="14">
        <v>0</v>
      </c>
      <c r="H4" s="9">
        <v>4.1666666666666963E-2</v>
      </c>
      <c r="I4" s="14">
        <f>H4*$C$5/1000</f>
        <v>1.5143678333333441E-3</v>
      </c>
      <c r="J4" s="27">
        <f t="shared" ref="J4:J33" si="0">H4*$B$9</f>
        <v>1.5500000000000109E-2</v>
      </c>
    </row>
    <row r="5" spans="1:12" x14ac:dyDescent="0.2">
      <c r="B5" s="14" t="s">
        <v>31</v>
      </c>
      <c r="C5" s="9">
        <v>36.344828</v>
      </c>
      <c r="D5" s="10">
        <f>10.772665*(1/53.0371433571428)*B4</f>
        <v>10.440135835962744</v>
      </c>
      <c r="E5" s="10">
        <f>((-8.18169746522622*(1/8.57498858543256))*8.83952389285714)*(1/53.0371433571428)*B4</f>
        <v>-8.1737572305548447</v>
      </c>
      <c r="F5" s="10">
        <f t="shared" ref="F5:F31" si="1">D5+E5</f>
        <v>2.2663786054078994</v>
      </c>
      <c r="G5" s="14">
        <f>$G$40+G4+F5*$C$5/1000</f>
        <v>8.7671140596429969E-2</v>
      </c>
      <c r="H5" s="9">
        <v>3.7847222222222214</v>
      </c>
      <c r="I5" s="14">
        <f>I4+H5*$C$5/1000</f>
        <v>0.13906944602777774</v>
      </c>
      <c r="J5" s="27">
        <f t="shared" si="0"/>
        <v>1.4079166666666663</v>
      </c>
    </row>
    <row r="6" spans="1:12" x14ac:dyDescent="0.2">
      <c r="B6" s="14">
        <f>B4/6</f>
        <v>8.5666666666666664</v>
      </c>
      <c r="C6" s="9">
        <v>72.689655000000002</v>
      </c>
      <c r="D6" s="10">
        <f>13.831798*(1/53.0371433571428)*B4</f>
        <v>13.404839932885485</v>
      </c>
      <c r="E6" s="10">
        <f>((-8.81748078350274*(1/8.57498858543256))*8.83952389285714)*(1/53.0371433571428)*B4</f>
        <v>-8.8089235291030352</v>
      </c>
      <c r="F6" s="10">
        <f t="shared" si="1"/>
        <v>4.59591640378245</v>
      </c>
      <c r="G6" s="14">
        <f t="shared" ref="G6:G32" si="2">$G$40+G5+F6*$C$5/1000</f>
        <v>0.26000893179428164</v>
      </c>
      <c r="H6" s="9">
        <v>8.125</v>
      </c>
      <c r="I6" s="14">
        <f t="shared" ref="I6:I33" si="3">I5+H6*$C$5/1000</f>
        <v>0.43437117352777765</v>
      </c>
      <c r="J6" s="27">
        <f t="shared" si="0"/>
        <v>3.0225</v>
      </c>
    </row>
    <row r="7" spans="1:12" x14ac:dyDescent="0.2">
      <c r="B7" s="18"/>
      <c r="C7" s="9">
        <v>109.03448299999999</v>
      </c>
      <c r="D7" s="10">
        <f>15.85006*(1/53.0371433571428)*B4</f>
        <v>15.360802494847807</v>
      </c>
      <c r="E7" s="10">
        <f>((-9.71074700590899*(1/8.57498858543256))*8.83952389285714)*(1/53.0371433571428)*B4</f>
        <v>-9.701322847855117</v>
      </c>
      <c r="F7" s="10">
        <f t="shared" si="1"/>
        <v>5.6594796469926898</v>
      </c>
      <c r="G7" s="14">
        <f t="shared" si="2"/>
        <v>0.47100174613373169</v>
      </c>
      <c r="H7" s="9">
        <v>6.7916666666666661</v>
      </c>
      <c r="I7" s="14">
        <f t="shared" si="3"/>
        <v>0.68121313036111097</v>
      </c>
      <c r="J7" s="27">
        <f t="shared" si="0"/>
        <v>2.5265</v>
      </c>
    </row>
    <row r="8" spans="1:12" x14ac:dyDescent="0.2">
      <c r="B8" s="3" t="s">
        <v>32</v>
      </c>
      <c r="C8" s="9">
        <v>145.37931</v>
      </c>
      <c r="D8" s="10">
        <f>15.770966*(1/53.0371433571428)*B4</f>
        <v>15.284149957726337</v>
      </c>
      <c r="E8" s="10">
        <f>((-10.0287922634237*(1/8.57498858543256))*8.83952389285714)*(1/53.0371433571428)*B4</f>
        <v>-10.019059446440366</v>
      </c>
      <c r="F8" s="10">
        <f t="shared" si="1"/>
        <v>5.2650905112859707</v>
      </c>
      <c r="G8" s="14">
        <f t="shared" si="2"/>
        <v>0.66766055517085232</v>
      </c>
      <c r="H8" s="9">
        <v>3.625</v>
      </c>
      <c r="I8" s="14">
        <f t="shared" si="3"/>
        <v>0.81296313186111102</v>
      </c>
      <c r="J8" s="27">
        <f t="shared" si="0"/>
        <v>1.3485</v>
      </c>
    </row>
    <row r="9" spans="1:12" x14ac:dyDescent="0.2">
      <c r="A9" s="7" t="s">
        <v>76</v>
      </c>
      <c r="B9" s="1">
        <v>0.372</v>
      </c>
      <c r="C9" s="9">
        <v>181.72413800000001</v>
      </c>
      <c r="D9" s="10">
        <f>14.435268*(1/53.0371433571428)*B4</f>
        <v>13.989682102666913</v>
      </c>
      <c r="E9" s="10">
        <f>((-9.7931277609245*(1/8.57498858543256))*8.83952389285714)*(1/53.0371433571428)*B4</f>
        <v>-9.7836236533821488</v>
      </c>
      <c r="F9" s="10">
        <f t="shared" si="1"/>
        <v>4.2060584492847646</v>
      </c>
      <c r="G9" s="14">
        <f t="shared" si="2"/>
        <v>0.82582902606805375</v>
      </c>
      <c r="H9" s="9">
        <v>3.7916666666666661</v>
      </c>
      <c r="I9" s="14">
        <f t="shared" si="3"/>
        <v>0.95077060469444441</v>
      </c>
      <c r="J9" s="27">
        <f t="shared" si="0"/>
        <v>1.4104999999999999</v>
      </c>
    </row>
    <row r="10" spans="1:12" x14ac:dyDescent="0.2">
      <c r="B10" s="1" t="s">
        <v>86</v>
      </c>
      <c r="C10" s="9">
        <v>218.06896599999999</v>
      </c>
      <c r="D10" s="10">
        <f>13.520213*(1/53.0371433571428)*B4</f>
        <v>13.102872896460566</v>
      </c>
      <c r="E10" s="10">
        <f>((-9.42187305294752*(1/8.57498858543256))*8.83952389285714)*(1/53.0371433571428)*B4</f>
        <v>-9.4127292434382746</v>
      </c>
      <c r="F10" s="10">
        <f t="shared" si="1"/>
        <v>3.6901436530222913</v>
      </c>
      <c r="G10" s="14">
        <f t="shared" si="2"/>
        <v>0.96524666243244062</v>
      </c>
      <c r="H10" s="9">
        <v>5.3611111111111107</v>
      </c>
      <c r="I10" s="14">
        <f t="shared" si="3"/>
        <v>1.1456192659166666</v>
      </c>
      <c r="J10" s="27">
        <f t="shared" si="0"/>
        <v>1.9943333333333331</v>
      </c>
      <c r="L10" s="28"/>
    </row>
    <row r="11" spans="1:12" x14ac:dyDescent="0.2">
      <c r="A11" s="7" t="s">
        <v>78</v>
      </c>
      <c r="B11" s="14">
        <f>1/B9</f>
        <v>2.6881720430107525</v>
      </c>
      <c r="C11" s="9">
        <v>254.413793</v>
      </c>
      <c r="D11" s="10">
        <f>12.315224*(1/53.0371433571428)*B4</f>
        <v>11.935079333693979</v>
      </c>
      <c r="E11" s="10">
        <f>((-9.00957784974945*(1/8.57498858543256))*8.83952389285714)*(1/53.0371433571428)*B4</f>
        <v>-9.000834167558672</v>
      </c>
      <c r="F11" s="10">
        <f t="shared" si="1"/>
        <v>2.9342451661353071</v>
      </c>
      <c r="G11" s="14">
        <f t="shared" si="2"/>
        <v>1.0771912983054597</v>
      </c>
      <c r="H11" s="9">
        <v>5.5972222222222214</v>
      </c>
      <c r="I11" s="14">
        <f t="shared" si="3"/>
        <v>1.3490493448611109</v>
      </c>
      <c r="J11" s="27">
        <f t="shared" si="0"/>
        <v>2.0821666666666663</v>
      </c>
    </row>
    <row r="12" spans="1:12" x14ac:dyDescent="0.2">
      <c r="B12" s="1" t="s">
        <v>12</v>
      </c>
      <c r="C12" s="9">
        <v>290.75862100000001</v>
      </c>
      <c r="D12" s="10">
        <f>11.156326*(1/53.0371433571428)*B4</f>
        <v>10.811954040182526</v>
      </c>
      <c r="E12" s="10">
        <f>((-8.75199089510665*(1/8.57498858543256))*8.83952389285714)*(1/53.0371433571428)*B4</f>
        <v>-8.7434971978214282</v>
      </c>
      <c r="F12" s="10">
        <f t="shared" si="1"/>
        <v>2.0684568423610976</v>
      </c>
      <c r="G12" s="14">
        <f t="shared" si="2"/>
        <v>1.157669006466497</v>
      </c>
      <c r="H12" s="9">
        <v>4.5138888888888893</v>
      </c>
      <c r="I12" s="14">
        <f t="shared" si="3"/>
        <v>1.5131058601388887</v>
      </c>
      <c r="J12" s="27">
        <f t="shared" si="0"/>
        <v>1.6791666666666667</v>
      </c>
    </row>
    <row r="13" spans="1:12" x14ac:dyDescent="0.2">
      <c r="B13" s="3" t="s">
        <v>84</v>
      </c>
      <c r="C13" s="9">
        <v>327.10344800000001</v>
      </c>
      <c r="D13" s="10">
        <f>10.057146*(1/53.0371433571428)*B4</f>
        <v>9.746703379536017</v>
      </c>
      <c r="E13" s="10">
        <f>((-8.63731732014627*(1/8.57498858543256))*8.83952389285714)*(1/53.0371433571428)*B4</f>
        <v>-8.6289349121258585</v>
      </c>
      <c r="F13" s="10">
        <f t="shared" si="1"/>
        <v>1.1177684674101585</v>
      </c>
      <c r="G13" s="14">
        <f t="shared" si="2"/>
        <v>1.2035941091583429</v>
      </c>
      <c r="H13" s="9">
        <v>3.4236111111111107</v>
      </c>
      <c r="I13" s="14">
        <f t="shared" si="3"/>
        <v>1.6375364171111109</v>
      </c>
      <c r="J13" s="27">
        <f t="shared" si="0"/>
        <v>1.2735833333333331</v>
      </c>
    </row>
    <row r="14" spans="1:12" x14ac:dyDescent="0.2">
      <c r="A14" s="7" t="s">
        <v>79</v>
      </c>
      <c r="B14" s="1">
        <v>11.74</v>
      </c>
      <c r="C14" s="9">
        <v>363.44827600000002</v>
      </c>
      <c r="D14" s="10">
        <f>9.143426*(1/53.0371433571428)*B4</f>
        <v>8.8611879647304992</v>
      </c>
      <c r="E14" s="10">
        <f>((-8.64363962751101*(1/8.57498858543256))*8.83952389285714)*(1/53.0371433571428)*B4</f>
        <v>-8.6352510837706777</v>
      </c>
      <c r="F14" s="10">
        <f t="shared" si="1"/>
        <v>0.22593688095982145</v>
      </c>
      <c r="G14" s="14">
        <f t="shared" si="2"/>
        <v>1.2171057462356842</v>
      </c>
      <c r="H14" s="9">
        <v>4.375</v>
      </c>
      <c r="I14" s="14">
        <f t="shared" si="3"/>
        <v>1.7965450396111109</v>
      </c>
      <c r="J14" s="27">
        <f t="shared" si="0"/>
        <v>1.6274999999999999</v>
      </c>
    </row>
    <row r="15" spans="1:12" x14ac:dyDescent="0.2">
      <c r="B15" s="1"/>
      <c r="C15" s="9">
        <v>399.79310299999997</v>
      </c>
      <c r="D15" s="10">
        <f>8.799782*(1/53.0371433571428)*B4</f>
        <v>8.5281515211751131</v>
      </c>
      <c r="E15" s="10">
        <f>((-8.73914808892374*(1/8.57498858543256))*8.83952389285714)*(1/53.0371433571428)*B4</f>
        <v>-8.730666855420683</v>
      </c>
      <c r="F15" s="10">
        <f t="shared" si="1"/>
        <v>-0.20251533424556989</v>
      </c>
      <c r="G15" s="14">
        <f t="shared" si="2"/>
        <v>1.2150453612451666</v>
      </c>
      <c r="H15" s="9">
        <v>5.5763888888888893</v>
      </c>
      <c r="I15" s="14">
        <f t="shared" si="3"/>
        <v>1.9992179346388887</v>
      </c>
      <c r="J15" s="27">
        <f t="shared" si="0"/>
        <v>2.074416666666667</v>
      </c>
    </row>
    <row r="16" spans="1:12" x14ac:dyDescent="0.2">
      <c r="B16" s="3" t="s">
        <v>33</v>
      </c>
      <c r="C16" s="9">
        <v>436.13793099999998</v>
      </c>
      <c r="D16" s="10">
        <f>8.708784*(1/53.0371433571428)*B4</f>
        <v>8.4399624351132214</v>
      </c>
      <c r="E16" s="10">
        <f>((-8.93516439116224*(1/8.57498858543256))*8.83952389285714)*(1/53.0371433571428)*B4</f>
        <v>-8.9264929262987849</v>
      </c>
      <c r="F16" s="10">
        <f t="shared" si="1"/>
        <v>-0.48653049118556346</v>
      </c>
      <c r="G16" s="14">
        <f t="shared" si="2"/>
        <v>1.2026624942262718</v>
      </c>
      <c r="H16" s="9">
        <v>4.8055555555555554</v>
      </c>
      <c r="I16" s="14">
        <f t="shared" si="3"/>
        <v>2.1738750247500001</v>
      </c>
      <c r="J16" s="27">
        <f t="shared" si="0"/>
        <v>1.7876666666666665</v>
      </c>
    </row>
    <row r="17" spans="1:14" x14ac:dyDescent="0.2">
      <c r="B17" s="17">
        <f>I37</f>
        <v>1.2952471368730833</v>
      </c>
      <c r="C17" s="9">
        <v>472.48275899999999</v>
      </c>
      <c r="D17" s="10">
        <f>8.545697*(1/53.0371433571428)*B4</f>
        <v>8.2819095825387041</v>
      </c>
      <c r="E17" s="10">
        <f>((-9.10801706727993*(1/8.57498858543256))*8.83952389285714)*(1/53.0371433571428)*B4</f>
        <v>-9.0991778510644128</v>
      </c>
      <c r="F17" s="10">
        <f t="shared" si="1"/>
        <v>-0.81726826852570866</v>
      </c>
      <c r="G17" s="14">
        <f t="shared" si="2"/>
        <v>1.1782590195768472</v>
      </c>
      <c r="H17" s="9">
        <v>4.2083333333333339</v>
      </c>
      <c r="I17" s="14">
        <f t="shared" si="3"/>
        <v>2.3268261759166666</v>
      </c>
      <c r="J17" s="27">
        <f t="shared" si="0"/>
        <v>1.5655000000000001</v>
      </c>
    </row>
    <row r="18" spans="1:14" x14ac:dyDescent="0.2">
      <c r="B18" s="1"/>
      <c r="C18" s="9">
        <v>508.827586</v>
      </c>
      <c r="D18" s="10">
        <f>8.158629*(1/53.0371433571428)*B4</f>
        <v>7.906789545133436</v>
      </c>
      <c r="E18" s="10">
        <f>((-9.11931893491235*(1/8.57498858543256))*8.83952389285714)*(1/53.0371433571428)*B4</f>
        <v>-9.110468750376187</v>
      </c>
      <c r="F18" s="10">
        <f t="shared" si="1"/>
        <v>-1.203679205242751</v>
      </c>
      <c r="G18" s="14">
        <f t="shared" si="2"/>
        <v>1.1398115058951228</v>
      </c>
      <c r="H18" s="9">
        <v>4.1527777777777786</v>
      </c>
      <c r="I18" s="14">
        <f t="shared" si="3"/>
        <v>2.4777581699722222</v>
      </c>
      <c r="J18" s="27">
        <f t="shared" si="0"/>
        <v>1.5448333333333337</v>
      </c>
    </row>
    <row r="19" spans="1:14" x14ac:dyDescent="0.2">
      <c r="B19" s="1" t="s">
        <v>34</v>
      </c>
      <c r="C19" s="9">
        <v>545.172414</v>
      </c>
      <c r="D19" s="10">
        <f>7.681035*(1/53.0371433571428)*B4</f>
        <v>7.4439378520342068</v>
      </c>
      <c r="E19" s="10">
        <f>((-8.96564871409448*(1/8.57498858543256))*8.83952389285714)*(1/53.0371433571428)*B4</f>
        <v>-8.9569476645783386</v>
      </c>
      <c r="F19" s="10">
        <f t="shared" si="1"/>
        <v>-1.5130098125441318</v>
      </c>
      <c r="G19" s="14">
        <f t="shared" si="2"/>
        <v>1.0901214244958941</v>
      </c>
      <c r="H19" s="9">
        <v>3.8958333333333339</v>
      </c>
      <c r="I19" s="14">
        <f t="shared" si="3"/>
        <v>2.6193515623888888</v>
      </c>
      <c r="J19" s="27">
        <f t="shared" si="0"/>
        <v>1.4492500000000001</v>
      </c>
    </row>
    <row r="20" spans="1:14" x14ac:dyDescent="0.2">
      <c r="B20" s="1" t="s">
        <v>35</v>
      </c>
      <c r="C20" s="9">
        <v>581.51724100000001</v>
      </c>
      <c r="D20" s="10">
        <f>7.216734*(1/53.0371433571428)*B4</f>
        <v>6.9939688324115492</v>
      </c>
      <c r="E20" s="10">
        <f>((-8.68593863846144*(1/8.57498858543256))*8.83952389285714)*(1/53.0371433571428)*B4</f>
        <v>-8.6775090440620293</v>
      </c>
      <c r="F20" s="10">
        <f t="shared" si="1"/>
        <v>-1.6835402116504801</v>
      </c>
      <c r="G20" s="14">
        <f t="shared" si="2"/>
        <v>1.0342334450723738</v>
      </c>
      <c r="H20" s="9">
        <v>3.3402777777777786</v>
      </c>
      <c r="I20" s="14">
        <f t="shared" si="3"/>
        <v>2.7407533836944444</v>
      </c>
      <c r="J20" s="27">
        <f t="shared" si="0"/>
        <v>1.2425833333333336</v>
      </c>
      <c r="L20" s="14"/>
    </row>
    <row r="21" spans="1:14" x14ac:dyDescent="0.2">
      <c r="B21" s="12">
        <f>60/1.054</f>
        <v>56.925996204933583</v>
      </c>
      <c r="C21" s="9">
        <v>617.86206900000002</v>
      </c>
      <c r="D21" s="10">
        <f>6.833281*(1/53.0371433571428)*B4</f>
        <v>6.6223522076759407</v>
      </c>
      <c r="E21" s="10">
        <f>((-8.44117219346304*(1/8.57498858543256))*8.83952389285714)*(1/53.0371433571428)*B4</f>
        <v>-8.4329801418255332</v>
      </c>
      <c r="F21" s="10">
        <f t="shared" si="1"/>
        <v>-1.8106279341495926</v>
      </c>
      <c r="G21" s="14">
        <f t="shared" si="2"/>
        <v>0.97372648423371166</v>
      </c>
      <c r="H21" s="9">
        <v>2.9861111111111107</v>
      </c>
      <c r="I21" s="14">
        <f t="shared" si="3"/>
        <v>2.8492830784166667</v>
      </c>
      <c r="J21" s="27">
        <f t="shared" si="0"/>
        <v>1.1108333333333331</v>
      </c>
    </row>
    <row r="22" spans="1:14" x14ac:dyDescent="0.2">
      <c r="B22" s="1" t="s">
        <v>36</v>
      </c>
      <c r="C22" s="9">
        <v>654.20689700000003</v>
      </c>
      <c r="D22" s="10">
        <f>6.53684*(1/53.0371433571428)*B4</f>
        <v>6.3350617083103113</v>
      </c>
      <c r="E22" s="10">
        <f>((-8.22518067011096*(1/8.57498858543256))*8.83952389285714)*(1/53.0371433571428)*B4</f>
        <v>-8.2171982355351627</v>
      </c>
      <c r="F22" s="10">
        <f t="shared" si="1"/>
        <v>-1.8821365272248514</v>
      </c>
      <c r="G22" s="14">
        <f t="shared" si="2"/>
        <v>0.91062055587920709</v>
      </c>
      <c r="H22" s="9">
        <v>2.7083333333333339</v>
      </c>
      <c r="I22" s="14">
        <f t="shared" si="3"/>
        <v>2.9477169875833336</v>
      </c>
      <c r="J22" s="27">
        <f t="shared" si="0"/>
        <v>1.0075000000000003</v>
      </c>
    </row>
    <row r="23" spans="1:14" x14ac:dyDescent="0.2">
      <c r="B23" s="17">
        <f>I37</f>
        <v>1.2952471368730833</v>
      </c>
      <c r="C23" s="9">
        <v>690.55172400000004</v>
      </c>
      <c r="D23" s="10">
        <f>6.27754*(1/53.0371433571428)*B4</f>
        <v>6.0837657455875185</v>
      </c>
      <c r="E23" s="10">
        <f>((-8.05532068494021*(1/8.57498858543256))*8.83952389285714)*(1/53.0371433571428)*B4</f>
        <v>-8.0475030973474819</v>
      </c>
      <c r="F23" s="10">
        <f t="shared" si="1"/>
        <v>-1.9637373517599634</v>
      </c>
      <c r="G23" s="14">
        <f t="shared" si="2"/>
        <v>0.84454885959231574</v>
      </c>
      <c r="H23" s="9">
        <v>2.4722222222222214</v>
      </c>
      <c r="I23" s="14">
        <f t="shared" si="3"/>
        <v>3.0375694790277779</v>
      </c>
      <c r="J23" s="27">
        <f t="shared" si="0"/>
        <v>0.91966666666666641</v>
      </c>
    </row>
    <row r="24" spans="1:14" x14ac:dyDescent="0.2">
      <c r="B24" s="1" t="s">
        <v>37</v>
      </c>
      <c r="C24" s="9">
        <v>726.89655200000004</v>
      </c>
      <c r="D24" s="10">
        <f>6.089409*(1/53.0371433571428)*B4</f>
        <v>5.9014419478127325</v>
      </c>
      <c r="E24" s="10">
        <f>((-7.9879132942321*(1/8.57498858543256))*8.83952389285714)*(1/53.0371433571428)*B4</f>
        <v>-7.9801611246657771</v>
      </c>
      <c r="F24" s="10">
        <f t="shared" si="1"/>
        <v>-2.0787191768530446</v>
      </c>
      <c r="G24" s="14">
        <f t="shared" si="2"/>
        <v>0.77429816864929024</v>
      </c>
      <c r="H24" s="9">
        <v>2.0763888888888893</v>
      </c>
      <c r="I24" s="14">
        <f t="shared" si="3"/>
        <v>3.1130354760555559</v>
      </c>
      <c r="J24" s="27">
        <f t="shared" si="0"/>
        <v>0.77241666666666686</v>
      </c>
      <c r="M24" t="s">
        <v>38</v>
      </c>
    </row>
    <row r="25" spans="1:14" x14ac:dyDescent="0.2">
      <c r="B25" s="3" t="s">
        <v>17</v>
      </c>
      <c r="C25" s="9">
        <v>763.24137900000005</v>
      </c>
      <c r="D25" s="10">
        <f>5.942736*(1/53.0371433571428)*B4</f>
        <v>5.7592964301095311</v>
      </c>
      <c r="E25" s="10">
        <f>((-7.98392221383845*(1/8.57498858543256))*8.83952389285714)*(1/53.0371433571428)*B4</f>
        <v>-7.9761739175655402</v>
      </c>
      <c r="F25" s="10">
        <f t="shared" si="1"/>
        <v>-2.2168774874560091</v>
      </c>
      <c r="G25" s="14">
        <f t="shared" si="2"/>
        <v>0.69902613767062938</v>
      </c>
      <c r="H25" s="9">
        <v>1.9236111111111107</v>
      </c>
      <c r="I25" s="14">
        <f t="shared" si="3"/>
        <v>3.1829487910277781</v>
      </c>
      <c r="J25" s="27">
        <f t="shared" si="0"/>
        <v>0.71558333333333313</v>
      </c>
    </row>
    <row r="26" spans="1:14" x14ac:dyDescent="0.2">
      <c r="A26" s="16" t="s">
        <v>90</v>
      </c>
      <c r="B26" s="14">
        <f>2*I37*(B21/60)*(B21/60)</f>
        <v>2.33185431999014</v>
      </c>
      <c r="C26" s="9">
        <v>799.58620699999994</v>
      </c>
      <c r="D26" s="10">
        <f>5.785758*(1/53.0371433571428)*B4</f>
        <v>5.6071640057504935</v>
      </c>
      <c r="E26" s="10">
        <f>((-7.99394822398934*(1/8.57498858543256))*8.83952389285714)*(1/53.0371433571428)*B4</f>
        <v>-7.9861901975994529</v>
      </c>
      <c r="F26" s="10">
        <f t="shared" si="1"/>
        <v>-2.3790261918489595</v>
      </c>
      <c r="G26" s="14">
        <f t="shared" si="2"/>
        <v>0.61786083992038388</v>
      </c>
      <c r="H26" s="9">
        <v>1.7291666666666661</v>
      </c>
      <c r="I26" s="14">
        <f t="shared" si="3"/>
        <v>3.2457950561111115</v>
      </c>
      <c r="J26" s="27">
        <f t="shared" si="0"/>
        <v>0.64324999999999977</v>
      </c>
      <c r="M26" t="s">
        <v>18</v>
      </c>
    </row>
    <row r="27" spans="1:14" x14ac:dyDescent="0.2">
      <c r="A27" s="16"/>
      <c r="B27" s="1" t="s">
        <v>19</v>
      </c>
      <c r="C27" s="9">
        <v>835.93103399999995</v>
      </c>
      <c r="D27" s="10">
        <f>5.653817*(1/53.0371433571428)*B4</f>
        <v>5.4792957426667748</v>
      </c>
      <c r="E27" s="10">
        <f>((-7.93547679043821*(1/8.57498858543256))*8.83952389285714)*(1/53.0371433571428)*B4</f>
        <v>-7.9277755098404938</v>
      </c>
      <c r="F27" s="10">
        <f t="shared" si="1"/>
        <v>-2.4484797671737191</v>
      </c>
      <c r="G27" s="14">
        <f t="shared" si="2"/>
        <v>0.53417126392097503</v>
      </c>
      <c r="H27" s="9">
        <v>1.4513888888888893</v>
      </c>
      <c r="I27" s="14">
        <f t="shared" si="3"/>
        <v>3.2985455356388895</v>
      </c>
      <c r="J27" s="27">
        <f t="shared" si="0"/>
        <v>0.53991666666666682</v>
      </c>
    </row>
    <row r="28" spans="1:14" x14ac:dyDescent="0.2">
      <c r="A28" s="16" t="s">
        <v>91</v>
      </c>
      <c r="B28" s="14">
        <f>B26*6</f>
        <v>13.99112591994084</v>
      </c>
      <c r="C28" s="9">
        <v>872.27586199999996</v>
      </c>
      <c r="D28" s="10">
        <f>5.521853*(1/53.0371433571428)*B4</f>
        <v>5.3514051895439412</v>
      </c>
      <c r="E28" s="10">
        <f>((-7.83293748721469*(1/8.57498858543256))*8.83952389285714)*(1/53.0371433571428)*B4</f>
        <v>-7.8253357197234035</v>
      </c>
      <c r="F28" s="10">
        <f t="shared" si="1"/>
        <v>-2.4739305301794623</v>
      </c>
      <c r="G28" s="14">
        <f t="shared" si="2"/>
        <v>0.44955668431765361</v>
      </c>
      <c r="H28" s="9">
        <v>1.2638888888888893</v>
      </c>
      <c r="I28" s="14">
        <f t="shared" si="3"/>
        <v>3.3444813599166672</v>
      </c>
      <c r="J28" s="27">
        <f t="shared" si="0"/>
        <v>0.47016666666666679</v>
      </c>
      <c r="M28" s="16" t="s">
        <v>39</v>
      </c>
      <c r="N28" s="29">
        <v>8</v>
      </c>
    </row>
    <row r="29" spans="1:14" x14ac:dyDescent="0.2">
      <c r="A29" s="16"/>
      <c r="C29" s="9">
        <v>908.62068999999997</v>
      </c>
      <c r="D29" s="10">
        <f>5.382778*(1/53.0371433571428)*B4</f>
        <v>5.2166231378059065</v>
      </c>
      <c r="E29" s="10">
        <f>((-7.72910002997113*(1/8.57498858543256))*8.83952389285714)*(1/53.0371433571428)*B4</f>
        <v>-7.7215990354284525</v>
      </c>
      <c r="F29" s="10">
        <f t="shared" si="1"/>
        <v>-2.504975897622546</v>
      </c>
      <c r="G29" s="14">
        <f t="shared" si="2"/>
        <v>0.36381376617441658</v>
      </c>
      <c r="H29" s="9">
        <v>1.3888888888888893</v>
      </c>
      <c r="I29" s="14">
        <f t="shared" si="3"/>
        <v>3.3949602876944449</v>
      </c>
      <c r="J29" s="27">
        <f t="shared" si="0"/>
        <v>0.51666666666666683</v>
      </c>
    </row>
    <row r="30" spans="1:14" x14ac:dyDescent="0.2">
      <c r="A30" s="16"/>
      <c r="B30" s="1" t="s">
        <v>20</v>
      </c>
      <c r="C30" s="9">
        <v>944.96551699999998</v>
      </c>
      <c r="D30" s="10">
        <f>5.23169*(1/53.0371433571428)*B4</f>
        <v>5.0701989017246829</v>
      </c>
      <c r="E30" s="10">
        <f>((-7.70902571313083*(1/8.57498858543256))*8.83952389285714)*(1/53.0371433571428)*B4</f>
        <v>-7.7015442004606198</v>
      </c>
      <c r="F30" s="10">
        <f t="shared" si="1"/>
        <v>-2.6313452987359369</v>
      </c>
      <c r="G30" s="14">
        <f t="shared" si="2"/>
        <v>0.27347797388325035</v>
      </c>
      <c r="H30" s="9">
        <v>1.2222222222222214</v>
      </c>
      <c r="I30" s="14">
        <f t="shared" si="3"/>
        <v>3.4393817441388892</v>
      </c>
      <c r="J30" s="27">
        <f t="shared" si="0"/>
        <v>0.45466666666666639</v>
      </c>
    </row>
    <row r="31" spans="1:14" x14ac:dyDescent="0.2">
      <c r="A31" s="16" t="s">
        <v>92</v>
      </c>
      <c r="B31" s="17">
        <f>H35/B28</f>
        <v>0.22824073814217444</v>
      </c>
      <c r="C31" s="9">
        <v>981.31034499999998</v>
      </c>
      <c r="D31" s="10">
        <f>5.050391*(1/53.0371433571428)*B4</f>
        <v>4.8944962146993074</v>
      </c>
      <c r="E31" s="10">
        <f>((-7.81481535619077*(1/8.57498858543256))*8.83952389285714)*(1/53.0371433571428)*B4</f>
        <v>-7.8072311760001227</v>
      </c>
      <c r="F31" s="10">
        <f t="shared" si="1"/>
        <v>-2.9127349613008153</v>
      </c>
      <c r="G31" s="14">
        <f t="shared" si="2"/>
        <v>0.17291512270518558</v>
      </c>
      <c r="H31" s="9">
        <v>0.77777777777777857</v>
      </c>
      <c r="I31" s="14">
        <f t="shared" si="3"/>
        <v>3.4676499436944446</v>
      </c>
      <c r="J31" s="27">
        <f t="shared" si="0"/>
        <v>0.28933333333333361</v>
      </c>
    </row>
    <row r="32" spans="1:14" x14ac:dyDescent="0.2">
      <c r="A32" s="16"/>
      <c r="B32" s="1"/>
      <c r="C32" s="9">
        <v>1017.655172</v>
      </c>
      <c r="D32" s="10">
        <f>4.965968*(1/53.0371433571428)*B4</f>
        <v>4.8126791724280142</v>
      </c>
      <c r="E32" s="10">
        <f>((-7.87995097736382*(1/8.57498858543256))*8.83952389285714)*(1/53.0371433571428)*B4</f>
        <v>-7.8723035838705844</v>
      </c>
      <c r="F32" s="10">
        <f>D32+E32</f>
        <v>-3.0596244114425701</v>
      </c>
      <c r="G32" s="14">
        <f t="shared" si="2"/>
        <v>6.7013599726704134E-2</v>
      </c>
      <c r="H32" s="9">
        <v>0.390625</v>
      </c>
      <c r="I32" s="14">
        <f t="shared" si="3"/>
        <v>3.4818471421319446</v>
      </c>
      <c r="J32" s="27">
        <f t="shared" si="0"/>
        <v>0.14531250000000001</v>
      </c>
    </row>
    <row r="33" spans="1:12" x14ac:dyDescent="0.2">
      <c r="A33" s="16"/>
      <c r="B33" s="1" t="s">
        <v>21</v>
      </c>
      <c r="C33" s="9">
        <v>1054</v>
      </c>
      <c r="D33" s="10">
        <f>5.484871*(1/53.0371433571428)*B4</f>
        <v>5.3155647449106427</v>
      </c>
      <c r="E33" s="10">
        <f>((-7.86125161373176*(1/8.57498858543256))*8.83952389285714)*(1/53.0371433571428)*B4</f>
        <v>-7.853622367736163</v>
      </c>
      <c r="F33" s="10">
        <f>D33+E33</f>
        <v>-2.5380576228255203</v>
      </c>
      <c r="G33" s="14">
        <f>$G$40+G32+F33*$C$5/1000</f>
        <v>-1.9931668028978278E-2</v>
      </c>
      <c r="H33" s="9">
        <v>0</v>
      </c>
      <c r="I33" s="14">
        <f t="shared" si="3"/>
        <v>3.4818471421319446</v>
      </c>
      <c r="J33" s="27">
        <f t="shared" si="0"/>
        <v>0</v>
      </c>
      <c r="L33" s="9"/>
    </row>
    <row r="34" spans="1:12" x14ac:dyDescent="0.2">
      <c r="A34" s="16" t="s">
        <v>93</v>
      </c>
      <c r="B34" s="13">
        <f>H35/B26</f>
        <v>1.3694444288530465</v>
      </c>
      <c r="C34" s="30"/>
      <c r="D34" s="30"/>
      <c r="E34" s="30"/>
      <c r="F34" s="30"/>
      <c r="H34" s="1"/>
      <c r="I34" s="14"/>
    </row>
    <row r="35" spans="1:12" x14ac:dyDescent="0.2">
      <c r="B35" s="1"/>
      <c r="C35" s="21" t="s">
        <v>24</v>
      </c>
      <c r="D35" s="10">
        <f>AVERAGE(D4:D31)</f>
        <v>8.5666666666666753</v>
      </c>
      <c r="E35" s="10">
        <f>AVERAGE(E4:E31)</f>
        <v>-8.5666666666666735</v>
      </c>
      <c r="F35" s="10">
        <f>AVERAGE(I4:I33)</f>
        <v>2.2361534018958338</v>
      </c>
      <c r="G35" s="16" t="s">
        <v>40</v>
      </c>
      <c r="H35" s="14">
        <f>AVERAGE(H4:H33)</f>
        <v>3.1933449074074067</v>
      </c>
      <c r="I35" s="14"/>
    </row>
    <row r="36" spans="1:12" x14ac:dyDescent="0.2">
      <c r="A36" s="31"/>
      <c r="B36" s="1" t="s">
        <v>22</v>
      </c>
      <c r="C36" s="30" t="s">
        <v>27</v>
      </c>
      <c r="D36" s="10">
        <f>D35*6</f>
        <v>51.400000000000048</v>
      </c>
      <c r="E36" s="30"/>
      <c r="F36" s="30"/>
    </row>
    <row r="37" spans="1:12" ht="19" x14ac:dyDescent="0.25">
      <c r="A37" s="69" t="s">
        <v>82</v>
      </c>
      <c r="B37" s="75">
        <f>B14/B31</f>
        <v>51.43691742131935</v>
      </c>
      <c r="D37" s="10"/>
      <c r="H37" s="16" t="s">
        <v>41</v>
      </c>
      <c r="I37" s="17">
        <f>I33*B9</f>
        <v>1.2952471368730833</v>
      </c>
    </row>
    <row r="38" spans="1:12" x14ac:dyDescent="0.2">
      <c r="E38" s="14"/>
    </row>
    <row r="39" spans="1:12" x14ac:dyDescent="0.2">
      <c r="B39" s="23" t="s">
        <v>26</v>
      </c>
      <c r="D39" s="10"/>
    </row>
    <row r="40" spans="1:12" x14ac:dyDescent="0.2">
      <c r="B40" s="23" t="s">
        <v>28</v>
      </c>
      <c r="E40" s="14"/>
      <c r="F40" s="16" t="s">
        <v>42</v>
      </c>
      <c r="G40" s="17">
        <f>0.0053</f>
        <v>5.3E-3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FFDD-9783-B74C-8005-12EA1F419050}">
  <dimension ref="A2:S39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16.6640625" bestFit="1" customWidth="1"/>
    <col min="5" max="5" width="18.6640625" bestFit="1" customWidth="1"/>
    <col min="7" max="7" width="8.5" bestFit="1" customWidth="1"/>
    <col min="8" max="8" width="11" bestFit="1" customWidth="1"/>
  </cols>
  <sheetData>
    <row r="2" spans="1:10" x14ac:dyDescent="0.2">
      <c r="B2" s="27"/>
      <c r="H2" s="1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26" t="s">
        <v>30</v>
      </c>
      <c r="J3" s="26" t="s">
        <v>30</v>
      </c>
    </row>
    <row r="4" spans="1:10" ht="19" x14ac:dyDescent="0.25">
      <c r="A4" s="70" t="s">
        <v>83</v>
      </c>
      <c r="B4" s="75">
        <v>69.400000000000006</v>
      </c>
      <c r="C4" s="32">
        <v>0</v>
      </c>
      <c r="D4" s="15">
        <f>9*(1/60.4)*B4</f>
        <v>10.341059602649008</v>
      </c>
      <c r="E4" s="14">
        <f>(-8.76*(1/60.4)*B4)*(1/1.01665562913907)</f>
        <v>-9.9004006123180428</v>
      </c>
      <c r="F4" s="14">
        <f>D4+E4</f>
        <v>0.44065899033096478</v>
      </c>
      <c r="G4" s="27">
        <f>F4*$C$5/1000</f>
        <v>1.2779110719597978E-2</v>
      </c>
      <c r="H4" s="10">
        <v>0</v>
      </c>
      <c r="I4" s="27">
        <f t="shared" ref="I4:I33" si="0">H4*$B$9</f>
        <v>0</v>
      </c>
      <c r="J4" s="27">
        <f>I4*C5/1000</f>
        <v>0</v>
      </c>
    </row>
    <row r="5" spans="1:10" x14ac:dyDescent="0.2">
      <c r="B5" s="14" t="s">
        <v>31</v>
      </c>
      <c r="C5" s="32">
        <v>29</v>
      </c>
      <c r="D5" s="15">
        <f>11*(1/60.4)*B4</f>
        <v>12.639072847682121</v>
      </c>
      <c r="E5" s="14">
        <f>(-9.27*(1/60.4)*B4)*(1/1.01665562913907)</f>
        <v>-10.476793798651629</v>
      </c>
      <c r="F5" s="14">
        <f t="shared" ref="F5:F33" si="1">D5+E5</f>
        <v>2.1622790490304915</v>
      </c>
      <c r="G5" s="27">
        <f>G4+F5*$C$5/1000+G35</f>
        <v>7.5485203141482229E-2</v>
      </c>
      <c r="H5" s="10">
        <f>1.41477272727273+H36</f>
        <v>1.4297727272727299</v>
      </c>
      <c r="I5" s="27">
        <f t="shared" si="0"/>
        <v>0.58048772727272835</v>
      </c>
      <c r="J5" s="27">
        <f>J4+I5*$C$5/1000</f>
        <v>1.6834144090909119E-2</v>
      </c>
    </row>
    <row r="6" spans="1:10" x14ac:dyDescent="0.2">
      <c r="B6" s="14">
        <f>B4/6</f>
        <v>11.566666666666668</v>
      </c>
      <c r="C6" s="32">
        <v>57</v>
      </c>
      <c r="D6" s="15">
        <f>13*(1/60.4)*B4</f>
        <v>14.937086092715234</v>
      </c>
      <c r="E6" s="14">
        <f>(-10.15*(1/60.4)*B4)*(1/1.01665562913907)</f>
        <v>-11.471354590756638</v>
      </c>
      <c r="F6" s="14">
        <f t="shared" si="1"/>
        <v>3.4657315019585955</v>
      </c>
      <c r="G6" s="27">
        <f t="shared" ref="G6:G32" si="2">G5+F6*$C$5/1000+G36</f>
        <v>0.1759914166982815</v>
      </c>
      <c r="H6" s="10">
        <f>4.25+2*H36</f>
        <v>4.28</v>
      </c>
      <c r="I6" s="27">
        <f t="shared" si="0"/>
        <v>1.7376800000000001</v>
      </c>
      <c r="J6" s="27">
        <f t="shared" ref="J6:J33" si="3">J5+I6*$C$5/1000</f>
        <v>6.7226864090909125E-2</v>
      </c>
    </row>
    <row r="7" spans="1:10" x14ac:dyDescent="0.2">
      <c r="B7" s="18"/>
      <c r="C7" s="32">
        <v>86</v>
      </c>
      <c r="D7" s="15">
        <f>15*(1/60.4)*B4</f>
        <v>17.235099337748348</v>
      </c>
      <c r="E7" s="14">
        <f>(-11.21*(1/60.4)*B4)*(1/1.01665562913907)</f>
        <v>-12.669348272155855</v>
      </c>
      <c r="F7" s="14">
        <f t="shared" si="1"/>
        <v>4.5657510655924938</v>
      </c>
      <c r="G7" s="27">
        <f t="shared" si="2"/>
        <v>0.30839819760046383</v>
      </c>
      <c r="H7" s="10">
        <f>6.81818181818182+3*H36</f>
        <v>6.86318181818182</v>
      </c>
      <c r="I7" s="27">
        <f t="shared" si="0"/>
        <v>2.7864518181818192</v>
      </c>
      <c r="J7" s="27">
        <f t="shared" si="3"/>
        <v>0.14803396681818187</v>
      </c>
    </row>
    <row r="8" spans="1:10" x14ac:dyDescent="0.2">
      <c r="B8" s="3" t="s">
        <v>32</v>
      </c>
      <c r="C8" s="32">
        <v>114</v>
      </c>
      <c r="D8" s="15">
        <f>16*(1/60.4)*B4</f>
        <v>18.384105960264904</v>
      </c>
      <c r="E8" s="14">
        <f>(-11.84*(1/60.4)*B4)*(1/1.01665562913907)</f>
        <v>-13.381363384685574</v>
      </c>
      <c r="F8" s="14">
        <f t="shared" si="1"/>
        <v>5.0027425755793296</v>
      </c>
      <c r="G8" s="27">
        <f t="shared" si="2"/>
        <v>0.4534777322922644</v>
      </c>
      <c r="H8" s="10">
        <f>6.07954545454546+4*H36</f>
        <v>6.13954545454546</v>
      </c>
      <c r="I8" s="27">
        <f t="shared" si="0"/>
        <v>2.4926554545454569</v>
      </c>
      <c r="J8" s="27">
        <f t="shared" si="3"/>
        <v>0.22032097500000014</v>
      </c>
    </row>
    <row r="9" spans="1:10" x14ac:dyDescent="0.2">
      <c r="A9" s="7" t="s">
        <v>76</v>
      </c>
      <c r="B9" s="1">
        <v>0.40600000000000003</v>
      </c>
      <c r="C9" s="32">
        <v>143</v>
      </c>
      <c r="D9" s="15">
        <f>16*(1/60.4)*B4</f>
        <v>18.384105960264904</v>
      </c>
      <c r="E9" s="14">
        <f>(-12.16*(1/60.4)*B4)*(1/1.01665562913907)</f>
        <v>-13.74302185454194</v>
      </c>
      <c r="F9" s="14">
        <f t="shared" si="1"/>
        <v>4.6410841057229639</v>
      </c>
      <c r="G9" s="27">
        <f t="shared" si="2"/>
        <v>0.58806917135823034</v>
      </c>
      <c r="H9" s="10">
        <f>3.17045454545455+5*H36</f>
        <v>3.24545454545455</v>
      </c>
      <c r="I9" s="27">
        <f t="shared" si="0"/>
        <v>1.3176545454545474</v>
      </c>
      <c r="J9" s="27">
        <f t="shared" si="3"/>
        <v>0.258532956818182</v>
      </c>
    </row>
    <row r="10" spans="1:10" x14ac:dyDescent="0.2">
      <c r="B10" s="1" t="s">
        <v>86</v>
      </c>
      <c r="C10" s="32">
        <v>171</v>
      </c>
      <c r="D10" s="15">
        <f>15*(1/60.4)*B4</f>
        <v>17.235099337748348</v>
      </c>
      <c r="E10" s="14">
        <f>(-12.18*(1/60.4)*B4)*(1/1.01665562913907)</f>
        <v>-13.765625508907965</v>
      </c>
      <c r="F10" s="14">
        <f t="shared" si="1"/>
        <v>3.4694738288403837</v>
      </c>
      <c r="G10" s="27">
        <f>G9+F10*$C$5/1000+G40</f>
        <v>0.68868391239460147</v>
      </c>
      <c r="H10" s="10">
        <f>1.88068181818182+6*H36</f>
        <v>1.97068181818182</v>
      </c>
      <c r="I10" s="27">
        <f t="shared" si="0"/>
        <v>0.80009681818181899</v>
      </c>
      <c r="J10" s="27">
        <f t="shared" si="3"/>
        <v>0.28173576454545474</v>
      </c>
    </row>
    <row r="11" spans="1:10" x14ac:dyDescent="0.2">
      <c r="A11" s="7" t="s">
        <v>78</v>
      </c>
      <c r="B11" s="14">
        <f>1/B9</f>
        <v>2.4630541871921179</v>
      </c>
      <c r="C11" s="32">
        <v>200</v>
      </c>
      <c r="D11" s="15">
        <f>14*(1/60.4)*B4</f>
        <v>16.086092715231789</v>
      </c>
      <c r="E11" s="14">
        <f>(-11.93*(1/60.4)*B4)*(1/1.01665562913907)</f>
        <v>-13.483079829332677</v>
      </c>
      <c r="F11" s="14">
        <f t="shared" si="1"/>
        <v>2.603012885899112</v>
      </c>
      <c r="G11" s="27">
        <f t="shared" si="2"/>
        <v>0.76417128608567575</v>
      </c>
      <c r="H11" s="10">
        <f>2.65340909090909+7*H36</f>
        <v>2.7584090909090899</v>
      </c>
      <c r="I11" s="27">
        <f t="shared" si="0"/>
        <v>1.1199140909090906</v>
      </c>
      <c r="J11" s="27">
        <f t="shared" si="3"/>
        <v>0.31421327318181835</v>
      </c>
    </row>
    <row r="12" spans="1:10" x14ac:dyDescent="0.2">
      <c r="B12" s="1" t="s">
        <v>12</v>
      </c>
      <c r="C12" s="32">
        <v>229</v>
      </c>
      <c r="D12" s="15">
        <f>13*(1/60.4)*B4</f>
        <v>14.937086092715234</v>
      </c>
      <c r="E12" s="14">
        <f>(-11.66*(1/60.4)*B4)*(1/1.01665562913907)</f>
        <v>-13.177930495391369</v>
      </c>
      <c r="F12" s="14">
        <f t="shared" si="1"/>
        <v>1.7591555973238648</v>
      </c>
      <c r="G12" s="27">
        <f t="shared" si="2"/>
        <v>0.81518679840806785</v>
      </c>
      <c r="H12" s="10">
        <f>4.25+8*H36</f>
        <v>4.37</v>
      </c>
      <c r="I12" s="27">
        <f t="shared" si="0"/>
        <v>1.7742200000000001</v>
      </c>
      <c r="J12" s="27">
        <f t="shared" si="3"/>
        <v>0.36566565318181837</v>
      </c>
    </row>
    <row r="13" spans="1:10" x14ac:dyDescent="0.2">
      <c r="B13" s="3" t="s">
        <v>84</v>
      </c>
      <c r="C13" s="32">
        <v>257</v>
      </c>
      <c r="D13" s="15">
        <f>12*(1/60.4)*B4</f>
        <v>13.788079470198678</v>
      </c>
      <c r="E13" s="14">
        <f>(-11.3*(1/60.4)*B4)*(1/1.01665562913907)</f>
        <v>-12.771064716802957</v>
      </c>
      <c r="F13" s="14">
        <f t="shared" si="1"/>
        <v>1.0170147533957206</v>
      </c>
      <c r="G13" s="27">
        <f t="shared" si="2"/>
        <v>0.84468022625654371</v>
      </c>
      <c r="H13" s="10">
        <f>4.14772727272727+9*H36</f>
        <v>4.2827272727272696</v>
      </c>
      <c r="I13" s="27">
        <f t="shared" si="0"/>
        <v>1.7387872727272715</v>
      </c>
      <c r="J13" s="27">
        <f t="shared" si="3"/>
        <v>0.41609048409090926</v>
      </c>
    </row>
    <row r="14" spans="1:10" x14ac:dyDescent="0.2">
      <c r="A14" s="7" t="s">
        <v>79</v>
      </c>
      <c r="B14" s="14">
        <v>11.25</v>
      </c>
      <c r="C14" s="32">
        <v>286</v>
      </c>
      <c r="D14" s="15">
        <f>12*(1/60.4)*B4</f>
        <v>13.788079470198678</v>
      </c>
      <c r="E14" s="14">
        <f>(-11.04*(1/60.4)*B4)*(1/1.01665562913907)</f>
        <v>-12.477217210044657</v>
      </c>
      <c r="F14" s="14">
        <f t="shared" si="1"/>
        <v>1.3108622601540212</v>
      </c>
      <c r="G14" s="27">
        <f t="shared" si="2"/>
        <v>0.88269523180101028</v>
      </c>
      <c r="H14" s="10">
        <f>2.63636363636364+10*H36</f>
        <v>2.7863636363636397</v>
      </c>
      <c r="I14" s="27">
        <f t="shared" si="0"/>
        <v>1.1312636363636377</v>
      </c>
      <c r="J14" s="27">
        <f t="shared" si="3"/>
        <v>0.44889712954545474</v>
      </c>
    </row>
    <row r="15" spans="1:10" x14ac:dyDescent="0.2">
      <c r="B15" s="1"/>
      <c r="C15" s="32">
        <v>314</v>
      </c>
      <c r="D15" s="15">
        <f>11*(1/60.4)*B4</f>
        <v>12.639072847682121</v>
      </c>
      <c r="E15" s="14">
        <f>(-10.87*(1/60.4)*B4)*(1/1.01665562913907)</f>
        <v>-12.285086147933463</v>
      </c>
      <c r="F15" s="14">
        <f t="shared" si="1"/>
        <v>0.35398669974865804</v>
      </c>
      <c r="G15" s="27">
        <f t="shared" si="2"/>
        <v>0.89296084609372139</v>
      </c>
      <c r="H15" s="10">
        <f>2.30681818181818+11*H36</f>
        <v>2.4718181818181799</v>
      </c>
      <c r="I15" s="27">
        <f t="shared" si="0"/>
        <v>1.0035581818181811</v>
      </c>
      <c r="J15" s="27">
        <f t="shared" si="3"/>
        <v>0.478000316818182</v>
      </c>
    </row>
    <row r="16" spans="1:10" x14ac:dyDescent="0.2">
      <c r="B16" s="1"/>
      <c r="C16" s="32">
        <v>343</v>
      </c>
      <c r="D16" s="15">
        <f>11*(1/60.4)*B4</f>
        <v>12.639072847682121</v>
      </c>
      <c r="E16" s="14">
        <f>(-10.83*(1/60.4)*B4)*(1/1.01665562913907)</f>
        <v>-12.239878839201417</v>
      </c>
      <c r="F16" s="14">
        <f t="shared" si="1"/>
        <v>0.39919400848070374</v>
      </c>
      <c r="G16" s="27">
        <f t="shared" si="2"/>
        <v>0.90453747233966175</v>
      </c>
      <c r="H16" s="10">
        <f>3.48295454545455+12*H36</f>
        <v>3.66295454545455</v>
      </c>
      <c r="I16" s="27">
        <f t="shared" si="0"/>
        <v>1.4871595454545474</v>
      </c>
      <c r="J16" s="27">
        <f t="shared" si="3"/>
        <v>0.52112794363636383</v>
      </c>
    </row>
    <row r="17" spans="1:19" x14ac:dyDescent="0.2">
      <c r="B17" s="1" t="s">
        <v>44</v>
      </c>
      <c r="C17" s="32">
        <v>371</v>
      </c>
      <c r="D17" s="15">
        <f>10*(1/60.4)*B4</f>
        <v>11.490066225165565</v>
      </c>
      <c r="E17" s="14">
        <f>(-10.97*(1/60.4)*B4)*(1/1.01665562913907)</f>
        <v>-12.398104419763577</v>
      </c>
      <c r="F17" s="14">
        <f t="shared" si="1"/>
        <v>-0.90803819459801183</v>
      </c>
      <c r="G17" s="27">
        <f t="shared" si="2"/>
        <v>0.87820436469631935</v>
      </c>
      <c r="H17" s="10">
        <f>4.35227272727273+13*H36</f>
        <v>4.5472727272727305</v>
      </c>
      <c r="I17" s="27">
        <f t="shared" si="0"/>
        <v>1.8461927272727288</v>
      </c>
      <c r="J17" s="27">
        <f t="shared" si="3"/>
        <v>0.574667532727273</v>
      </c>
    </row>
    <row r="18" spans="1:19" x14ac:dyDescent="0.2">
      <c r="B18" s="1" t="s">
        <v>35</v>
      </c>
      <c r="C18" s="32">
        <v>400</v>
      </c>
      <c r="D18" s="15">
        <f>10*(1/60.4)*B4</f>
        <v>11.490066225165565</v>
      </c>
      <c r="E18" s="14">
        <f>(-10.99*(1/60.4)*B4)*(1/1.01665562913907)</f>
        <v>-12.4207080741296</v>
      </c>
      <c r="F18" s="14">
        <f t="shared" si="1"/>
        <v>-0.93064184896403468</v>
      </c>
      <c r="G18" s="27">
        <f t="shared" si="2"/>
        <v>0.85121575107636238</v>
      </c>
      <c r="H18" s="10">
        <f>4.07954545454546+14*H36</f>
        <v>4.2895454545454603</v>
      </c>
      <c r="I18" s="27">
        <f t="shared" si="0"/>
        <v>1.741555454545457</v>
      </c>
      <c r="J18" s="27">
        <f t="shared" si="3"/>
        <v>0.62517264090909119</v>
      </c>
    </row>
    <row r="19" spans="1:19" x14ac:dyDescent="0.2">
      <c r="B19" s="12">
        <f>60/(C33/1000)</f>
        <v>72.376357056694815</v>
      </c>
      <c r="C19" s="32">
        <v>429</v>
      </c>
      <c r="D19" s="15">
        <f>10*(1/60.4)*B4</f>
        <v>11.490066225165565</v>
      </c>
      <c r="E19" s="14">
        <f>(-10.96*(1/60.4)*B4)*(1/1.01665562913907)</f>
        <v>-12.386802592580565</v>
      </c>
      <c r="F19" s="14">
        <f t="shared" si="1"/>
        <v>-0.8967363674150004</v>
      </c>
      <c r="G19" s="27">
        <f t="shared" si="2"/>
        <v>0.82521039642132732</v>
      </c>
      <c r="H19" s="10">
        <f>2.66477272727273+15*H36</f>
        <v>2.8897727272727303</v>
      </c>
      <c r="I19" s="27">
        <f t="shared" si="0"/>
        <v>1.1732477272727286</v>
      </c>
      <c r="J19" s="27">
        <f t="shared" si="3"/>
        <v>0.65919682500000032</v>
      </c>
    </row>
    <row r="20" spans="1:19" x14ac:dyDescent="0.2">
      <c r="B20" s="1" t="s">
        <v>36</v>
      </c>
      <c r="C20" s="32">
        <v>457</v>
      </c>
      <c r="D20" s="15">
        <f>9*(1/60.4)*B4</f>
        <v>10.341059602649008</v>
      </c>
      <c r="E20" s="14">
        <f>(-10.67*(1/60.4)*B4)*(1/1.01665562913907)</f>
        <v>-12.059049604273234</v>
      </c>
      <c r="F20" s="14">
        <f t="shared" si="1"/>
        <v>-1.7179900016242264</v>
      </c>
      <c r="G20" s="27">
        <f t="shared" si="2"/>
        <v>0.77538868637422476</v>
      </c>
      <c r="H20" s="10">
        <f>1.8125+16*H36</f>
        <v>2.0525000000000002</v>
      </c>
      <c r="I20" s="27">
        <f t="shared" si="0"/>
        <v>0.83331500000000014</v>
      </c>
      <c r="J20" s="27">
        <f t="shared" si="3"/>
        <v>0.6833629600000003</v>
      </c>
    </row>
    <row r="21" spans="1:19" x14ac:dyDescent="0.2">
      <c r="B21" s="17">
        <f>J33</f>
        <v>0.87501156909090949</v>
      </c>
      <c r="C21" s="32">
        <v>486</v>
      </c>
      <c r="D21" s="15">
        <f>9*(1/60.4)*B4</f>
        <v>10.341059602649008</v>
      </c>
      <c r="E21" s="14">
        <f>(-10.29*(1/60.4)*B4)*(1/1.01665562913907)</f>
        <v>-11.629580171318796</v>
      </c>
      <c r="F21" s="14">
        <f t="shared" si="1"/>
        <v>-1.2885205686697887</v>
      </c>
      <c r="G21" s="27">
        <f t="shared" si="2"/>
        <v>0.73802158988280087</v>
      </c>
      <c r="H21" s="10">
        <f>1.5625+17*H36</f>
        <v>1.8174999999999999</v>
      </c>
      <c r="I21" s="27">
        <f t="shared" si="0"/>
        <v>0.73790500000000003</v>
      </c>
      <c r="J21" s="27">
        <f t="shared" si="3"/>
        <v>0.70476220500000031</v>
      </c>
    </row>
    <row r="22" spans="1:19" x14ac:dyDescent="0.2">
      <c r="B22" s="1" t="s">
        <v>37</v>
      </c>
      <c r="C22" s="32">
        <v>514</v>
      </c>
      <c r="D22" s="15">
        <f>8*(1/60.4)*B4</f>
        <v>9.192052980132452</v>
      </c>
      <c r="E22" s="14">
        <f>(-9.97*(1/60.4)*B4)*(1/1.01665562913907)</f>
        <v>-11.267921701462431</v>
      </c>
      <c r="F22" s="14">
        <f t="shared" si="1"/>
        <v>-2.0758687213299787</v>
      </c>
      <c r="G22" s="27">
        <f t="shared" si="2"/>
        <v>0.67782139696423149</v>
      </c>
      <c r="H22" s="10">
        <f>1.79545454545455+18*H36</f>
        <v>2.0654545454545499</v>
      </c>
      <c r="I22" s="27">
        <f t="shared" si="0"/>
        <v>0.83857454545454735</v>
      </c>
      <c r="J22" s="27">
        <f t="shared" si="3"/>
        <v>0.72908086681818218</v>
      </c>
    </row>
    <row r="23" spans="1:19" x14ac:dyDescent="0.2">
      <c r="B23" s="3" t="s">
        <v>45</v>
      </c>
      <c r="C23" s="32">
        <v>543</v>
      </c>
      <c r="D23" s="15">
        <f>8*(1/60.4)*B4</f>
        <v>9.192052980132452</v>
      </c>
      <c r="E23" s="14">
        <f>(-9.73*(1/60.4)*B4)*(1/1.01665562913907)</f>
        <v>-10.996677849070156</v>
      </c>
      <c r="F23" s="14">
        <f t="shared" si="1"/>
        <v>-1.8046248689377045</v>
      </c>
      <c r="G23" s="27">
        <f t="shared" si="2"/>
        <v>0.62548727576503804</v>
      </c>
      <c r="H23" s="10">
        <f>1.94886363636364+19*H36</f>
        <v>2.2338636363636399</v>
      </c>
      <c r="I23" s="27">
        <f t="shared" si="0"/>
        <v>0.90694863636363787</v>
      </c>
      <c r="J23" s="27">
        <f t="shared" si="3"/>
        <v>0.75538237727272772</v>
      </c>
    </row>
    <row r="24" spans="1:19" x14ac:dyDescent="0.2">
      <c r="A24" s="16" t="s">
        <v>90</v>
      </c>
      <c r="B24" s="14">
        <f>2*B21*(B19/60)*(B19/60)</f>
        <v>2.5464475172200425</v>
      </c>
      <c r="C24" s="32">
        <v>571</v>
      </c>
      <c r="D24" s="15">
        <f>7*(1/60.4)*B4</f>
        <v>8.0430463576158946</v>
      </c>
      <c r="E24" s="14">
        <f>(-9.52*(1/60.4)*B4)*(1/1.01665562913907)</f>
        <v>-10.759339478226915</v>
      </c>
      <c r="F24" s="14">
        <f t="shared" si="1"/>
        <v>-2.7162931206110201</v>
      </c>
      <c r="G24" s="27">
        <f t="shared" si="2"/>
        <v>0.54671477526731849</v>
      </c>
      <c r="H24" s="10">
        <f>1.71590909090909+20*H36</f>
        <v>2.0159090909090898</v>
      </c>
      <c r="I24" s="27">
        <f t="shared" si="0"/>
        <v>0.81845909090909053</v>
      </c>
      <c r="J24" s="27">
        <f t="shared" si="3"/>
        <v>0.77911769090909133</v>
      </c>
      <c r="R24" s="16" t="s">
        <v>39</v>
      </c>
      <c r="S24">
        <v>7</v>
      </c>
    </row>
    <row r="25" spans="1:19" x14ac:dyDescent="0.2">
      <c r="A25" s="16"/>
      <c r="B25" s="1" t="s">
        <v>19</v>
      </c>
      <c r="C25" s="32">
        <v>600</v>
      </c>
      <c r="D25" s="15">
        <f>7*(1/60.4)*B4</f>
        <v>8.0430463576158946</v>
      </c>
      <c r="E25" s="14">
        <f>(-9.4*(1/60.4)*B4)*(1/1.01665562913907)</f>
        <v>-10.623717552030778</v>
      </c>
      <c r="F25" s="14">
        <f t="shared" si="1"/>
        <v>-2.580671194414883</v>
      </c>
      <c r="G25" s="27">
        <f t="shared" si="2"/>
        <v>0.47187531062928689</v>
      </c>
      <c r="H25" s="10">
        <f>1.15340909090909+21*H36</f>
        <v>1.4684090909090899</v>
      </c>
      <c r="I25" s="27">
        <f t="shared" si="0"/>
        <v>0.59617409090909057</v>
      </c>
      <c r="J25" s="27">
        <f t="shared" si="3"/>
        <v>0.79640673954545493</v>
      </c>
    </row>
    <row r="26" spans="1:19" x14ac:dyDescent="0.2">
      <c r="A26" s="16" t="s">
        <v>91</v>
      </c>
      <c r="B26" s="14">
        <f>B24*6</f>
        <v>15.278685103320255</v>
      </c>
      <c r="C26" s="32">
        <v>629</v>
      </c>
      <c r="D26" s="15">
        <f>7*(1/60.4)*B4</f>
        <v>8.0430463576158946</v>
      </c>
      <c r="E26" s="14">
        <f>(-9.33*(1/60.4)*B4)*(1/1.01665562913907)</f>
        <v>-10.544604761749698</v>
      </c>
      <c r="F26" s="14">
        <f t="shared" si="1"/>
        <v>-2.501558404133803</v>
      </c>
      <c r="G26" s="27">
        <f t="shared" si="2"/>
        <v>0.39933011690940662</v>
      </c>
      <c r="H26" s="10">
        <f>0.715909090909091+22*H36</f>
        <v>1.0459090909090909</v>
      </c>
      <c r="I26" s="27">
        <f t="shared" si="0"/>
        <v>0.42463909090909091</v>
      </c>
      <c r="J26" s="27">
        <f t="shared" si="3"/>
        <v>0.80872127318181852</v>
      </c>
    </row>
    <row r="27" spans="1:19" x14ac:dyDescent="0.2">
      <c r="A27" s="16"/>
      <c r="C27" s="32">
        <v>657</v>
      </c>
      <c r="D27" s="15">
        <f>7*(1/60.4)*B4</f>
        <v>8.0430463576158946</v>
      </c>
      <c r="E27" s="14">
        <f>(-9.26*(1/60.4)*B4)*(1/1.01665562913907)</f>
        <v>-10.465491971468618</v>
      </c>
      <c r="F27" s="14">
        <f t="shared" si="1"/>
        <v>-2.4224456138527231</v>
      </c>
      <c r="G27" s="27">
        <f t="shared" si="2"/>
        <v>0.32907919410767766</v>
      </c>
      <c r="H27" s="10">
        <f>0.659090909090909+23*H36</f>
        <v>1.0040909090909089</v>
      </c>
      <c r="I27" s="27">
        <f t="shared" si="0"/>
        <v>0.40766090909090907</v>
      </c>
      <c r="J27" s="27">
        <f t="shared" si="3"/>
        <v>0.82054343954545483</v>
      </c>
    </row>
    <row r="28" spans="1:19" x14ac:dyDescent="0.2">
      <c r="A28" s="16"/>
      <c r="B28" s="1" t="s">
        <v>20</v>
      </c>
      <c r="C28" s="32">
        <v>686</v>
      </c>
      <c r="D28" s="15">
        <f>7*(1/60.4)*B4</f>
        <v>8.0430463576158946</v>
      </c>
      <c r="E28" s="14">
        <f>(-9.09*(1/60.4)*B4)*(1/1.01665562913907)</f>
        <v>-10.273360909357422</v>
      </c>
      <c r="F28" s="14">
        <f t="shared" si="1"/>
        <v>-2.230314551741527</v>
      </c>
      <c r="G28" s="27">
        <f t="shared" si="2"/>
        <v>0.26440007210717337</v>
      </c>
      <c r="H28" s="10">
        <f>0.744318181818182+24*H36</f>
        <v>1.104318181818182</v>
      </c>
      <c r="I28" s="27">
        <f t="shared" si="0"/>
        <v>0.4483531818181819</v>
      </c>
      <c r="J28" s="27">
        <f t="shared" si="3"/>
        <v>0.83354568181818212</v>
      </c>
    </row>
    <row r="29" spans="1:19" x14ac:dyDescent="0.2">
      <c r="A29" s="16" t="s">
        <v>92</v>
      </c>
      <c r="B29" s="17">
        <f>H39/B26</f>
        <v>0.16213714776437721</v>
      </c>
      <c r="C29" s="32">
        <v>714</v>
      </c>
      <c r="D29" s="15">
        <f>7*(1/60.4)*B4</f>
        <v>8.0430463576158946</v>
      </c>
      <c r="E29" s="14">
        <f>(-8.97*(1/60.4)*B4)*(1/1.01665562913907)</f>
        <v>-10.137738983161285</v>
      </c>
      <c r="F29" s="14">
        <f t="shared" si="1"/>
        <v>-2.0946926255453899</v>
      </c>
      <c r="G29" s="27">
        <f t="shared" si="2"/>
        <v>0.20365398596635706</v>
      </c>
      <c r="H29" s="10">
        <f>0.721590909090909+25*H36</f>
        <v>1.0965909090909089</v>
      </c>
      <c r="I29" s="27">
        <f t="shared" si="0"/>
        <v>0.44521590909090908</v>
      </c>
      <c r="J29" s="27">
        <f t="shared" si="3"/>
        <v>0.84645694318181852</v>
      </c>
      <c r="L29" t="s">
        <v>18</v>
      </c>
    </row>
    <row r="30" spans="1:19" x14ac:dyDescent="0.2">
      <c r="A30" s="16"/>
      <c r="B30" s="1"/>
      <c r="C30" s="32">
        <v>743</v>
      </c>
      <c r="D30" s="15">
        <f>7*(1/60.4)*B4</f>
        <v>8.0430463576158946</v>
      </c>
      <c r="E30" s="14">
        <f>(-8.82*(1/60.4)*B4)*(1/1.01665562913907)</f>
        <v>-9.9682115754161131</v>
      </c>
      <c r="F30" s="14">
        <f t="shared" si="1"/>
        <v>-1.9251652178002185</v>
      </c>
      <c r="G30" s="27">
        <f t="shared" si="2"/>
        <v>0.14782419465015073</v>
      </c>
      <c r="H30" s="10">
        <f>0.585227272727273+26*H36</f>
        <v>0.97522727272727305</v>
      </c>
      <c r="I30" s="27">
        <f t="shared" si="0"/>
        <v>0.39594227272727289</v>
      </c>
      <c r="J30" s="27">
        <f t="shared" si="3"/>
        <v>0.85793926909090945</v>
      </c>
    </row>
    <row r="31" spans="1:19" x14ac:dyDescent="0.2">
      <c r="A31" s="16"/>
      <c r="B31" s="1" t="s">
        <v>21</v>
      </c>
      <c r="C31" s="32">
        <v>771</v>
      </c>
      <c r="D31" s="15">
        <f>7*(1/60.4)*B4</f>
        <v>8.0430463576158946</v>
      </c>
      <c r="E31" s="14">
        <f>(-8.74*(1/60.4)*B4)*(1/1.01665562913907)</f>
        <v>-9.87779695795202</v>
      </c>
      <c r="F31" s="14">
        <f t="shared" si="1"/>
        <v>-1.8347506003361254</v>
      </c>
      <c r="G31" s="27">
        <f t="shared" si="2"/>
        <v>9.4616427240403089E-2</v>
      </c>
      <c r="H31" s="10">
        <f>0.397727272727273+27*H36</f>
        <v>0.80272727272727296</v>
      </c>
      <c r="I31" s="27">
        <f t="shared" si="0"/>
        <v>0.32590727272727282</v>
      </c>
      <c r="J31" s="27">
        <f t="shared" si="3"/>
        <v>0.86739058000000036</v>
      </c>
    </row>
    <row r="32" spans="1:19" x14ac:dyDescent="0.2">
      <c r="A32" s="16" t="s">
        <v>93</v>
      </c>
      <c r="B32" s="13">
        <f>H39/B24</f>
        <v>0.97282288658626326</v>
      </c>
      <c r="C32" s="32">
        <v>800</v>
      </c>
      <c r="D32" s="15">
        <f>7*(1/60.4)*B4</f>
        <v>8.0430463576158946</v>
      </c>
      <c r="E32" s="14">
        <f>(-8.59*(1/60.4)*B4)*(1/1.01665562913907)</f>
        <v>-9.7082695502068468</v>
      </c>
      <c r="F32" s="14">
        <f t="shared" si="1"/>
        <v>-1.6652231925909522</v>
      </c>
      <c r="G32" s="27">
        <f t="shared" si="2"/>
        <v>4.6324954655265475E-2</v>
      </c>
      <c r="H32" s="10">
        <f>0.227272727272727+28*H36</f>
        <v>0.647272727272727</v>
      </c>
      <c r="I32" s="27">
        <f t="shared" si="0"/>
        <v>0.26279272727272718</v>
      </c>
      <c r="J32" s="27">
        <f t="shared" si="3"/>
        <v>0.87501156909090949</v>
      </c>
    </row>
    <row r="33" spans="1:10" x14ac:dyDescent="0.2">
      <c r="B33" s="1"/>
      <c r="C33" s="32">
        <v>829</v>
      </c>
      <c r="D33" s="15">
        <f>7*(1/60.4)*B4</f>
        <v>8.0430463576158946</v>
      </c>
      <c r="E33" s="14">
        <f>(-8.53*(1/60.4)*B4)*(1/1.01665562913907)</f>
        <v>-9.6404585871087782</v>
      </c>
      <c r="F33" s="14">
        <f t="shared" si="1"/>
        <v>-1.5974122294928836</v>
      </c>
      <c r="G33" s="27">
        <f>G32+F33*$C$5/1000+G63</f>
        <v>-2.8151092568151626E-14</v>
      </c>
      <c r="H33" s="10">
        <v>0</v>
      </c>
      <c r="I33" s="27">
        <f t="shared" si="0"/>
        <v>0</v>
      </c>
      <c r="J33" s="33">
        <f t="shared" si="3"/>
        <v>0.87501156909090949</v>
      </c>
    </row>
    <row r="34" spans="1:10" x14ac:dyDescent="0.2">
      <c r="B34" s="1" t="s">
        <v>22</v>
      </c>
      <c r="C34" s="34"/>
      <c r="D34" s="34"/>
      <c r="E34" s="34"/>
    </row>
    <row r="35" spans="1:10" ht="19" x14ac:dyDescent="0.25">
      <c r="A35" s="69" t="s">
        <v>82</v>
      </c>
      <c r="B35" s="75">
        <f>B14/B29</f>
        <v>69.385703123067472</v>
      </c>
      <c r="C35" s="22" t="s">
        <v>24</v>
      </c>
      <c r="D35" s="15">
        <f>AVERAGE(D4:D33)</f>
        <v>11.566666666666665</v>
      </c>
      <c r="E35" s="15">
        <f>AVERAGE(E4:E33)</f>
        <v>-11.5666666666667</v>
      </c>
      <c r="F35" s="16" t="s">
        <v>46</v>
      </c>
      <c r="G35" s="27">
        <f>0</f>
        <v>0</v>
      </c>
      <c r="H35" s="1" t="s">
        <v>46</v>
      </c>
    </row>
    <row r="36" spans="1:10" x14ac:dyDescent="0.2">
      <c r="B36" s="23"/>
      <c r="C36" s="24" t="s">
        <v>27</v>
      </c>
      <c r="D36" s="25">
        <f>D35*6</f>
        <v>69.399999999999991</v>
      </c>
      <c r="E36" s="25">
        <f>E35*6</f>
        <v>-69.400000000000205</v>
      </c>
      <c r="H36" s="35">
        <v>1.4999999999999999E-2</v>
      </c>
    </row>
    <row r="37" spans="1:10" x14ac:dyDescent="0.2">
      <c r="B37" s="23" t="s">
        <v>26</v>
      </c>
    </row>
    <row r="38" spans="1:10" x14ac:dyDescent="0.2">
      <c r="B38" s="23" t="s">
        <v>28</v>
      </c>
      <c r="D38" s="36"/>
      <c r="H38" s="1" t="s">
        <v>24</v>
      </c>
    </row>
    <row r="39" spans="1:10" x14ac:dyDescent="0.2">
      <c r="D39" s="37"/>
      <c r="E39" s="14"/>
      <c r="H39" s="14">
        <f>AVERAGE(H4:H33)</f>
        <v>2.4772424242424251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189EC-BC7E-7442-A034-9EC85345A950}">
  <dimension ref="A2:N39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16.6640625" bestFit="1" customWidth="1"/>
    <col min="5" max="5" width="18.6640625" bestFit="1" customWidth="1"/>
    <col min="10" max="10" width="12.1640625" bestFit="1" customWidth="1"/>
  </cols>
  <sheetData>
    <row r="2" spans="1:10" x14ac:dyDescent="0.2">
      <c r="B2" s="27"/>
      <c r="H2" s="1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26" t="s">
        <v>30</v>
      </c>
      <c r="J3" s="3" t="s">
        <v>47</v>
      </c>
    </row>
    <row r="4" spans="1:10" ht="19" x14ac:dyDescent="0.25">
      <c r="A4" s="70" t="s">
        <v>83</v>
      </c>
      <c r="B4" s="75">
        <v>34.9</v>
      </c>
      <c r="C4" s="9">
        <v>0</v>
      </c>
      <c r="D4" s="14">
        <f>(8.399862*(1/57.8511739285714)*$B$4)*(1/1.00477086379905)</f>
        <v>5.0433414120562823</v>
      </c>
      <c r="E4" s="14">
        <f>(-9.42215838155*(1/57.8511739285714)*$B$4)*(1/0.986420438553258)</f>
        <v>-5.7623759445952984</v>
      </c>
      <c r="F4" s="27">
        <f>D4+E4</f>
        <v>-0.71903453253901617</v>
      </c>
      <c r="G4" s="14">
        <f>F4*C5/1000+G35</f>
        <v>-7.6551466732493675E-3</v>
      </c>
      <c r="H4" s="11">
        <v>0</v>
      </c>
      <c r="I4" s="27">
        <f t="shared" ref="I4:I33" si="0">H4*$B$9</f>
        <v>0</v>
      </c>
      <c r="J4" s="14">
        <f>I4</f>
        <v>0</v>
      </c>
    </row>
    <row r="5" spans="1:10" x14ac:dyDescent="0.2">
      <c r="B5" s="14" t="s">
        <v>31</v>
      </c>
      <c r="C5" s="9">
        <v>38.461500000000001</v>
      </c>
      <c r="D5" s="14">
        <f>(10.662902*(1/57.8511739285714)*$B$4)*(1/1.00477086379905)</f>
        <v>6.4020879425516455</v>
      </c>
      <c r="E5" s="14">
        <f>(-9.34894788212*(1/57.8511739285714)*$B$4)*(1/0.986420438553258)</f>
        <v>-5.7176020824159792</v>
      </c>
      <c r="F5" s="27">
        <f t="shared" ref="F5:F32" si="1">D5+E5</f>
        <v>0.68448586013566626</v>
      </c>
      <c r="G5" s="14">
        <f>G4+F5*$C$5/1000</f>
        <v>1.867120623635856E-2</v>
      </c>
      <c r="H5" s="11">
        <f>4.640625-1*H36</f>
        <v>4.6239224999999999</v>
      </c>
      <c r="I5" s="27">
        <f t="shared" si="0"/>
        <v>0.30802259733749998</v>
      </c>
      <c r="J5" s="14">
        <f>J4+$C$5/1000</f>
        <v>3.8461500000000003E-2</v>
      </c>
    </row>
    <row r="6" spans="1:10" x14ac:dyDescent="0.2">
      <c r="B6" s="14">
        <f>B4/6</f>
        <v>5.8166666666666664</v>
      </c>
      <c r="C6" s="9">
        <v>76.923000000000002</v>
      </c>
      <c r="D6" s="14">
        <f>(12.369641*(1/57.8511739285714)*$B$4)*(1/1.00477086379905)</f>
        <v>7.4268270963938772</v>
      </c>
      <c r="E6" s="14">
        <f>(-9.27725113909*(1/57.8511739285714)*$B$4)*(1/0.986420438553258)</f>
        <v>-5.6737539989289836</v>
      </c>
      <c r="F6" s="27">
        <f t="shared" si="1"/>
        <v>1.7530730974648936</v>
      </c>
      <c r="G6" s="14">
        <f t="shared" ref="G6:G33" si="2">G5+F6*$C$5/1000</f>
        <v>8.609702717450457E-2</v>
      </c>
      <c r="H6" s="11">
        <f>13.6328125-2*H36</f>
        <v>13.5994075</v>
      </c>
      <c r="I6" s="27">
        <f t="shared" si="0"/>
        <v>0.90592453061249989</v>
      </c>
      <c r="J6" s="14">
        <f t="shared" ref="J6:J33" si="3">J5+$C$5/1000</f>
        <v>7.6923000000000005E-2</v>
      </c>
    </row>
    <row r="7" spans="1:10" x14ac:dyDescent="0.2">
      <c r="B7" s="18"/>
      <c r="C7" s="9">
        <v>115.3845</v>
      </c>
      <c r="D7" s="14">
        <f>(14.065402*(1/57.8511739285714)*$B$4)*(1/1.00477086379905)</f>
        <v>8.4449749750435483</v>
      </c>
      <c r="E7" s="14">
        <f>(-9.13993305612*(1/57.8511739285714)*$B$4)*(1/0.986420438553258)</f>
        <v>-5.5897734091297604</v>
      </c>
      <c r="F7" s="27">
        <f t="shared" si="1"/>
        <v>2.8552015659137879</v>
      </c>
      <c r="G7" s="14">
        <f t="shared" si="2"/>
        <v>0.19591236220189773</v>
      </c>
      <c r="H7" s="11">
        <f>11.3046875-3*H36</f>
        <v>11.254580000000001</v>
      </c>
      <c r="I7" s="27">
        <f t="shared" si="0"/>
        <v>0.74972384670000003</v>
      </c>
      <c r="J7" s="14">
        <f t="shared" si="3"/>
        <v>0.1153845</v>
      </c>
    </row>
    <row r="8" spans="1:10" x14ac:dyDescent="0.2">
      <c r="B8" s="3" t="s">
        <v>32</v>
      </c>
      <c r="C8" s="9">
        <v>153.846</v>
      </c>
      <c r="D8" s="14">
        <f>(14.299156*(1/57.8511739285714)*$B$4)*(1/1.00477086379905)</f>
        <v>8.5853226650929564</v>
      </c>
      <c r="E8" s="14">
        <f>(-9.070540424995*(1/57.8511739285714)*$B$4)*(1/0.986420438553258)</f>
        <v>-5.5473344676330987</v>
      </c>
      <c r="F8" s="27">
        <f t="shared" si="1"/>
        <v>3.0379881974598577</v>
      </c>
      <c r="G8" s="14">
        <f t="shared" si="2"/>
        <v>0.31275794525850004</v>
      </c>
      <c r="H8" s="11">
        <f>8.34375-4*H36</f>
        <v>8.2769399999999997</v>
      </c>
      <c r="I8" s="27">
        <f t="shared" si="0"/>
        <v>0.55136835809999996</v>
      </c>
      <c r="J8" s="14">
        <f t="shared" si="3"/>
        <v>0.15384600000000001</v>
      </c>
    </row>
    <row r="9" spans="1:10" x14ac:dyDescent="0.2">
      <c r="A9" s="7" t="s">
        <v>76</v>
      </c>
      <c r="B9" s="1">
        <v>6.6614999999999994E-2</v>
      </c>
      <c r="C9" s="9">
        <v>192.3075</v>
      </c>
      <c r="D9" s="14">
        <f>(13.990339*(1/57.8511739285714)*$B$4)*(1/1.00477086379905)</f>
        <v>8.3999065755373206</v>
      </c>
      <c r="E9" s="14">
        <f>(-9.00888541793*(1/57.8511739285714)*$B$4)*(1/0.986420438553258)</f>
        <v>-5.5096276795291228</v>
      </c>
      <c r="F9" s="27">
        <f t="shared" si="1"/>
        <v>2.8902788960081978</v>
      </c>
      <c r="G9" s="14">
        <f t="shared" si="2"/>
        <v>0.42392240701731931</v>
      </c>
      <c r="H9" s="11">
        <f>14.921875-5*H36</f>
        <v>14.838362500000001</v>
      </c>
      <c r="I9" s="27">
        <f t="shared" si="0"/>
        <v>0.98845751793749992</v>
      </c>
      <c r="J9" s="14">
        <f t="shared" si="3"/>
        <v>0.19230750000000002</v>
      </c>
    </row>
    <row r="10" spans="1:10" x14ac:dyDescent="0.2">
      <c r="B10" s="1" t="s">
        <v>86</v>
      </c>
      <c r="C10" s="9">
        <v>230.76900000000001</v>
      </c>
      <c r="D10" s="14">
        <f>(12.80675*(1/57.8511739285714)*$B$4)*(1/1.00477086379905)</f>
        <v>7.6892706843102641</v>
      </c>
      <c r="E10" s="14">
        <f>(-8.983633341215*(1/57.8511739285714)*$B$4)*(1/0.986420438553258)</f>
        <v>-5.49418408863189</v>
      </c>
      <c r="F10" s="27">
        <f t="shared" si="1"/>
        <v>2.1950865956783741</v>
      </c>
      <c r="G10" s="14">
        <f t="shared" si="2"/>
        <v>0.5083487301170031</v>
      </c>
      <c r="H10" s="11">
        <f>20.0390625-6*H36</f>
        <v>19.938847500000001</v>
      </c>
      <c r="I10" s="27">
        <f t="shared" si="0"/>
        <v>1.3282263262125</v>
      </c>
      <c r="J10" s="14">
        <f t="shared" si="3"/>
        <v>0.23076900000000003</v>
      </c>
    </row>
    <row r="11" spans="1:10" x14ac:dyDescent="0.2">
      <c r="A11" s="7" t="s">
        <v>78</v>
      </c>
      <c r="B11" s="14">
        <f>1/B9</f>
        <v>15.011634016362683</v>
      </c>
      <c r="C11" s="9">
        <v>269.23050000000001</v>
      </c>
      <c r="D11" s="14">
        <f>(12.029996*(1/57.8511739285714)*$B$4)*(1/1.00477086379905)</f>
        <v>7.2229016397735375</v>
      </c>
      <c r="E11" s="14">
        <f>(-9.00505444981*(1/57.8511739285714)*$B$4)*(1/0.986420438553258)</f>
        <v>-5.5072847473000888</v>
      </c>
      <c r="F11" s="27">
        <f t="shared" si="1"/>
        <v>1.7156168924734487</v>
      </c>
      <c r="G11" s="14">
        <f t="shared" si="2"/>
        <v>0.57433392922687065</v>
      </c>
      <c r="H11" s="11">
        <f>16.9609375-7*H36</f>
        <v>16.84402</v>
      </c>
      <c r="I11" s="27">
        <f t="shared" si="0"/>
        <v>1.1220643923</v>
      </c>
      <c r="J11" s="14">
        <f t="shared" si="3"/>
        <v>0.26923050000000004</v>
      </c>
    </row>
    <row r="12" spans="1:10" x14ac:dyDescent="0.2">
      <c r="B12" s="1" t="s">
        <v>12</v>
      </c>
      <c r="C12" s="9">
        <v>307.69200000000001</v>
      </c>
      <c r="D12" s="14">
        <f>(11.095385*(1/57.8511739285714)*$B$4)*(1/1.00477086379905)</f>
        <v>6.661754044674554</v>
      </c>
      <c r="E12" s="14">
        <f>(-9.093840629275*(1/57.8511739285714)*$B$4)*(1/0.986420438553258)</f>
        <v>-5.5615843381203263</v>
      </c>
      <c r="F12" s="27">
        <f t="shared" si="1"/>
        <v>1.1001697065542277</v>
      </c>
      <c r="G12" s="14">
        <f t="shared" si="2"/>
        <v>0.61664810639550605</v>
      </c>
      <c r="H12" s="11">
        <f>14.40625-8*H36</f>
        <v>14.272629999999999</v>
      </c>
      <c r="I12" s="27">
        <f t="shared" si="0"/>
        <v>0.95077124744999986</v>
      </c>
      <c r="J12" s="14">
        <f t="shared" si="3"/>
        <v>0.30769200000000002</v>
      </c>
    </row>
    <row r="13" spans="1:10" x14ac:dyDescent="0.2">
      <c r="B13" s="3" t="s">
        <v>77</v>
      </c>
      <c r="C13" s="9">
        <v>346.15350000000001</v>
      </c>
      <c r="D13" s="14">
        <f>(10.751225*(1/57.8511739285714)*$B$4)*(1/1.00477086379905)</f>
        <v>6.4551177475099948</v>
      </c>
      <c r="E13" s="14">
        <f>(-9.14921063621*(1/57.8511739285714)*$B$4)*(1/0.986420438553258)</f>
        <v>-5.5954473643075202</v>
      </c>
      <c r="F13" s="27">
        <f t="shared" si="1"/>
        <v>0.85967038320247458</v>
      </c>
      <c r="G13" s="14">
        <f t="shared" si="2"/>
        <v>0.64971231883904801</v>
      </c>
      <c r="H13" s="11">
        <f>16.2734375-9*H36</f>
        <v>16.123114999999999</v>
      </c>
      <c r="I13" s="27">
        <f t="shared" si="0"/>
        <v>1.0740413057249998</v>
      </c>
      <c r="J13" s="14">
        <f t="shared" si="3"/>
        <v>0.3461535</v>
      </c>
    </row>
    <row r="14" spans="1:10" x14ac:dyDescent="0.2">
      <c r="A14" s="7" t="s">
        <v>79</v>
      </c>
      <c r="B14" s="14">
        <v>29.344000000000001</v>
      </c>
      <c r="C14" s="9">
        <v>384.61500000000001</v>
      </c>
      <c r="D14" s="14">
        <f>(10.545204*(1/57.8511739285714)*$B$4)*(1/1.00477086379905)</f>
        <v>6.3314211628454782</v>
      </c>
      <c r="E14" s="14">
        <f>(-9.197480543415*(1/57.8511739285714)*$B$4)*(1/0.986420438553258)</f>
        <v>-5.6249681323589895</v>
      </c>
      <c r="F14" s="27">
        <f t="shared" si="1"/>
        <v>0.70645303048648866</v>
      </c>
      <c r="G14" s="14">
        <f t="shared" si="2"/>
        <v>0.67688356207110412</v>
      </c>
      <c r="H14" s="11">
        <f>17.8984375-10*H36</f>
        <v>17.731412500000001</v>
      </c>
      <c r="I14" s="27">
        <f t="shared" si="0"/>
        <v>1.1811780436874999</v>
      </c>
      <c r="J14" s="14">
        <f t="shared" si="3"/>
        <v>0.38461499999999998</v>
      </c>
    </row>
    <row r="15" spans="1:10" x14ac:dyDescent="0.2">
      <c r="B15" s="1"/>
      <c r="C15" s="9">
        <v>423.07650000000001</v>
      </c>
      <c r="D15" s="14">
        <f>(10.200435*(1/57.8511739285714)*$B$4)*(1/1.00477086379905)</f>
        <v>6.1244192174214671</v>
      </c>
      <c r="E15" s="14">
        <f>(-9.29776253831*(1/57.8511739285714)*$B$4)*(1/0.986420438553258)</f>
        <v>-5.6862983002099687</v>
      </c>
      <c r="F15" s="27">
        <f t="shared" si="1"/>
        <v>0.43812091721149837</v>
      </c>
      <c r="G15" s="14">
        <f t="shared" si="2"/>
        <v>0.69373434972843417</v>
      </c>
      <c r="H15" s="11">
        <f>15.1875-11*H36</f>
        <v>15.0037725</v>
      </c>
      <c r="I15" s="27">
        <f t="shared" si="0"/>
        <v>0.99947630508749996</v>
      </c>
      <c r="J15" s="14">
        <f t="shared" si="3"/>
        <v>0.42307649999999997</v>
      </c>
    </row>
    <row r="16" spans="1:10" x14ac:dyDescent="0.2">
      <c r="B16" s="1"/>
      <c r="C16" s="9">
        <v>461.53800000000001</v>
      </c>
      <c r="D16" s="14">
        <f>(9.877197*(1/57.8511739285714)*$B$4)*(1/1.00477086379905)</f>
        <v>5.9303446491309106</v>
      </c>
      <c r="E16" s="14">
        <f>(-9.33970814594*(1/57.8511739285714)*$B$4)*(1/0.986420438553258)</f>
        <v>-5.7119512717055283</v>
      </c>
      <c r="F16" s="27">
        <f t="shared" si="1"/>
        <v>0.21839337742538234</v>
      </c>
      <c r="G16" s="14">
        <f t="shared" si="2"/>
        <v>0.70213408661428056</v>
      </c>
      <c r="H16" s="11">
        <f>13.8046875-12*H36</f>
        <v>13.604257499999999</v>
      </c>
      <c r="I16" s="27">
        <f t="shared" si="0"/>
        <v>0.90624761336249982</v>
      </c>
      <c r="J16" s="14">
        <f t="shared" si="3"/>
        <v>0.46153799999999995</v>
      </c>
    </row>
    <row r="17" spans="1:14" x14ac:dyDescent="0.2">
      <c r="B17" s="1" t="s">
        <v>48</v>
      </c>
      <c r="C17" s="9">
        <v>499.99950000000001</v>
      </c>
      <c r="D17" s="14">
        <f>(9.325415*(1/57.8511739285714)*$B$4)*(1/1.00477086379905)</f>
        <v>5.5990505146526006</v>
      </c>
      <c r="E17" s="14">
        <f>(-9.396018428485*(1/57.8511739285714)*$B$4)*(1/0.986420438553258)</f>
        <v>-5.7463893488881457</v>
      </c>
      <c r="F17" s="27">
        <f t="shared" si="1"/>
        <v>-0.14733883423554506</v>
      </c>
      <c r="G17" s="14">
        <f t="shared" si="2"/>
        <v>0.69646721404133016</v>
      </c>
      <c r="H17" s="11">
        <f>13.890625-13*H36</f>
        <v>13.6734925</v>
      </c>
      <c r="I17" s="27">
        <f t="shared" si="0"/>
        <v>0.91085970288749996</v>
      </c>
      <c r="J17" s="14">
        <f t="shared" si="3"/>
        <v>0.49999949999999993</v>
      </c>
    </row>
    <row r="18" spans="1:14" x14ac:dyDescent="0.2">
      <c r="B18" s="1" t="s">
        <v>35</v>
      </c>
      <c r="C18" s="9">
        <v>538.46100000000001</v>
      </c>
      <c r="D18" s="14">
        <f>(9.005394*(1/57.8511739285714)*$B$4)*(1/1.00477086379905)</f>
        <v>5.4069074577752785</v>
      </c>
      <c r="E18" s="14">
        <f>(-9.449005724625*(1/57.8511739285714)*$B$4)*(1/0.986420438553258)</f>
        <v>-5.7787951638067501</v>
      </c>
      <c r="F18" s="27">
        <f t="shared" si="1"/>
        <v>-0.37188770603147159</v>
      </c>
      <c r="G18" s="14">
        <f t="shared" si="2"/>
        <v>0.68216385503580068</v>
      </c>
      <c r="H18" s="11">
        <f>12.9140625-14*H36</f>
        <v>12.680227500000001</v>
      </c>
      <c r="I18" s="27">
        <f t="shared" si="0"/>
        <v>0.84469335491249997</v>
      </c>
      <c r="J18" s="14">
        <f t="shared" si="3"/>
        <v>0.53846099999999997</v>
      </c>
    </row>
    <row r="19" spans="1:14" x14ac:dyDescent="0.2">
      <c r="B19" s="12">
        <f>60/(C33/1000)</f>
        <v>53.793157241433107</v>
      </c>
      <c r="C19" s="9">
        <v>576.92250000000001</v>
      </c>
      <c r="D19" s="14">
        <f>(8.671819*(1/57.8511739285714)*$B$4)*(1/1.00477086379905)</f>
        <v>5.2066264755964422</v>
      </c>
      <c r="E19" s="14">
        <f>(-9.4800450085*(1/57.8511739285714)*$B$4)*(1/0.986420438553258)</f>
        <v>-5.7977780778584806</v>
      </c>
      <c r="F19" s="27">
        <f t="shared" si="1"/>
        <v>-0.59115160226203844</v>
      </c>
      <c r="G19" s="14">
        <f t="shared" si="2"/>
        <v>0.65942727768539933</v>
      </c>
      <c r="H19" s="11">
        <f>11.3984375-15*H36</f>
        <v>11.1479</v>
      </c>
      <c r="I19" s="27">
        <f t="shared" si="0"/>
        <v>0.74261735849999988</v>
      </c>
      <c r="J19" s="14">
        <f t="shared" si="3"/>
        <v>0.5769225</v>
      </c>
    </row>
    <row r="20" spans="1:14" x14ac:dyDescent="0.2">
      <c r="B20" s="1" t="s">
        <v>36</v>
      </c>
      <c r="C20" s="9">
        <v>615.38400000000001</v>
      </c>
      <c r="D20" s="14">
        <f>(8.289718*(1/57.8511739285714)*$B$4)*(1/1.00477086379905)</f>
        <v>4.9772101117456895</v>
      </c>
      <c r="E20" s="14">
        <f>(-9.588411044785*(1/57.8511739285714)*$B$4)*(1/0.986420438553258)</f>
        <v>-5.864052259995197</v>
      </c>
      <c r="F20" s="27">
        <f t="shared" si="1"/>
        <v>-0.88684214824950747</v>
      </c>
      <c r="G20" s="14">
        <f t="shared" si="2"/>
        <v>0.62531799840050084</v>
      </c>
      <c r="H20" s="11">
        <f>10.5703125-16*H36</f>
        <v>10.303072500000001</v>
      </c>
      <c r="I20" s="27">
        <f t="shared" si="0"/>
        <v>0.68633917458749993</v>
      </c>
      <c r="J20" s="14">
        <f t="shared" si="3"/>
        <v>0.61538400000000004</v>
      </c>
    </row>
    <row r="21" spans="1:14" x14ac:dyDescent="0.2">
      <c r="B21" s="17">
        <f>J33</f>
        <v>1.1153835000000003</v>
      </c>
      <c r="C21" s="9">
        <v>653.84550000000002</v>
      </c>
      <c r="D21" s="14">
        <f>(8.136063*(1/57.8511739285714)*$B$4)*(1/1.00477086379905)</f>
        <v>4.8849544741328925</v>
      </c>
      <c r="E21" s="14">
        <f>(-9.68061482043*(1/57.8511739285714)*$B$4)*(1/0.986420438553258)</f>
        <v>-5.9204419742477192</v>
      </c>
      <c r="F21" s="27">
        <f t="shared" si="1"/>
        <v>-1.0354875001148267</v>
      </c>
      <c r="G21" s="14">
        <f t="shared" si="2"/>
        <v>0.58549159591483446</v>
      </c>
      <c r="H21" s="11">
        <f>9.5-17*H36</f>
        <v>9.2160574999999998</v>
      </c>
      <c r="I21" s="27">
        <f t="shared" si="0"/>
        <v>0.61392767036249996</v>
      </c>
      <c r="J21" s="14">
        <f t="shared" si="3"/>
        <v>0.65384550000000008</v>
      </c>
    </row>
    <row r="22" spans="1:14" x14ac:dyDescent="0.2">
      <c r="B22" s="1" t="s">
        <v>37</v>
      </c>
      <c r="C22" s="9">
        <v>692.30700000000002</v>
      </c>
      <c r="D22" s="14">
        <f>(8.03343*(1/57.8511739285714)*$B$4)*(1/1.00477086379905)</f>
        <v>4.8233328356888832</v>
      </c>
      <c r="E22" s="14">
        <f>(-9.81092013577*(1/57.8511739285714)*$B$4)*(1/0.986420438553258)</f>
        <v>-6.0001337162203905</v>
      </c>
      <c r="F22" s="27">
        <f t="shared" si="1"/>
        <v>-1.1768008805315073</v>
      </c>
      <c r="G22" s="14">
        <f t="shared" si="2"/>
        <v>0.54023006884827185</v>
      </c>
      <c r="H22" s="11">
        <f>8.5-18*H36</f>
        <v>8.1993550000000006</v>
      </c>
      <c r="I22" s="27">
        <f t="shared" si="0"/>
        <v>0.546200033325</v>
      </c>
      <c r="J22" s="14">
        <f t="shared" si="3"/>
        <v>0.69230700000000012</v>
      </c>
    </row>
    <row r="23" spans="1:14" x14ac:dyDescent="0.2">
      <c r="B23" s="3" t="s">
        <v>17</v>
      </c>
      <c r="C23" s="9">
        <v>730.76850000000002</v>
      </c>
      <c r="D23" s="14">
        <f>(7.964558*(1/57.8511739285714)*$B$4)*(1/1.00477086379905)</f>
        <v>4.7819815599499309</v>
      </c>
      <c r="E23" s="14">
        <f>(-9.844788979685*(1/57.8511739285714)*$B$4)*(1/0.986420438553258)</f>
        <v>-6.0208471242893111</v>
      </c>
      <c r="F23" s="27">
        <f t="shared" si="1"/>
        <v>-1.2388655643393802</v>
      </c>
      <c r="G23" s="14">
        <f t="shared" si="2"/>
        <v>0.49258144094543277</v>
      </c>
      <c r="H23" s="11">
        <f>7.9765625-19*H36</f>
        <v>7.6592149999999997</v>
      </c>
      <c r="I23" s="27">
        <f t="shared" si="0"/>
        <v>0.5102186072249999</v>
      </c>
      <c r="J23" s="14">
        <f t="shared" si="3"/>
        <v>0.73076850000000015</v>
      </c>
    </row>
    <row r="24" spans="1:14" x14ac:dyDescent="0.2">
      <c r="A24" s="16" t="s">
        <v>90</v>
      </c>
      <c r="B24" s="14">
        <f>2*B21*(B19/60)*(B19/60)</f>
        <v>1.7931052413811039</v>
      </c>
      <c r="C24" s="9">
        <v>769.23</v>
      </c>
      <c r="D24" s="14">
        <f>(7.866589*(1/57.8511739285714)*$B$4)*(1/1.00477086379905)</f>
        <v>4.7231602227901375</v>
      </c>
      <c r="E24" s="14">
        <f>(-9.87825318487*(1/57.8511739285714)*$B$4)*(1/0.986420438553258)</f>
        <v>-6.0413130645923996</v>
      </c>
      <c r="F24" s="27">
        <f t="shared" si="1"/>
        <v>-1.3181528418022621</v>
      </c>
      <c r="G24" s="14">
        <f t="shared" si="2"/>
        <v>0.44188330542045506</v>
      </c>
      <c r="H24" s="11">
        <f>7.109375-20*H36</f>
        <v>6.7753250000000005</v>
      </c>
      <c r="I24" s="27">
        <f t="shared" si="0"/>
        <v>0.451338274875</v>
      </c>
      <c r="J24" s="14">
        <f t="shared" si="3"/>
        <v>0.76923000000000019</v>
      </c>
      <c r="M24" t="s">
        <v>18</v>
      </c>
    </row>
    <row r="25" spans="1:14" x14ac:dyDescent="0.2">
      <c r="A25" s="16"/>
      <c r="B25" s="1" t="s">
        <v>19</v>
      </c>
      <c r="C25" s="9">
        <v>807.69150000000002</v>
      </c>
      <c r="D25" s="14">
        <f>(7.715475*(1/57.8511739285714)*$B$4)*(1/1.00477086379905)</f>
        <v>4.6324302210185051</v>
      </c>
      <c r="E25" s="14">
        <f>(-9.95265431193*(1/57.8511739285714)*$B$4)*(1/0.986420438553258)</f>
        <v>-6.0868150873201055</v>
      </c>
      <c r="F25" s="27">
        <f t="shared" si="1"/>
        <v>-1.4543848663016004</v>
      </c>
      <c r="G25" s="14">
        <f t="shared" si="2"/>
        <v>0.38594548188519606</v>
      </c>
      <c r="H25" s="11">
        <f>6.0859375-21*H36</f>
        <v>5.7351850000000004</v>
      </c>
      <c r="I25" s="27">
        <f t="shared" si="0"/>
        <v>0.38204934877500002</v>
      </c>
      <c r="J25" s="14">
        <f t="shared" si="3"/>
        <v>0.80769150000000023</v>
      </c>
    </row>
    <row r="26" spans="1:14" x14ac:dyDescent="0.2">
      <c r="A26" s="16" t="s">
        <v>91</v>
      </c>
      <c r="B26" s="14">
        <f>B24*6</f>
        <v>10.758631448286623</v>
      </c>
      <c r="C26" s="9">
        <v>846.15300000000002</v>
      </c>
      <c r="D26" s="14">
        <f>(7.587409*(1/57.8511739285714)*$B$4)*(1/1.00477086379905)</f>
        <v>4.5555384147868789</v>
      </c>
      <c r="E26" s="14">
        <f>(-10.02404830368*(1/57.8511739285714)*$B$4)*(1/0.986420438553258)</f>
        <v>-6.1304780150686353</v>
      </c>
      <c r="F26" s="27">
        <f t="shared" si="1"/>
        <v>-1.5749396002817564</v>
      </c>
      <c r="G26" s="14">
        <f t="shared" si="2"/>
        <v>0.32537094244895925</v>
      </c>
      <c r="H26" s="11">
        <f>5.296875-22*H36</f>
        <v>4.9294200000000004</v>
      </c>
      <c r="I26" s="27">
        <f t="shared" si="0"/>
        <v>0.32837331329999997</v>
      </c>
      <c r="J26" s="14">
        <f t="shared" si="3"/>
        <v>0.84615300000000027</v>
      </c>
      <c r="M26" s="16" t="s">
        <v>39</v>
      </c>
      <c r="N26" s="29">
        <v>7</v>
      </c>
    </row>
    <row r="27" spans="1:14" x14ac:dyDescent="0.2">
      <c r="A27" s="16"/>
      <c r="C27" s="9">
        <v>884.61450000000002</v>
      </c>
      <c r="D27" s="14">
        <f>(7.386613*(1/57.8511739285714)*$B$4)*(1/1.00477086379905)</f>
        <v>4.4349789600987828</v>
      </c>
      <c r="E27" s="14">
        <f>(-10.082052828965*(1/57.8511739285714)*$B$4)*(1/0.986420438553258)</f>
        <v>-6.165952252249201</v>
      </c>
      <c r="F27" s="27">
        <f t="shared" si="1"/>
        <v>-1.7309732921504182</v>
      </c>
      <c r="G27" s="14">
        <f t="shared" si="2"/>
        <v>0.25879511317291592</v>
      </c>
      <c r="H27" s="11">
        <f>4.546875-23*H36</f>
        <v>4.1627175000000003</v>
      </c>
      <c r="I27" s="27">
        <f t="shared" si="0"/>
        <v>0.27729942626249998</v>
      </c>
      <c r="J27" s="14">
        <f t="shared" si="3"/>
        <v>0.8846145000000003</v>
      </c>
    </row>
    <row r="28" spans="1:14" x14ac:dyDescent="0.2">
      <c r="A28" s="16"/>
      <c r="B28" s="1" t="s">
        <v>20</v>
      </c>
      <c r="C28" s="9">
        <v>923.07600000000002</v>
      </c>
      <c r="D28" s="14">
        <f>(7.322512*(1/57.8511739285714)*$B$4)*(1/1.00477086379905)</f>
        <v>4.3964922292627024</v>
      </c>
      <c r="E28" s="14">
        <f>(-10.069992265955*(1/57.8511739285714)*$B$4)*(1/0.986420438553258)</f>
        <v>-6.1585762885524753</v>
      </c>
      <c r="F28" s="27">
        <f t="shared" si="1"/>
        <v>-1.7620840592897729</v>
      </c>
      <c r="G28" s="14">
        <f t="shared" si="2"/>
        <v>0.19102271712654234</v>
      </c>
      <c r="H28" s="11">
        <f>3.8984375-24*H36</f>
        <v>3.4975775000000002</v>
      </c>
      <c r="I28" s="27">
        <f t="shared" si="0"/>
        <v>0.23299112516250001</v>
      </c>
      <c r="J28" s="14">
        <f t="shared" si="3"/>
        <v>0.92307600000000034</v>
      </c>
    </row>
    <row r="29" spans="1:14" x14ac:dyDescent="0.2">
      <c r="A29" s="16" t="s">
        <v>92</v>
      </c>
      <c r="B29" s="17">
        <f>H37/B26</f>
        <v>0.84135461003343737</v>
      </c>
      <c r="C29" s="9">
        <v>961.53750000000002</v>
      </c>
      <c r="D29" s="14">
        <f>(7.257117*(1/57.8511739285714)*$B$4)*(1/1.00477086379905)</f>
        <v>4.3572285709262424</v>
      </c>
      <c r="E29" s="14">
        <f>(-9.998781671615*(1/57.8511739285714)*$B$4)*(1/0.986420438553258)</f>
        <v>-6.1150255224532071</v>
      </c>
      <c r="F29" s="27">
        <f t="shared" si="1"/>
        <v>-1.7577969515269647</v>
      </c>
      <c r="G29" s="14">
        <f t="shared" si="2"/>
        <v>0.12341520967538799</v>
      </c>
      <c r="H29" s="11">
        <f>3.109375-25*H36</f>
        <v>2.6918125000000002</v>
      </c>
      <c r="I29" s="27">
        <f t="shared" si="0"/>
        <v>0.17931508968749998</v>
      </c>
      <c r="J29" s="14">
        <f t="shared" si="3"/>
        <v>0.96153750000000038</v>
      </c>
    </row>
    <row r="30" spans="1:14" x14ac:dyDescent="0.2">
      <c r="A30" s="16"/>
      <c r="B30" s="1"/>
      <c r="C30" s="9">
        <v>999.99900000000002</v>
      </c>
      <c r="D30" s="14">
        <f>(7.195172*(1/57.8511739285714)*$B$4)*(1/1.00477086379905)</f>
        <v>4.3200363189856956</v>
      </c>
      <c r="E30" s="14">
        <f>(-9.86796255242*(1/57.8511739285714)*$B$4)*(1/0.986420438553258)</f>
        <v>-6.0350195498282382</v>
      </c>
      <c r="F30" s="27">
        <f t="shared" si="1"/>
        <v>-1.7149832308425426</v>
      </c>
      <c r="G30" s="14">
        <f t="shared" si="2"/>
        <v>5.7454382142337543E-2</v>
      </c>
      <c r="H30" s="11">
        <f>2.484375-26*H36</f>
        <v>2.0501100000000001</v>
      </c>
      <c r="I30" s="27">
        <f t="shared" si="0"/>
        <v>0.13656807764999998</v>
      </c>
      <c r="J30" s="14">
        <f t="shared" si="3"/>
        <v>0.99999900000000042</v>
      </c>
    </row>
    <row r="31" spans="1:14" x14ac:dyDescent="0.2">
      <c r="A31" s="16"/>
      <c r="B31" s="1" t="s">
        <v>21</v>
      </c>
      <c r="C31" s="9">
        <v>1038.4604999999999</v>
      </c>
      <c r="D31" s="14">
        <f>(7.121367*(1/57.8511739285714)*$B$4)*(1/1.00477086379905)</f>
        <v>4.2757232323044123</v>
      </c>
      <c r="E31" s="14">
        <f>(-9.759314142345*(1/57.8511739285714)*$B$4)*(1/0.986420438553258)</f>
        <v>-5.9685726743585317</v>
      </c>
      <c r="F31" s="27">
        <f t="shared" si="1"/>
        <v>-1.6928494420541194</v>
      </c>
      <c r="G31" s="14">
        <f t="shared" si="2"/>
        <v>-7.6551466732269757E-3</v>
      </c>
      <c r="H31" s="11">
        <f>2.1796875-27*H36</f>
        <v>1.72872</v>
      </c>
      <c r="I31" s="27">
        <f t="shared" si="0"/>
        <v>0.1151586828</v>
      </c>
      <c r="J31" s="14">
        <f t="shared" si="3"/>
        <v>1.0384605000000005</v>
      </c>
    </row>
    <row r="32" spans="1:14" x14ac:dyDescent="0.2">
      <c r="A32" s="16" t="s">
        <v>93</v>
      </c>
      <c r="B32" s="13">
        <f>H37/B24</f>
        <v>5.048127660200624</v>
      </c>
      <c r="C32" s="9">
        <v>1076.922</v>
      </c>
      <c r="D32" s="14">
        <f>(7.110229*(1/57.8511739285714)*$B$4)*(1/1.00477086379905)</f>
        <v>4.2690358918876905</v>
      </c>
      <c r="E32" s="14">
        <f>(-9.573453967125*(1/57.8511739285714)*$B$4)*(1/0.986420438553258)</f>
        <v>-5.8549048543775832</v>
      </c>
      <c r="F32" s="27">
        <f t="shared" si="1"/>
        <v>-1.5858689624898927</v>
      </c>
      <c r="G32" s="14">
        <f t="shared" si="2"/>
        <v>-6.8650045774031984E-2</v>
      </c>
      <c r="H32" s="11">
        <f>1.4609375-28*H36</f>
        <v>0.99326749999999997</v>
      </c>
      <c r="I32" s="27">
        <f t="shared" si="0"/>
        <v>6.6166514512499996E-2</v>
      </c>
      <c r="J32" s="14">
        <f t="shared" si="3"/>
        <v>1.0769220000000004</v>
      </c>
    </row>
    <row r="33" spans="1:10" x14ac:dyDescent="0.2">
      <c r="B33" s="1"/>
      <c r="C33" s="9">
        <v>1115.3834999999999</v>
      </c>
      <c r="D33" s="14">
        <f>(7.472354*(1/57.8511739285714)*$B$4)*(1/1.00477086379905)</f>
        <v>4.4864585125022769</v>
      </c>
      <c r="E33" s="14">
        <f>(-9.54983500068*(1/57.8511739285714)*$B$4)*(1/0.986420438553258)</f>
        <v>-5.8404600362618782</v>
      </c>
      <c r="F33" s="27">
        <f>D33+E33</f>
        <v>-1.3540015237596013</v>
      </c>
      <c r="G33" s="14">
        <f t="shared" si="2"/>
        <v>-0.1207269753801119</v>
      </c>
      <c r="H33" s="11">
        <f>0.484375-29*H36</f>
        <v>2.500000000016378E-6</v>
      </c>
      <c r="I33" s="27">
        <f t="shared" si="0"/>
        <v>1.66537500001091E-7</v>
      </c>
      <c r="J33" s="18">
        <f t="shared" si="3"/>
        <v>1.1153835000000003</v>
      </c>
    </row>
    <row r="34" spans="1:10" x14ac:dyDescent="0.2">
      <c r="B34" s="1" t="s">
        <v>22</v>
      </c>
      <c r="C34" s="2"/>
      <c r="D34" s="2"/>
      <c r="E34" s="2"/>
      <c r="H34" s="2"/>
    </row>
    <row r="35" spans="1:10" ht="19" x14ac:dyDescent="0.25">
      <c r="A35" s="69" t="s">
        <v>82</v>
      </c>
      <c r="B35" s="75">
        <f>B14/B29</f>
        <v>34.877089457956146</v>
      </c>
      <c r="C35" s="21" t="s">
        <v>24</v>
      </c>
      <c r="D35" s="10">
        <f>AVERAGE(D5:D31)</f>
        <v>5.8166666666666904</v>
      </c>
      <c r="E35" s="10">
        <f>AVERAGE(E5:E31)</f>
        <v>-5.8166666666666682</v>
      </c>
      <c r="F35" s="16" t="s">
        <v>46</v>
      </c>
      <c r="G35" s="1">
        <v>0.02</v>
      </c>
      <c r="H35" s="9" t="s">
        <v>49</v>
      </c>
    </row>
    <row r="36" spans="1:10" x14ac:dyDescent="0.2">
      <c r="B36" s="23"/>
      <c r="C36" s="30" t="s">
        <v>27</v>
      </c>
      <c r="D36" s="38">
        <f>D35*6</f>
        <v>34.900000000000141</v>
      </c>
      <c r="E36" s="38">
        <f>E35*6</f>
        <v>-34.900000000000006</v>
      </c>
      <c r="H36" s="39">
        <v>1.6702499999999999E-2</v>
      </c>
    </row>
    <row r="37" spans="1:10" x14ac:dyDescent="0.2">
      <c r="B37" s="23" t="s">
        <v>26</v>
      </c>
      <c r="G37" s="16" t="s">
        <v>50</v>
      </c>
      <c r="H37" s="14">
        <f>AVERAGE(H4:H33)</f>
        <v>9.0518241666666679</v>
      </c>
    </row>
    <row r="38" spans="1:10" x14ac:dyDescent="0.2">
      <c r="B38" s="23" t="s">
        <v>28</v>
      </c>
      <c r="D38" s="40"/>
      <c r="E38" s="14"/>
    </row>
    <row r="39" spans="1:10" x14ac:dyDescent="0.2">
      <c r="D39" s="2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8144D-9432-6A4C-978D-492592B54E85}">
  <dimension ref="A2:N39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16.6640625" bestFit="1" customWidth="1"/>
    <col min="5" max="5" width="18.6640625" bestFit="1" customWidth="1"/>
    <col min="10" max="10" width="12.1640625" bestFit="1" customWidth="1"/>
  </cols>
  <sheetData>
    <row r="2" spans="1:10" x14ac:dyDescent="0.2">
      <c r="B2" s="1"/>
      <c r="G2" s="1" t="s">
        <v>0</v>
      </c>
      <c r="H2" s="1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26" t="s">
        <v>30</v>
      </c>
      <c r="J3" s="3" t="s">
        <v>47</v>
      </c>
    </row>
    <row r="4" spans="1:10" ht="19" x14ac:dyDescent="0.25">
      <c r="A4" s="70" t="s">
        <v>83</v>
      </c>
      <c r="B4" s="75">
        <v>32</v>
      </c>
      <c r="C4" s="9">
        <v>0</v>
      </c>
      <c r="D4" s="10">
        <f>(7.336423*(1/62.2076616)*B4)*(1/1.03334048700736)</f>
        <v>3.6521366585405408</v>
      </c>
      <c r="E4" s="14">
        <f>(-8.34773120796977*(1/63.7604104)*B4)*(1/1.01760846070785)</f>
        <v>-4.1170545559281715</v>
      </c>
      <c r="F4" s="14">
        <f t="shared" ref="F4:F32" si="0">D4+E4</f>
        <v>-0.46491789738763067</v>
      </c>
      <c r="G4" s="14">
        <f>F4*C5/1000</f>
        <v>-1.4528684293363459E-2</v>
      </c>
      <c r="H4" s="11">
        <v>0</v>
      </c>
      <c r="I4" s="27">
        <f>H4*$B$9</f>
        <v>0</v>
      </c>
      <c r="J4" s="14">
        <v>0</v>
      </c>
    </row>
    <row r="5" spans="1:10" x14ac:dyDescent="0.2">
      <c r="B5" s="14" t="s">
        <v>31</v>
      </c>
      <c r="C5" s="9">
        <v>31.25</v>
      </c>
      <c r="D5" s="10">
        <f>(8.819006*(1/62.2076616)*B4)*(1/1.03334048700736)</f>
        <v>4.3901796699139322</v>
      </c>
      <c r="E5" s="14">
        <f>(-7.80441508313165*(1/63.7604104)*B4)*(1/1.01760846070785)</f>
        <v>-3.8490940680607082</v>
      </c>
      <c r="F5" s="14">
        <f t="shared" si="0"/>
        <v>0.54108560185322396</v>
      </c>
      <c r="G5" s="14">
        <f>G4+F5*$C$5/1000</f>
        <v>2.3802407645497903E-3</v>
      </c>
      <c r="H5" s="11">
        <f>2.3-1*H36</f>
        <v>2.2862068999999998</v>
      </c>
      <c r="I5" s="27">
        <f t="shared" ref="I5:I33" si="1">H5*$B$9</f>
        <v>0.22976379345</v>
      </c>
      <c r="J5" s="14">
        <f>J4+I5*$C$5/1000</f>
        <v>7.1801185453125001E-3</v>
      </c>
    </row>
    <row r="6" spans="1:10" x14ac:dyDescent="0.2">
      <c r="B6" s="14">
        <f>B4/6</f>
        <v>5.333333333333333</v>
      </c>
      <c r="C6" s="9">
        <v>62.5</v>
      </c>
      <c r="D6" s="10">
        <f>(11.339947*(1/62.2076616)*B4)*(1/1.03334048700736)</f>
        <v>5.6451265343624311</v>
      </c>
      <c r="E6" s="14">
        <f>(-7.84561123523156*(1/63.7604104)*B4)*(1/1.01760846070785)</f>
        <v>-3.8694117809175523</v>
      </c>
      <c r="F6" s="14">
        <f t="shared" si="0"/>
        <v>1.7757147534448787</v>
      </c>
      <c r="G6" s="14">
        <f t="shared" ref="G6:G33" si="2">G5+F6*$C$5/1000</f>
        <v>5.787132680970225E-2</v>
      </c>
      <c r="H6" s="11">
        <f>8.4-2*H36</f>
        <v>8.3724138000000004</v>
      </c>
      <c r="I6" s="27">
        <f t="shared" si="1"/>
        <v>0.84142758690000008</v>
      </c>
      <c r="J6" s="14">
        <f t="shared" ref="J6:J33" si="3">J5+I6*$C$5/1000</f>
        <v>3.3474730635937505E-2</v>
      </c>
    </row>
    <row r="7" spans="1:10" x14ac:dyDescent="0.2">
      <c r="B7" s="18"/>
      <c r="C7" s="9">
        <v>93.75</v>
      </c>
      <c r="D7" s="10">
        <f>(14.713695*(1/62.2076616)*B4)*(1/1.03334048700736)</f>
        <v>7.3246083128092074</v>
      </c>
      <c r="E7" s="14">
        <f>(-8.32671123052042*(1/63.7604104)*B4)*(1/1.01760846070785)</f>
        <v>-4.1066876200784952</v>
      </c>
      <c r="F7" s="14">
        <f t="shared" si="0"/>
        <v>3.2179206927307122</v>
      </c>
      <c r="G7" s="14">
        <f t="shared" si="2"/>
        <v>0.15843134845753701</v>
      </c>
      <c r="H7" s="11">
        <f>11.325-3*H36</f>
        <v>11.2836207</v>
      </c>
      <c r="I7" s="27">
        <f t="shared" si="1"/>
        <v>1.1340038803500001</v>
      </c>
      <c r="J7" s="14">
        <f t="shared" si="3"/>
        <v>6.8912351896875002E-2</v>
      </c>
    </row>
    <row r="8" spans="1:10" x14ac:dyDescent="0.2">
      <c r="B8" s="3" t="s">
        <v>32</v>
      </c>
      <c r="C8" s="9">
        <v>125</v>
      </c>
      <c r="D8" s="10">
        <f>(16.991261*(1/62.2076616)*B4)*(1/1.03334048700736)</f>
        <v>8.4584009363868748</v>
      </c>
      <c r="E8" s="14">
        <f>(-9.22115800620403*(1/63.7604104)*B4)*(1/1.01760846070785)</f>
        <v>-4.5478237900294056</v>
      </c>
      <c r="F8" s="14">
        <f t="shared" si="0"/>
        <v>3.9105771463574692</v>
      </c>
      <c r="G8" s="14">
        <f t="shared" si="2"/>
        <v>0.28063688428120792</v>
      </c>
      <c r="H8" s="11">
        <f>7.6-4*H36</f>
        <v>7.5448275999999996</v>
      </c>
      <c r="I8" s="27">
        <f t="shared" si="1"/>
        <v>0.75825517379999996</v>
      </c>
      <c r="J8" s="14">
        <f t="shared" si="3"/>
        <v>9.2607826078124997E-2</v>
      </c>
    </row>
    <row r="9" spans="1:10" x14ac:dyDescent="0.2">
      <c r="A9" s="7" t="s">
        <v>76</v>
      </c>
      <c r="B9" s="1">
        <v>0.10050000000000001</v>
      </c>
      <c r="C9" s="9">
        <v>156.25</v>
      </c>
      <c r="D9" s="10">
        <f>(17.694952*(1/62.2076616)*B4)*(1/1.03334048700736)</f>
        <v>8.8087045785548703</v>
      </c>
      <c r="E9" s="14">
        <f>(-10.2238486744105*(1/63.7604104)*B4)*(1/1.01760846070785)</f>
        <v>-5.0423452451266764</v>
      </c>
      <c r="F9" s="14">
        <f t="shared" si="0"/>
        <v>3.766359333428194</v>
      </c>
      <c r="G9" s="14">
        <f t="shared" si="2"/>
        <v>0.39833561345083901</v>
      </c>
      <c r="H9" s="11">
        <f>4.1-5*H36</f>
        <v>4.0310344999999996</v>
      </c>
      <c r="I9" s="27">
        <f t="shared" si="1"/>
        <v>0.40511896724999996</v>
      </c>
      <c r="J9" s="14">
        <f t="shared" si="3"/>
        <v>0.1052677938046875</v>
      </c>
    </row>
    <row r="10" spans="1:10" x14ac:dyDescent="0.2">
      <c r="B10" s="1" t="s">
        <v>86</v>
      </c>
      <c r="C10" s="9">
        <v>187.5</v>
      </c>
      <c r="D10" s="10">
        <f>(17.201521*(1/62.2076616)*B4)*(1/1.03334048700736)</f>
        <v>8.563070235556884</v>
      </c>
      <c r="E10" s="14">
        <f>(-11.0836362995362*(1/63.7604104)*B4)*(1/1.01760846070785)</f>
        <v>-5.4663877149866202</v>
      </c>
      <c r="F10" s="14">
        <f t="shared" si="0"/>
        <v>3.0966825205702637</v>
      </c>
      <c r="G10" s="14">
        <f t="shared" si="2"/>
        <v>0.49510694221865975</v>
      </c>
      <c r="H10" s="11">
        <f>5.0875-6*H36</f>
        <v>5.0047414000000003</v>
      </c>
      <c r="I10" s="27">
        <f t="shared" si="1"/>
        <v>0.50297651070000005</v>
      </c>
      <c r="J10" s="14">
        <f t="shared" si="3"/>
        <v>0.12098580976406249</v>
      </c>
    </row>
    <row r="11" spans="1:10" x14ac:dyDescent="0.2">
      <c r="A11" s="7" t="s">
        <v>78</v>
      </c>
      <c r="B11" s="14">
        <f>1/B9</f>
        <v>9.9502487562189046</v>
      </c>
      <c r="C11" s="9">
        <v>218.75</v>
      </c>
      <c r="D11" s="10">
        <f>(14.897234*(1/62.2076616)*B4)*(1/1.03334048700736)</f>
        <v>7.4159756603806155</v>
      </c>
      <c r="E11" s="14">
        <f>(-12.0528277990183*(1/63.7604104)*B4)*(1/1.01760846070785)</f>
        <v>-5.9443875665750463</v>
      </c>
      <c r="F11" s="14">
        <f t="shared" si="0"/>
        <v>1.4715880938055692</v>
      </c>
      <c r="G11" s="14">
        <f t="shared" si="2"/>
        <v>0.54109407015008382</v>
      </c>
      <c r="H11" s="11">
        <f>8.8-7*H36</f>
        <v>8.7034483000000016</v>
      </c>
      <c r="I11" s="27">
        <f t="shared" si="1"/>
        <v>0.87469655415000025</v>
      </c>
      <c r="J11" s="14">
        <f t="shared" si="3"/>
        <v>0.14832007708125</v>
      </c>
    </row>
    <row r="12" spans="1:10" x14ac:dyDescent="0.2">
      <c r="B12" s="1" t="s">
        <v>12</v>
      </c>
      <c r="C12" s="9">
        <v>250</v>
      </c>
      <c r="D12" s="10">
        <f>(13.266262*(1/62.2076616)*B4)*(1/1.03334048700736)</f>
        <v>6.6040632842467444</v>
      </c>
      <c r="E12" s="14">
        <f>(-12.3239157511155*(1/63.7604104)*B4)*(1/1.01760846070785)</f>
        <v>-6.0780866352721157</v>
      </c>
      <c r="F12" s="14">
        <f t="shared" si="0"/>
        <v>0.5259766489746287</v>
      </c>
      <c r="G12" s="14">
        <f t="shared" si="2"/>
        <v>0.55753084043054102</v>
      </c>
      <c r="H12" s="11">
        <f>10.025-8*H36</f>
        <v>9.9146552000000003</v>
      </c>
      <c r="I12" s="27">
        <f t="shared" si="1"/>
        <v>0.99642284760000011</v>
      </c>
      <c r="J12" s="14">
        <f t="shared" si="3"/>
        <v>0.17945829106875</v>
      </c>
    </row>
    <row r="13" spans="1:10" x14ac:dyDescent="0.2">
      <c r="B13" s="3" t="s">
        <v>84</v>
      </c>
      <c r="C13" s="9">
        <v>281.25</v>
      </c>
      <c r="D13" s="10">
        <f>(11.957971*(1/62.2076616)*B4)*(1/1.03334048700736)</f>
        <v>5.9527843815527932</v>
      </c>
      <c r="E13" s="14">
        <f>(-12.53958344679*(1/63.7604104)*B4)*(1/1.01760846070785)</f>
        <v>-6.1844527420527831</v>
      </c>
      <c r="F13" s="14">
        <f t="shared" si="0"/>
        <v>-0.23166836049998984</v>
      </c>
      <c r="G13" s="14">
        <f t="shared" si="2"/>
        <v>0.55029120416491639</v>
      </c>
      <c r="H13" s="11">
        <f>7.4625-9*H36</f>
        <v>7.3383621000000003</v>
      </c>
      <c r="I13" s="27">
        <f t="shared" si="1"/>
        <v>0.73750539105000013</v>
      </c>
      <c r="J13" s="14">
        <f t="shared" si="3"/>
        <v>0.2025053345390625</v>
      </c>
    </row>
    <row r="14" spans="1:10" x14ac:dyDescent="0.2">
      <c r="A14" s="7" t="s">
        <v>79</v>
      </c>
      <c r="B14" s="1">
        <v>23.213999999999999</v>
      </c>
      <c r="C14" s="9">
        <v>312.5</v>
      </c>
      <c r="D14" s="10">
        <f>(10.982196*(1/62.2076616)*B4)*(1/1.03334048700736)</f>
        <v>5.4670349028235279</v>
      </c>
      <c r="E14" s="14">
        <f>(-12.5925078649576*(1/63.7604104)*B4)*(1/1.01760846070785)</f>
        <v>-6.2105547704373034</v>
      </c>
      <c r="F14" s="14">
        <f t="shared" si="0"/>
        <v>-0.74351986761377553</v>
      </c>
      <c r="G14" s="14">
        <f t="shared" si="2"/>
        <v>0.52705620830198585</v>
      </c>
      <c r="H14" s="11">
        <f>6.0375-10*H36</f>
        <v>5.8995689999999996</v>
      </c>
      <c r="I14" s="27">
        <f t="shared" si="1"/>
        <v>0.59290668449999995</v>
      </c>
      <c r="J14" s="14">
        <f t="shared" si="3"/>
        <v>0.2210336684296875</v>
      </c>
    </row>
    <row r="15" spans="1:10" x14ac:dyDescent="0.2">
      <c r="B15" s="1"/>
      <c r="C15" s="9">
        <v>343.75</v>
      </c>
      <c r="D15" s="10">
        <f>(10.363607*(1/62.2076616)*B4)*(1/1.03334048700736)</f>
        <v>5.1590957936050525</v>
      </c>
      <c r="E15" s="14">
        <f>(-12.4876431358679*(1/63.7604104)*B4)*(1/1.01760846070785)</f>
        <v>-6.1588360698827458</v>
      </c>
      <c r="F15" s="14">
        <f t="shared" si="0"/>
        <v>-0.99974027627769324</v>
      </c>
      <c r="G15" s="14">
        <f t="shared" si="2"/>
        <v>0.49581432466830794</v>
      </c>
      <c r="H15" s="11">
        <f>7.5625-11*H36</f>
        <v>7.4107759</v>
      </c>
      <c r="I15" s="27">
        <f t="shared" si="1"/>
        <v>0.74478297795000004</v>
      </c>
      <c r="J15" s="14">
        <f t="shared" si="3"/>
        <v>0.24430813649062499</v>
      </c>
    </row>
    <row r="16" spans="1:10" x14ac:dyDescent="0.2">
      <c r="B16" s="1"/>
      <c r="C16" s="9">
        <v>375</v>
      </c>
      <c r="D16" s="10">
        <f>(10.150525*(1/62.2076616)*B4)*(1/1.03334048700736)</f>
        <v>5.0530216777211754</v>
      </c>
      <c r="E16" s="14">
        <f>(-12.2239597015392*(1/63.7604104)*B4)*(1/1.01760846070785)</f>
        <v>-6.0287888681245825</v>
      </c>
      <c r="F16" s="14">
        <f t="shared" si="0"/>
        <v>-0.97576719040340709</v>
      </c>
      <c r="G16" s="14">
        <f t="shared" si="2"/>
        <v>0.46532159996820144</v>
      </c>
      <c r="H16" s="11">
        <f>8.3875-12*H36</f>
        <v>8.2219827999999993</v>
      </c>
      <c r="I16" s="27">
        <f t="shared" si="1"/>
        <v>0.82630927139999999</v>
      </c>
      <c r="J16" s="14">
        <f t="shared" si="3"/>
        <v>0.27013030122187498</v>
      </c>
    </row>
    <row r="17" spans="1:14" x14ac:dyDescent="0.2">
      <c r="B17" s="1" t="s">
        <v>48</v>
      </c>
      <c r="C17" s="9">
        <v>406.25</v>
      </c>
      <c r="D17" s="10">
        <f>(10.12071*(1/62.2076616)*B4)*(1/1.03334048700736)</f>
        <v>5.0381795053880944</v>
      </c>
      <c r="E17" s="14">
        <f>(-11.7637828538703*(1/63.7604104)*B4)*(1/1.01760846070785)</f>
        <v>-5.8018322088805574</v>
      </c>
      <c r="F17" s="14">
        <f t="shared" si="0"/>
        <v>-0.76365270349246295</v>
      </c>
      <c r="G17" s="14">
        <f t="shared" si="2"/>
        <v>0.44145745298406197</v>
      </c>
      <c r="H17" s="11">
        <f>7.125-13*H36</f>
        <v>6.9456897</v>
      </c>
      <c r="I17" s="27">
        <f t="shared" si="1"/>
        <v>0.69804181485000005</v>
      </c>
      <c r="J17" s="14">
        <f t="shared" si="3"/>
        <v>0.2919441079359375</v>
      </c>
    </row>
    <row r="18" spans="1:14" x14ac:dyDescent="0.2">
      <c r="B18" s="1" t="s">
        <v>35</v>
      </c>
      <c r="C18" s="9">
        <v>437.5</v>
      </c>
      <c r="D18" s="10">
        <f>(10.185181*(1/62.2076616)*B4)*(1/1.03334048700736)</f>
        <v>5.0702737429358429</v>
      </c>
      <c r="E18" s="14">
        <f>(-11.3863955103136*(1/63.7604104)*B4)*(1/1.01760846070785)</f>
        <v>-5.6157068721356032</v>
      </c>
      <c r="F18" s="14">
        <f t="shared" si="0"/>
        <v>-0.54543312919976028</v>
      </c>
      <c r="G18" s="14">
        <f t="shared" si="2"/>
        <v>0.42441266769656949</v>
      </c>
      <c r="H18" s="11">
        <f>5.9375-14*H36</f>
        <v>5.7443966</v>
      </c>
      <c r="I18" s="27">
        <f t="shared" si="1"/>
        <v>0.57731185829999998</v>
      </c>
      <c r="J18" s="14">
        <f t="shared" si="3"/>
        <v>0.3099851035078125</v>
      </c>
    </row>
    <row r="19" spans="1:14" x14ac:dyDescent="0.2">
      <c r="B19" s="12">
        <f>60/(C33/1000)</f>
        <v>66.206896551724142</v>
      </c>
      <c r="C19" s="9">
        <v>468.75</v>
      </c>
      <c r="D19" s="10">
        <f>(10.146826*(1/62.2076616)*B4)*(1/1.03334048700736)</f>
        <v>5.0511802826026093</v>
      </c>
      <c r="E19" s="14">
        <f>(-10.9865219090341*(1/63.7604104)*B4)*(1/1.01760846070785)</f>
        <v>-5.4184914382735956</v>
      </c>
      <c r="F19" s="14">
        <f t="shared" si="0"/>
        <v>-0.36731115567098627</v>
      </c>
      <c r="G19" s="14">
        <f t="shared" si="2"/>
        <v>0.41293419408185117</v>
      </c>
      <c r="H19" s="11">
        <f>6.0625-15*H36</f>
        <v>5.8556035</v>
      </c>
      <c r="I19" s="27">
        <f t="shared" si="1"/>
        <v>0.58848815175000002</v>
      </c>
      <c r="J19" s="14">
        <f t="shared" si="3"/>
        <v>0.32837535824999997</v>
      </c>
    </row>
    <row r="20" spans="1:14" x14ac:dyDescent="0.2">
      <c r="B20" s="1" t="s">
        <v>36</v>
      </c>
      <c r="C20" s="9">
        <v>500</v>
      </c>
      <c r="D20" s="10">
        <f>(9.869079*(1/62.2076616)*B4)*(1/1.03334048700736)</f>
        <v>4.9129153542445163</v>
      </c>
      <c r="E20" s="14">
        <f>(-10.6842053489054*(1/63.7604104)*B4)*(1/1.01760846070785)</f>
        <v>-5.269390593960102</v>
      </c>
      <c r="F20" s="14">
        <f t="shared" si="0"/>
        <v>-0.3564752397155857</v>
      </c>
      <c r="G20" s="14">
        <f t="shared" si="2"/>
        <v>0.40179434284073912</v>
      </c>
      <c r="H20" s="11">
        <f>6.1875-16*H36</f>
        <v>5.9668104</v>
      </c>
      <c r="I20" s="27">
        <f t="shared" si="1"/>
        <v>0.59966444520000006</v>
      </c>
      <c r="J20" s="14">
        <f t="shared" si="3"/>
        <v>0.34711487216249998</v>
      </c>
    </row>
    <row r="21" spans="1:14" x14ac:dyDescent="0.2">
      <c r="B21" s="17">
        <f>J33</f>
        <v>0.45358477033593753</v>
      </c>
      <c r="C21" s="9">
        <v>531.25</v>
      </c>
      <c r="D21" s="10">
        <f>(9.52931*(1/62.2076616)*B4)*(1/1.03334048700736)</f>
        <v>4.7437753223330992</v>
      </c>
      <c r="E21" s="14">
        <f>(-10.525941933096*(1/63.7604104)*B4)*(1/1.01760846070785)</f>
        <v>-5.191335958411611</v>
      </c>
      <c r="F21" s="14">
        <f t="shared" si="0"/>
        <v>-0.44756063607851182</v>
      </c>
      <c r="G21" s="14">
        <f t="shared" si="2"/>
        <v>0.38780807296328562</v>
      </c>
      <c r="H21" s="11">
        <f>5.8125-17*H36</f>
        <v>5.5780173</v>
      </c>
      <c r="I21" s="27">
        <f t="shared" si="1"/>
        <v>0.56059073864999998</v>
      </c>
      <c r="J21" s="14">
        <f t="shared" si="3"/>
        <v>0.36463333274531246</v>
      </c>
    </row>
    <row r="22" spans="1:14" x14ac:dyDescent="0.2">
      <c r="B22" s="1" t="s">
        <v>37</v>
      </c>
      <c r="C22" s="9">
        <v>562.5</v>
      </c>
      <c r="D22" s="10">
        <f>(9.230638*(1/62.2076616)*B4)*(1/1.03334048700736)</f>
        <v>4.5950937427568377</v>
      </c>
      <c r="E22" s="14">
        <f>(-10.6118991559119*(1/63.7604104)*B4)*(1/1.01760846070785)</f>
        <v>-5.2337295821391292</v>
      </c>
      <c r="F22" s="14">
        <f t="shared" si="0"/>
        <v>-0.63863583938229151</v>
      </c>
      <c r="G22" s="14">
        <f t="shared" si="2"/>
        <v>0.36785070298258904</v>
      </c>
      <c r="H22" s="11">
        <f>5.05-18*H36</f>
        <v>4.8017241999999998</v>
      </c>
      <c r="I22" s="27">
        <f t="shared" si="1"/>
        <v>0.4825732821</v>
      </c>
      <c r="J22" s="14">
        <f t="shared" si="3"/>
        <v>0.37971374781093747</v>
      </c>
      <c r="M22" t="s">
        <v>18</v>
      </c>
    </row>
    <row r="23" spans="1:14" x14ac:dyDescent="0.2">
      <c r="B23" s="3" t="s">
        <v>17</v>
      </c>
      <c r="C23" s="9">
        <v>593.75</v>
      </c>
      <c r="D23" s="10">
        <f>(8.876203*(1/62.2076616)*B4)*(1/1.03334048700736)</f>
        <v>4.4186528455280625</v>
      </c>
      <c r="E23" s="14">
        <f>(-10.7635880239188*(1/63.7604104)*B4)*(1/1.01760846070785)</f>
        <v>-5.3085416873151035</v>
      </c>
      <c r="F23" s="14">
        <f t="shared" si="0"/>
        <v>-0.88988884178704097</v>
      </c>
      <c r="G23" s="14">
        <f t="shared" si="2"/>
        <v>0.34004167667674401</v>
      </c>
      <c r="H23" s="11">
        <f>4.6125-19*H36</f>
        <v>4.3504310999999998</v>
      </c>
      <c r="I23" s="27">
        <f t="shared" si="1"/>
        <v>0.43721832555000001</v>
      </c>
      <c r="J23" s="14">
        <f t="shared" si="3"/>
        <v>0.393376820484375</v>
      </c>
    </row>
    <row r="24" spans="1:14" x14ac:dyDescent="0.2">
      <c r="A24" s="16" t="s">
        <v>90</v>
      </c>
      <c r="B24" s="14">
        <f>2*B21*(B19/60)*(B19/60)</f>
        <v>1.1045679068347205</v>
      </c>
      <c r="C24" s="9">
        <v>625</v>
      </c>
      <c r="D24" s="10">
        <f>(8.636374*(1/62.2076616)*B4)*(1/1.03334048700736)</f>
        <v>4.2992638350142034</v>
      </c>
      <c r="E24" s="14">
        <f>(-10.9552498263853*(1/63.7604104)*B4)*(1/1.01760846070785)</f>
        <v>-5.4030682212179624</v>
      </c>
      <c r="F24" s="14">
        <f t="shared" si="0"/>
        <v>-1.103804386203759</v>
      </c>
      <c r="G24" s="14">
        <f t="shared" si="2"/>
        <v>0.30554778960787654</v>
      </c>
      <c r="H24" s="11">
        <f>4.3-20*H36</f>
        <v>4.0241379999999998</v>
      </c>
      <c r="I24" s="27">
        <f t="shared" si="1"/>
        <v>0.40442586899999999</v>
      </c>
      <c r="J24" s="14">
        <f t="shared" si="3"/>
        <v>0.40601512889062502</v>
      </c>
      <c r="M24" s="16" t="s">
        <v>39</v>
      </c>
      <c r="N24" s="29">
        <v>8</v>
      </c>
    </row>
    <row r="25" spans="1:14" x14ac:dyDescent="0.2">
      <c r="A25" s="16"/>
      <c r="B25" s="1" t="s">
        <v>19</v>
      </c>
      <c r="C25" s="9">
        <v>656.25</v>
      </c>
      <c r="D25" s="10">
        <f>(8.339724*(1/62.2076616)*B4)*(1/1.03334048700736)</f>
        <v>4.1515888250323565</v>
      </c>
      <c r="E25" s="14">
        <f>(-11.1084840194242*(1/63.7604104)*B4)*(1/1.01760846070785)</f>
        <v>-5.4786424720961495</v>
      </c>
      <c r="F25" s="14">
        <f t="shared" si="0"/>
        <v>-1.327053647063793</v>
      </c>
      <c r="G25" s="14">
        <f t="shared" si="2"/>
        <v>0.26407736313713304</v>
      </c>
      <c r="H25" s="11">
        <f>3.675-21*H36</f>
        <v>3.3853448999999998</v>
      </c>
      <c r="I25" s="27">
        <f t="shared" si="1"/>
        <v>0.34022716245000001</v>
      </c>
      <c r="J25" s="14">
        <f t="shared" si="3"/>
        <v>0.41664722771718754</v>
      </c>
    </row>
    <row r="26" spans="1:14" x14ac:dyDescent="0.2">
      <c r="A26" s="16" t="s">
        <v>91</v>
      </c>
      <c r="B26" s="14">
        <f>B24*6</f>
        <v>6.627407441008323</v>
      </c>
      <c r="C26" s="9">
        <v>687.5</v>
      </c>
      <c r="D26" s="10">
        <f>(8.10654*(1/62.2076616)*B4)*(1/1.03334048700736)</f>
        <v>4.0355077546544464</v>
      </c>
      <c r="E26" s="14">
        <f>(-11.092447814009*(1/63.7604104)*B4)*(1/1.01760846070785)</f>
        <v>-5.470733504866657</v>
      </c>
      <c r="F26" s="14">
        <f t="shared" si="0"/>
        <v>-1.4352257502122105</v>
      </c>
      <c r="G26" s="14">
        <f t="shared" si="2"/>
        <v>0.21922655844300146</v>
      </c>
      <c r="H26" s="11">
        <f>2.9875-22*H36</f>
        <v>2.6840517999999998</v>
      </c>
      <c r="I26" s="27">
        <f t="shared" si="1"/>
        <v>0.26974720590000001</v>
      </c>
      <c r="J26" s="14">
        <f t="shared" si="3"/>
        <v>0.42507682790156254</v>
      </c>
    </row>
    <row r="27" spans="1:14" x14ac:dyDescent="0.2">
      <c r="A27" s="16"/>
      <c r="C27" s="9">
        <v>718.75</v>
      </c>
      <c r="D27" s="10">
        <f>(7.895663*(1/62.2076616)*B4)*(1/1.03334048700736)</f>
        <v>3.9305313073935602</v>
      </c>
      <c r="E27" s="14">
        <f>(-11.0692126071979*(1/63.7604104)*B4)*(1/1.01760846070785)</f>
        <v>-5.4592740302290155</v>
      </c>
      <c r="F27" s="14">
        <f t="shared" si="0"/>
        <v>-1.5287427228354553</v>
      </c>
      <c r="G27" s="14">
        <f t="shared" si="2"/>
        <v>0.17145334835439346</v>
      </c>
      <c r="H27" s="11">
        <f>2.7-23*H36</f>
        <v>2.3827587000000001</v>
      </c>
      <c r="I27" s="27">
        <f t="shared" si="1"/>
        <v>0.23946724935000002</v>
      </c>
      <c r="J27" s="14">
        <f t="shared" si="3"/>
        <v>0.43256017944375003</v>
      </c>
    </row>
    <row r="28" spans="1:14" x14ac:dyDescent="0.2">
      <c r="A28" s="16"/>
      <c r="B28" s="1" t="s">
        <v>20</v>
      </c>
      <c r="C28" s="9">
        <v>750</v>
      </c>
      <c r="D28" s="10">
        <f>(7.744883*(1/62.2076616)*B4)*(1/1.03334048700736)</f>
        <v>3.8554716815548176</v>
      </c>
      <c r="E28" s="14">
        <f>(-10.9730171120153*(1/63.7604104)*B4)*(1/1.01760846070785)</f>
        <v>-5.4118309475716382</v>
      </c>
      <c r="F28" s="14">
        <f t="shared" si="0"/>
        <v>-1.5563592660168206</v>
      </c>
      <c r="G28" s="14">
        <f t="shared" si="2"/>
        <v>0.12281712129136782</v>
      </c>
      <c r="H28" s="11">
        <f>2.3875-24*H36</f>
        <v>2.0564656000000001</v>
      </c>
      <c r="I28" s="27">
        <f t="shared" si="1"/>
        <v>0.20667479280000003</v>
      </c>
      <c r="J28" s="14">
        <f t="shared" si="3"/>
        <v>0.43901876671875001</v>
      </c>
    </row>
    <row r="29" spans="1:14" x14ac:dyDescent="0.2">
      <c r="A29" s="16" t="s">
        <v>92</v>
      </c>
      <c r="B29" s="17">
        <f>H37/B26</f>
        <v>0.72640270867882817</v>
      </c>
      <c r="C29" s="9">
        <v>781.25</v>
      </c>
      <c r="D29" s="10">
        <f>(7.54118*(1/62.2076616)*B4)*(1/1.03334048700736)</f>
        <v>3.7540665153376178</v>
      </c>
      <c r="E29" s="14">
        <f>(-10.7741681648668*(1/63.7604104)*B4)*(1/1.01760846070785)</f>
        <v>-5.3137597539259147</v>
      </c>
      <c r="F29" s="14">
        <f t="shared" si="0"/>
        <v>-1.5596932385882969</v>
      </c>
      <c r="G29" s="14">
        <f t="shared" si="2"/>
        <v>7.4076707585483542E-2</v>
      </c>
      <c r="H29" s="11">
        <f>1.9625-25*H36</f>
        <v>1.6176724999999998</v>
      </c>
      <c r="I29" s="27">
        <f t="shared" si="1"/>
        <v>0.16257608625</v>
      </c>
      <c r="J29" s="14">
        <f t="shared" si="3"/>
        <v>0.44409926941406253</v>
      </c>
    </row>
    <row r="30" spans="1:14" x14ac:dyDescent="0.2">
      <c r="A30" s="16"/>
      <c r="B30" s="1"/>
      <c r="C30" s="9">
        <v>812.5</v>
      </c>
      <c r="D30" s="10">
        <f>(7.369039*(1/62.2076616)*B4)*(1/1.03334048700736)</f>
        <v>3.6683731936006048</v>
      </c>
      <c r="E30" s="14">
        <f>(-10.483864431937*(1/63.7604104)*B4)*(1/1.01760846070785)</f>
        <v>-5.1705835691057187</v>
      </c>
      <c r="F30" s="14">
        <f t="shared" si="0"/>
        <v>-1.5022103755051139</v>
      </c>
      <c r="G30" s="14">
        <f t="shared" si="2"/>
        <v>2.7132633350948732E-2</v>
      </c>
      <c r="H30" s="11">
        <f>1.65-26*H36</f>
        <v>1.2913793999999998</v>
      </c>
      <c r="I30" s="27">
        <f t="shared" si="1"/>
        <v>0.12978362969999999</v>
      </c>
      <c r="J30" s="14">
        <f t="shared" si="3"/>
        <v>0.44815500784218754</v>
      </c>
    </row>
    <row r="31" spans="1:14" x14ac:dyDescent="0.2">
      <c r="A31" s="16"/>
      <c r="B31" s="1" t="s">
        <v>21</v>
      </c>
      <c r="C31" s="9">
        <v>843.75</v>
      </c>
      <c r="D31" s="10">
        <f>(7.298102*(1/62.2076616)*B4)*(1/1.03334048700736)</f>
        <v>3.6330601237098841</v>
      </c>
      <c r="E31" s="14">
        <f>(-10.0695019263933*(1/63.7604104)*B4)*(1/1.01760846070785)</f>
        <v>-4.9662222883273213</v>
      </c>
      <c r="F31" s="14">
        <f t="shared" si="0"/>
        <v>-1.3331621646174372</v>
      </c>
      <c r="G31" s="14">
        <f t="shared" si="2"/>
        <v>-1.4528684293346181E-2</v>
      </c>
      <c r="H31" s="11">
        <f>1.4625-27*H36</f>
        <v>1.0900862999999998</v>
      </c>
      <c r="I31" s="27">
        <f t="shared" si="1"/>
        <v>0.10955367314999999</v>
      </c>
      <c r="J31" s="14">
        <f t="shared" si="3"/>
        <v>0.45157856012812503</v>
      </c>
    </row>
    <row r="32" spans="1:14" x14ac:dyDescent="0.2">
      <c r="A32" s="16" t="s">
        <v>93</v>
      </c>
      <c r="B32" s="13">
        <f>H37/B24</f>
        <v>4.3584162520729688</v>
      </c>
      <c r="C32" s="9">
        <v>875</v>
      </c>
      <c r="D32" s="10">
        <f>(7.269698*(1/62.2076616)*B4)*(1/1.03334048700736)</f>
        <v>3.6189203597337354</v>
      </c>
      <c r="E32" s="14">
        <f>(-9.52797814145801*(1/63.7604104)*B4)*(1/1.01760846070785)</f>
        <v>-4.6991457725211152</v>
      </c>
      <c r="F32" s="14">
        <f t="shared" si="0"/>
        <v>-1.0802254127873798</v>
      </c>
      <c r="G32" s="14">
        <f t="shared" si="2"/>
        <v>-4.82857284429518E-2</v>
      </c>
      <c r="H32" s="11">
        <f>1.025-28*H36</f>
        <v>0.63879319999999984</v>
      </c>
      <c r="I32" s="27">
        <f t="shared" si="1"/>
        <v>6.4198716599999983E-2</v>
      </c>
      <c r="J32" s="14">
        <f t="shared" si="3"/>
        <v>0.45358477002187503</v>
      </c>
    </row>
    <row r="33" spans="1:10" x14ac:dyDescent="0.2">
      <c r="B33" s="1"/>
      <c r="C33" s="9">
        <v>906.25</v>
      </c>
      <c r="D33" s="10">
        <f>(7.164558*(1/62.2076616)*B4)*(1/1.03334048700736)</f>
        <v>3.5665807320597382</v>
      </c>
      <c r="E33" s="14">
        <f>(-8.95224378497031*(1/63.7604104)*B4)*(1/1.01760846070785)</f>
        <v>-4.4151967932919982</v>
      </c>
      <c r="F33" s="14">
        <f>D33+E33</f>
        <v>-0.84861606123225997</v>
      </c>
      <c r="G33" s="14">
        <f t="shared" si="2"/>
        <v>-7.4804980356459924E-2</v>
      </c>
      <c r="H33" s="11">
        <f>0.4-29*H36</f>
        <v>1.0000000000287557E-7</v>
      </c>
      <c r="I33" s="27">
        <f t="shared" si="1"/>
        <v>1.0050000000288994E-8</v>
      </c>
      <c r="J33" s="18">
        <f t="shared" si="3"/>
        <v>0.45358477033593753</v>
      </c>
    </row>
    <row r="34" spans="1:10" x14ac:dyDescent="0.2">
      <c r="B34" s="1" t="s">
        <v>22</v>
      </c>
      <c r="C34" s="2"/>
      <c r="D34" s="2"/>
      <c r="E34" s="2"/>
      <c r="H34" s="2"/>
    </row>
    <row r="35" spans="1:10" ht="19" x14ac:dyDescent="0.25">
      <c r="A35" s="69" t="s">
        <v>82</v>
      </c>
      <c r="B35" s="75">
        <f>B14/B29</f>
        <v>31.95747995243757</v>
      </c>
      <c r="C35" s="21" t="s">
        <v>24</v>
      </c>
      <c r="D35" s="10">
        <f>AVERAGE(D5:D31)</f>
        <v>5.3333333333333588</v>
      </c>
      <c r="E35" s="10">
        <f>AVERAGE(E5:E31)</f>
        <v>-5.3333333333333375</v>
      </c>
      <c r="F35" s="16" t="s">
        <v>46</v>
      </c>
      <c r="G35" s="1">
        <v>0.02</v>
      </c>
      <c r="H35" s="9" t="s">
        <v>49</v>
      </c>
    </row>
    <row r="36" spans="1:10" x14ac:dyDescent="0.2">
      <c r="C36" s="30" t="s">
        <v>27</v>
      </c>
      <c r="D36" s="38">
        <f>D35*6</f>
        <v>32.000000000000156</v>
      </c>
      <c r="E36" s="38">
        <f>E35*6</f>
        <v>-32.000000000000028</v>
      </c>
      <c r="H36" s="39">
        <v>1.3793100000000001E-2</v>
      </c>
    </row>
    <row r="37" spans="1:10" x14ac:dyDescent="0.2">
      <c r="B37" s="23" t="s">
        <v>26</v>
      </c>
      <c r="G37" s="16" t="s">
        <v>50</v>
      </c>
      <c r="H37" s="14">
        <f>AVERAGE(H4:H33)</f>
        <v>4.8141667166666666</v>
      </c>
    </row>
    <row r="38" spans="1:10" x14ac:dyDescent="0.2">
      <c r="B38" s="23" t="s">
        <v>28</v>
      </c>
    </row>
    <row r="39" spans="1:10" x14ac:dyDescent="0.2">
      <c r="D39" s="10"/>
      <c r="E39" s="14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FD210-FF3C-2543-A2A8-61EA3F4136EC}">
  <dimension ref="A2:M42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21.1640625" bestFit="1" customWidth="1"/>
    <col min="5" max="5" width="18.6640625" bestFit="1" customWidth="1"/>
    <col min="7" max="7" width="10.1640625" bestFit="1" customWidth="1"/>
    <col min="8" max="8" width="11" bestFit="1" customWidth="1"/>
    <col min="9" max="9" width="9.6640625" bestFit="1" customWidth="1"/>
    <col min="10" max="10" width="11.5" bestFit="1" customWidth="1"/>
  </cols>
  <sheetData>
    <row r="2" spans="1:10" x14ac:dyDescent="0.2">
      <c r="G2" s="1" t="s">
        <v>0</v>
      </c>
      <c r="H2" s="2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51</v>
      </c>
      <c r="H3" s="5" t="s">
        <v>8</v>
      </c>
      <c r="I3" s="26" t="s">
        <v>30</v>
      </c>
      <c r="J3" s="3" t="s">
        <v>47</v>
      </c>
    </row>
    <row r="4" spans="1:10" ht="19" x14ac:dyDescent="0.25">
      <c r="A4" s="70" t="s">
        <v>83</v>
      </c>
      <c r="B4" s="75">
        <v>41.3</v>
      </c>
      <c r="C4" s="9">
        <v>0</v>
      </c>
      <c r="D4" s="27">
        <f>(9.19521*(1/59.5450191111111)*B4)*(1/0.992603385436258)</f>
        <v>6.4252571366485078</v>
      </c>
      <c r="E4" s="27">
        <f>(-8.183705671249*(1/58.7667945332571)*B4)*(1/1.00372234080282)</f>
        <v>-5.729997861072496</v>
      </c>
      <c r="F4" s="14">
        <f>D4+E4</f>
        <v>0.69525927557601186</v>
      </c>
      <c r="G4" s="14">
        <f>F4*C5/1000-G35</f>
        <v>5.9556528187232165E-3</v>
      </c>
      <c r="H4" s="11">
        <v>0</v>
      </c>
      <c r="I4" s="14">
        <f>H4*$B$9</f>
        <v>0</v>
      </c>
      <c r="J4" s="14">
        <f>I4*C5/1000</f>
        <v>0</v>
      </c>
    </row>
    <row r="5" spans="1:10" x14ac:dyDescent="0.2">
      <c r="B5" s="14" t="s">
        <v>31</v>
      </c>
      <c r="C5" s="9">
        <v>28.169</v>
      </c>
      <c r="D5" s="27">
        <f>(11.14795*(1/59.5450191111111)*B4)*(1/0.992603385436258)</f>
        <v>7.7897563292736907</v>
      </c>
      <c r="E5" s="27">
        <f>(-8.153613679326*(1/58.7667945332571)*B4)*(1/1.00372234080282)</f>
        <v>-5.7089283045316286</v>
      </c>
      <c r="F5" s="14">
        <f t="shared" ref="F5:F33" si="0">D5+E5</f>
        <v>2.0808280247420621</v>
      </c>
      <c r="G5" s="14">
        <f>G4+F5*$C$5/1000+$G$36</f>
        <v>6.7770497447682362E-2</v>
      </c>
      <c r="H5" s="11">
        <f>0.958333333333332-H36</f>
        <v>0.94233333333333202</v>
      </c>
      <c r="I5" s="14">
        <f t="shared" ref="I5:I32" si="1">H5*$B$9</f>
        <v>0.13286899999999979</v>
      </c>
      <c r="J5" s="14">
        <f>J4+I5*$C$5/1000</f>
        <v>3.7427868609999941E-3</v>
      </c>
    </row>
    <row r="6" spans="1:10" x14ac:dyDescent="0.2">
      <c r="B6" s="14">
        <f>B4/6</f>
        <v>6.8833333333333329</v>
      </c>
      <c r="C6" s="9">
        <v>56.338000000000001</v>
      </c>
      <c r="D6" s="27">
        <f>(13.289085*(1/59.5450191111111)*B4)*(1/0.992603385436258)</f>
        <v>9.285898661996697</v>
      </c>
      <c r="E6" s="27">
        <f>(-8.419361833074*(1/58.7667945332571)*B4)*(1/1.00372234080282)</f>
        <v>-5.894997600487577</v>
      </c>
      <c r="F6" s="14">
        <f t="shared" si="0"/>
        <v>3.39090106150912</v>
      </c>
      <c r="G6" s="14">
        <f t="shared" ref="G6:G32" si="2">G5+F6*$C$5/1000+$G$36</f>
        <v>0.16648878944933279</v>
      </c>
      <c r="H6" s="11">
        <f>3.80555555555555-2*H36</f>
        <v>3.77355555555555</v>
      </c>
      <c r="I6" s="14">
        <f t="shared" si="1"/>
        <v>0.53207133333333245</v>
      </c>
      <c r="J6" s="14">
        <f t="shared" ref="J6:J33" si="3">J5+I6*$C$5/1000</f>
        <v>1.8730704249666635E-2</v>
      </c>
    </row>
    <row r="7" spans="1:10" x14ac:dyDescent="0.2">
      <c r="B7" s="18"/>
      <c r="C7" s="9">
        <v>84.507000000000005</v>
      </c>
      <c r="D7" s="27">
        <f>(14.626637*(1/59.5450191111111)*B4)*(1/0.992603385436258)</f>
        <v>10.220528271721596</v>
      </c>
      <c r="E7" s="27">
        <f>(-8.997490347561*(1/58.7667945332571)*B4)*(1/1.00372234080282)</f>
        <v>-6.2997867369143208</v>
      </c>
      <c r="F7" s="14">
        <f t="shared" si="0"/>
        <v>3.9207415348072754</v>
      </c>
      <c r="G7" s="14">
        <f t="shared" si="2"/>
        <v>0.2801321577433189</v>
      </c>
      <c r="H7" s="11">
        <f>8.76388888888889-3*H36</f>
        <v>8.7158888888888892</v>
      </c>
      <c r="I7" s="14">
        <f t="shared" si="1"/>
        <v>1.2289403333333333</v>
      </c>
      <c r="J7" s="14">
        <f t="shared" si="3"/>
        <v>5.3348724499333297E-2</v>
      </c>
    </row>
    <row r="8" spans="1:10" x14ac:dyDescent="0.2">
      <c r="B8" s="3" t="s">
        <v>32</v>
      </c>
      <c r="C8" s="9">
        <v>112.676</v>
      </c>
      <c r="D8" s="27">
        <f>(14.882036*(1/59.5450191111111)*B4)*(1/0.992603385436258)</f>
        <v>10.398991215737325</v>
      </c>
      <c r="E8" s="27">
        <f>(-9.511467436011*(1/58.7667945332571)*B4)*(1/1.00372234080282)</f>
        <v>-6.6596588701223194</v>
      </c>
      <c r="F8" s="14">
        <f t="shared" si="0"/>
        <v>3.739332345615006</v>
      </c>
      <c r="G8" s="14">
        <f t="shared" si="2"/>
        <v>0.38866541058694798</v>
      </c>
      <c r="H8" s="11">
        <f>9.53472222222222-4*H36</f>
        <v>9.4707222222222196</v>
      </c>
      <c r="I8" s="14">
        <f t="shared" si="1"/>
        <v>1.3353718333333329</v>
      </c>
      <c r="J8" s="14">
        <f t="shared" si="3"/>
        <v>9.096481367249995E-2</v>
      </c>
    </row>
    <row r="9" spans="1:10" x14ac:dyDescent="0.2">
      <c r="A9" s="7" t="s">
        <v>76</v>
      </c>
      <c r="B9" s="1">
        <v>0.14099999999999999</v>
      </c>
      <c r="C9" s="9">
        <v>140.845</v>
      </c>
      <c r="D9" s="27">
        <f>(14.270449*(1/59.5450191111111)*B4)*(1/0.992603385436258)</f>
        <v>9.9716378723736128</v>
      </c>
      <c r="E9" s="27">
        <f>(-9.966313826996*(1/58.7667945332571)*B4)*(1/1.00372234080282)</f>
        <v>-6.9781293714035355</v>
      </c>
      <c r="F9" s="14">
        <f t="shared" si="0"/>
        <v>2.9935085009700773</v>
      </c>
      <c r="G9" s="14">
        <f t="shared" si="2"/>
        <v>0.47618955155077408</v>
      </c>
      <c r="H9" s="11">
        <f>6.09027777777778-5*H36</f>
        <v>6.0102777777777803</v>
      </c>
      <c r="I9" s="14">
        <f t="shared" si="1"/>
        <v>0.84744916666666692</v>
      </c>
      <c r="J9" s="14">
        <f t="shared" si="3"/>
        <v>0.11483660924833329</v>
      </c>
    </row>
    <row r="10" spans="1:10" x14ac:dyDescent="0.2">
      <c r="B10" s="1" t="s">
        <v>86</v>
      </c>
      <c r="C10" s="9">
        <v>169.01400000000001</v>
      </c>
      <c r="D10" s="27">
        <f>(13.136354*(1/59.5450191111111)*B4)*(1/0.992603385436258)</f>
        <v>9.1791761458456289</v>
      </c>
      <c r="E10" s="27">
        <f>(-10.293133544072*(1/58.7667945332571)*B4)*(1/1.00372234080282)</f>
        <v>-7.2069592383403291</v>
      </c>
      <c r="F10" s="14">
        <f t="shared" si="0"/>
        <v>1.9722169075052998</v>
      </c>
      <c r="G10" s="14">
        <f t="shared" si="2"/>
        <v>0.53494492961829088</v>
      </c>
      <c r="H10" s="11">
        <f>3.86111111111111-6*H36</f>
        <v>3.7651111111111097</v>
      </c>
      <c r="I10" s="14">
        <f t="shared" si="1"/>
        <v>0.53088066666666645</v>
      </c>
      <c r="J10" s="14">
        <f t="shared" si="3"/>
        <v>0.12979098674766662</v>
      </c>
    </row>
    <row r="11" spans="1:10" x14ac:dyDescent="0.2">
      <c r="A11" s="7" t="s">
        <v>78</v>
      </c>
      <c r="B11" s="14">
        <f>1/B9</f>
        <v>7.0921985815602842</v>
      </c>
      <c r="C11" s="9">
        <v>197.18299999999999</v>
      </c>
      <c r="D11" s="27">
        <f>(12.130631*(1/59.5450191111111)*B4)*(1/0.992603385436258)</f>
        <v>8.4764158083175509</v>
      </c>
      <c r="E11" s="27">
        <f>(-10.481079451724*(1/58.7667945332571)*B4)*(1/1.00372234080282)</f>
        <v>-7.3385536152772657</v>
      </c>
      <c r="F11" s="14">
        <f t="shared" si="0"/>
        <v>1.1378621930402852</v>
      </c>
      <c r="G11" s="14">
        <f t="shared" si="2"/>
        <v>0.57019736973404267</v>
      </c>
      <c r="H11" s="11">
        <f>5.22916666666666-7*H36</f>
        <v>5.1171666666666598</v>
      </c>
      <c r="I11" s="14">
        <f t="shared" si="1"/>
        <v>0.72152049999999901</v>
      </c>
      <c r="J11" s="14">
        <f t="shared" si="3"/>
        <v>0.15011549771216659</v>
      </c>
    </row>
    <row r="12" spans="1:10" x14ac:dyDescent="0.2">
      <c r="B12" s="1" t="s">
        <v>12</v>
      </c>
      <c r="C12" s="9">
        <v>225.352</v>
      </c>
      <c r="D12" s="27">
        <f>(11.192897*(1/59.5450191111111)*B4)*(1/0.992603385436258)</f>
        <v>7.8211635546139435</v>
      </c>
      <c r="E12" s="27">
        <f>(-10.598738968722*(1/58.7667945332571)*B4)*(1/1.00372234080282)</f>
        <v>-7.4209354613280007</v>
      </c>
      <c r="F12" s="14">
        <f t="shared" si="0"/>
        <v>0.40022809328594278</v>
      </c>
      <c r="G12" s="14">
        <f t="shared" si="2"/>
        <v>0.58467139489381437</v>
      </c>
      <c r="H12" s="11">
        <f>8.125-8*H36</f>
        <v>7.9969999999999999</v>
      </c>
      <c r="I12" s="14">
        <f t="shared" si="1"/>
        <v>1.1275769999999998</v>
      </c>
      <c r="J12" s="14">
        <f t="shared" si="3"/>
        <v>0.18187821422516659</v>
      </c>
    </row>
    <row r="13" spans="1:10" x14ac:dyDescent="0.2">
      <c r="B13" s="3" t="s">
        <v>77</v>
      </c>
      <c r="C13" s="9">
        <v>253.52099999999999</v>
      </c>
      <c r="D13" s="27">
        <f>(10.167374*(1/59.5450191111111)*B4)*(1/0.992603385436258)</f>
        <v>7.104567742822022</v>
      </c>
      <c r="E13" s="27">
        <f>(-10.727721790485*(1/58.7667945332571)*B4)*(1/1.00372234080282)</f>
        <v>-7.51124556319464</v>
      </c>
      <c r="F13" s="14">
        <f t="shared" si="0"/>
        <v>-0.40667782037261802</v>
      </c>
      <c r="G13" s="14">
        <f t="shared" si="2"/>
        <v>0.57641568737173809</v>
      </c>
      <c r="H13" s="11">
        <f>9.81944444444444-9*H36</f>
        <v>9.6754444444444392</v>
      </c>
      <c r="I13" s="14">
        <f t="shared" si="1"/>
        <v>1.3642376666666658</v>
      </c>
      <c r="J13" s="14">
        <f t="shared" si="3"/>
        <v>0.22030742505749989</v>
      </c>
    </row>
    <row r="14" spans="1:10" x14ac:dyDescent="0.2">
      <c r="A14" s="7" t="s">
        <v>79</v>
      </c>
      <c r="B14" s="1">
        <v>19.27</v>
      </c>
      <c r="C14" s="9">
        <v>281.69</v>
      </c>
      <c r="D14" s="27">
        <f>(9.514635*(1/59.5450191111111)*B4)*(1/0.992603385436258)</f>
        <v>6.6484589733519615</v>
      </c>
      <c r="E14" s="27">
        <f>(-10.754806297425*(1/58.7667945332571)*B4)*(1/1.00372234080282)</f>
        <v>-7.5302093643219994</v>
      </c>
      <c r="F14" s="14">
        <f t="shared" si="0"/>
        <v>-0.88175039097003793</v>
      </c>
      <c r="G14" s="14">
        <f t="shared" si="2"/>
        <v>0.55477766060850309</v>
      </c>
      <c r="H14" s="11">
        <f>8.11805555555555-10*H36</f>
        <v>7.9580555555555499</v>
      </c>
      <c r="I14" s="14">
        <f t="shared" si="1"/>
        <v>1.1220858333333323</v>
      </c>
      <c r="J14" s="14">
        <f t="shared" si="3"/>
        <v>0.25191546089666655</v>
      </c>
    </row>
    <row r="15" spans="1:10" x14ac:dyDescent="0.2">
      <c r="B15" s="1"/>
      <c r="C15" s="9">
        <v>309.85899999999998</v>
      </c>
      <c r="D15" s="27">
        <f>(9.229126*(1/59.5450191111111)*B4)*(1/0.992603385436258)</f>
        <v>6.4489563257966163</v>
      </c>
      <c r="E15" s="27">
        <f>(-10.678611598717*(1/58.7667945332571)*B4)*(1/1.00372234080282)</f>
        <v>-7.4768600042447222</v>
      </c>
      <c r="F15" s="14">
        <f t="shared" si="0"/>
        <v>-1.0279036784481059</v>
      </c>
      <c r="G15" s="14">
        <f t="shared" si="2"/>
        <v>0.52902264189029835</v>
      </c>
      <c r="H15" s="11">
        <f>5.44444444444444-11*H36</f>
        <v>5.26844444444444</v>
      </c>
      <c r="I15" s="14">
        <f t="shared" si="1"/>
        <v>0.74285066666666599</v>
      </c>
      <c r="J15" s="14">
        <f t="shared" si="3"/>
        <v>0.27284082132599985</v>
      </c>
    </row>
    <row r="16" spans="1:10" x14ac:dyDescent="0.2">
      <c r="B16" s="1"/>
      <c r="C16" s="9">
        <v>338.02800000000002</v>
      </c>
      <c r="D16" s="27">
        <f>(9.173571*(1/59.5450191111111)*B4)*(1/0.992603385436258)</f>
        <v>6.4101366403053106</v>
      </c>
      <c r="E16" s="27">
        <f>(-10.538191191569*(1/58.7667945332571)*B4)*(1/1.00372234080282)</f>
        <v>-7.37854163052367</v>
      </c>
      <c r="F16" s="14">
        <f t="shared" si="0"/>
        <v>-0.96840499021835935</v>
      </c>
      <c r="G16" s="14">
        <f t="shared" si="2"/>
        <v>0.50494364172083739</v>
      </c>
      <c r="H16" s="11">
        <f>5.73611111111111-12*H36</f>
        <v>5.5441111111111097</v>
      </c>
      <c r="I16" s="14">
        <f t="shared" si="1"/>
        <v>0.78171966666666637</v>
      </c>
      <c r="J16" s="14">
        <f t="shared" si="3"/>
        <v>0.29486108261633315</v>
      </c>
    </row>
    <row r="17" spans="1:13" x14ac:dyDescent="0.2">
      <c r="B17" s="1" t="s">
        <v>48</v>
      </c>
      <c r="C17" s="9">
        <v>366.197</v>
      </c>
      <c r="D17" s="27">
        <f>(9.243056*(1/59.5450191111111)*B4)*(1/0.992603385436258)</f>
        <v>6.4586900710741579</v>
      </c>
      <c r="E17" s="27">
        <f>(-10.32285412398*(1/58.7667945332571)*B4)*(1/1.00372234080282)</f>
        <v>-7.2277687427560329</v>
      </c>
      <c r="F17" s="14">
        <f t="shared" si="0"/>
        <v>-0.76907867168187494</v>
      </c>
      <c r="G17" s="14">
        <f t="shared" si="2"/>
        <v>0.48647946461823066</v>
      </c>
      <c r="H17" s="11">
        <f>7.81944444444444-13*H36</f>
        <v>7.61144444444444</v>
      </c>
      <c r="I17" s="14">
        <f t="shared" si="1"/>
        <v>1.0732136666666658</v>
      </c>
      <c r="J17" s="14">
        <f t="shared" si="3"/>
        <v>0.32509243839266644</v>
      </c>
    </row>
    <row r="18" spans="1:13" x14ac:dyDescent="0.2">
      <c r="B18" s="1" t="s">
        <v>35</v>
      </c>
      <c r="C18" s="9">
        <v>394.36599999999999</v>
      </c>
      <c r="D18" s="27">
        <f>(9.289534*(1/59.5450191111111)*B4)*(1/0.992603385436258)</f>
        <v>6.4911671000052156</v>
      </c>
      <c r="E18" s="27">
        <f>(-10.149949450597*(1/58.7667945332571)*B4)*(1/1.00372234080282)</f>
        <v>-7.1067058100879246</v>
      </c>
      <c r="F18" s="14">
        <f t="shared" si="0"/>
        <v>-0.615538710082709</v>
      </c>
      <c r="G18" s="14">
        <f t="shared" si="2"/>
        <v>0.47234035469391084</v>
      </c>
      <c r="H18" s="11">
        <f>8.09722222222222-14*H36</f>
        <v>7.8732222222222195</v>
      </c>
      <c r="I18" s="14">
        <f t="shared" si="1"/>
        <v>1.1101243333333328</v>
      </c>
      <c r="J18" s="14">
        <f t="shared" si="3"/>
        <v>0.3563635307383331</v>
      </c>
    </row>
    <row r="19" spans="1:13" x14ac:dyDescent="0.2">
      <c r="B19" s="12">
        <f>60/(C33/1000)</f>
        <v>73.448312586225256</v>
      </c>
      <c r="C19" s="9">
        <v>422.53500000000003</v>
      </c>
      <c r="D19" s="27">
        <f>(9.225102*(1/59.5450191111111)*B4)*(1/0.992603385436258)</f>
        <v>6.4461445102189527</v>
      </c>
      <c r="E19" s="27">
        <f>(-9.974705833858*(1/58.7667945332571)*B4)*(1/1.00372234080282)</f>
        <v>-6.9840052158316039</v>
      </c>
      <c r="F19" s="14">
        <f t="shared" si="0"/>
        <v>-0.5378607056126512</v>
      </c>
      <c r="G19" s="14">
        <f t="shared" si="2"/>
        <v>0.46038935647750806</v>
      </c>
      <c r="H19" s="11">
        <f>6.36111111111111-15*H36</f>
        <v>6.1211111111111096</v>
      </c>
      <c r="I19" s="14">
        <f t="shared" si="1"/>
        <v>0.86307666666666638</v>
      </c>
      <c r="J19" s="14">
        <f t="shared" si="3"/>
        <v>0.38067553736166643</v>
      </c>
    </row>
    <row r="20" spans="1:13" x14ac:dyDescent="0.2">
      <c r="B20" s="3" t="s">
        <v>52</v>
      </c>
      <c r="C20" s="9">
        <v>450.70400000000001</v>
      </c>
      <c r="D20" s="27">
        <f>(9.056542*(1/59.5450191111111)*B4)*(1/0.992603385436258)</f>
        <v>6.3283613010314017</v>
      </c>
      <c r="E20" s="27">
        <f>(-9.794228164723*(1/58.7667945332571)*B4)*(1/1.00372234080282)</f>
        <v>-6.8576398870114295</v>
      </c>
      <c r="F20" s="14">
        <f t="shared" si="0"/>
        <v>-0.52927858598002775</v>
      </c>
      <c r="G20" s="14">
        <f t="shared" si="2"/>
        <v>0.44868010798903663</v>
      </c>
      <c r="H20" s="11">
        <f>5.24305555555555-16*H36</f>
        <v>4.9870555555555498</v>
      </c>
      <c r="I20" s="14">
        <f t="shared" si="1"/>
        <v>0.70317483333333242</v>
      </c>
      <c r="J20" s="14">
        <f t="shared" si="3"/>
        <v>0.40048326924183308</v>
      </c>
    </row>
    <row r="21" spans="1:13" x14ac:dyDescent="0.2">
      <c r="B21" s="17">
        <f>J33</f>
        <v>0.54114129046208292</v>
      </c>
      <c r="C21" s="9">
        <v>478.87299999999999</v>
      </c>
      <c r="D21" s="27">
        <f>(8.829143*(1/59.5450191111111)*B4)*(1/0.992603385436258)</f>
        <v>6.1694636741564599</v>
      </c>
      <c r="E21" s="27">
        <f>(-9.679829454749*(1/58.7667945332571)*B4)*(1/1.00372234080282)</f>
        <v>-6.7775411652595725</v>
      </c>
      <c r="F21" s="14">
        <f t="shared" si="0"/>
        <v>-0.6080774911031126</v>
      </c>
      <c r="G21" s="14">
        <f t="shared" si="2"/>
        <v>0.434751173142153</v>
      </c>
      <c r="H21" s="11">
        <f>5.17361111111111-17*H36</f>
        <v>4.9016111111111096</v>
      </c>
      <c r="I21" s="14">
        <f t="shared" si="1"/>
        <v>0.6911271666666664</v>
      </c>
      <c r="J21" s="14">
        <f t="shared" si="3"/>
        <v>0.41995163039966643</v>
      </c>
    </row>
    <row r="22" spans="1:13" x14ac:dyDescent="0.2">
      <c r="B22" s="1" t="s">
        <v>37</v>
      </c>
      <c r="C22" s="9">
        <v>507.04199999999997</v>
      </c>
      <c r="D22" s="27">
        <f>(8.590439*(1/59.5450191111111)*B4)*(1/0.992603385436258)</f>
        <v>6.0026665504859231</v>
      </c>
      <c r="E22" s="27">
        <f>(-9.656320026538*(1/58.7667945332571)*B4)*(1/1.00372234080282)</f>
        <v>-6.7610805325369991</v>
      </c>
      <c r="F22" s="14">
        <f t="shared" si="0"/>
        <v>-0.75841398205107602</v>
      </c>
      <c r="G22" s="14">
        <f t="shared" si="2"/>
        <v>0.41658740968175623</v>
      </c>
      <c r="H22" s="11">
        <f>5.45138888888889-18*H36</f>
        <v>5.1633888888888899</v>
      </c>
      <c r="I22" s="14">
        <f t="shared" si="1"/>
        <v>0.72803783333333338</v>
      </c>
      <c r="J22" s="14">
        <f t="shared" si="3"/>
        <v>0.44045972812683309</v>
      </c>
    </row>
    <row r="23" spans="1:13" x14ac:dyDescent="0.2">
      <c r="B23" s="3" t="s">
        <v>17</v>
      </c>
      <c r="C23" s="9">
        <v>535.21100000000001</v>
      </c>
      <c r="D23" s="27">
        <f>(8.334419*(1/59.5450191111111)*B4)*(1/0.992603385436258)</f>
        <v>5.8237696756864628</v>
      </c>
      <c r="E23" s="27">
        <f>(-9.725473134377*(1/58.7667945332571)*B4)*(1/1.00372234080282)</f>
        <v>-6.8094995710412904</v>
      </c>
      <c r="F23" s="14">
        <f t="shared" si="0"/>
        <v>-0.98572989535482769</v>
      </c>
      <c r="G23" s="14">
        <f t="shared" si="2"/>
        <v>0.39202038425950608</v>
      </c>
      <c r="H23" s="11">
        <f>5.20138888888889-19*H36</f>
        <v>4.8973888888888899</v>
      </c>
      <c r="I23" s="14">
        <f t="shared" si="1"/>
        <v>0.69053183333333346</v>
      </c>
      <c r="J23" s="14">
        <f t="shared" si="3"/>
        <v>0.45991131933999974</v>
      </c>
    </row>
    <row r="24" spans="1:13" x14ac:dyDescent="0.2">
      <c r="A24" s="16" t="s">
        <v>90</v>
      </c>
      <c r="B24" s="14">
        <f>2*B21*(B19/60)*(B19/60)</f>
        <v>1.621816868676963</v>
      </c>
      <c r="C24" s="9">
        <v>563.38</v>
      </c>
      <c r="D24" s="27">
        <f>(8.068983*(1/59.5450191111111)*B4)*(1/0.992603385436258)</f>
        <v>5.6382932642370847</v>
      </c>
      <c r="E24" s="27">
        <f>(-9.789375047727*(1/58.7667945332571)*B4)*(1/1.00372234080282)</f>
        <v>-6.8542418725759529</v>
      </c>
      <c r="F24" s="14">
        <f t="shared" si="0"/>
        <v>-1.2159486083388682</v>
      </c>
      <c r="G24" s="14">
        <f t="shared" si="2"/>
        <v>0.36096832791120848</v>
      </c>
      <c r="H24" s="11">
        <f>4.56944444444444-20*H36</f>
        <v>4.2494444444444399</v>
      </c>
      <c r="I24" s="14">
        <f t="shared" si="1"/>
        <v>0.59917166666666599</v>
      </c>
      <c r="J24" s="14">
        <f t="shared" si="3"/>
        <v>0.47678938601833304</v>
      </c>
    </row>
    <row r="25" spans="1:13" x14ac:dyDescent="0.2">
      <c r="A25" s="16"/>
      <c r="B25" s="1" t="s">
        <v>19</v>
      </c>
      <c r="C25" s="9">
        <v>591.54899999999998</v>
      </c>
      <c r="D25" s="27">
        <f>(7.840488*(1/59.5450191111111)*B4)*(1/0.992603385436258)</f>
        <v>5.4786297949483469</v>
      </c>
      <c r="E25" s="27">
        <f>(-9.824853466206*(1/58.7667945332571)*B4)*(1/1.00372234080282)</f>
        <v>-6.8790828517320204</v>
      </c>
      <c r="F25" s="14">
        <f t="shared" si="0"/>
        <v>-1.4004530567836735</v>
      </c>
      <c r="G25" s="14">
        <f t="shared" si="2"/>
        <v>0.32471896575466913</v>
      </c>
      <c r="H25" s="11">
        <f>3.72222222222222-21*H36</f>
        <v>3.3862222222222202</v>
      </c>
      <c r="I25" s="14">
        <f t="shared" si="1"/>
        <v>0.47745733333333301</v>
      </c>
      <c r="J25" s="14">
        <f t="shared" si="3"/>
        <v>0.49023888164099971</v>
      </c>
    </row>
    <row r="26" spans="1:13" x14ac:dyDescent="0.2">
      <c r="A26" s="16" t="s">
        <v>91</v>
      </c>
      <c r="B26" s="14">
        <f>B24*6</f>
        <v>9.7309012120617773</v>
      </c>
      <c r="C26" s="9">
        <v>619.71799999999996</v>
      </c>
      <c r="D26" s="27">
        <f>(7.668436*(1/59.5450191111111)*B4)*(1/0.992603385436258)</f>
        <v>5.3584065112088082</v>
      </c>
      <c r="E26" s="27">
        <f>(-9.771465369896*(1/58.7667945332571)*B4)*(1/1.00372234080282)</f>
        <v>-6.841702025740469</v>
      </c>
      <c r="F26" s="14">
        <f t="shared" si="0"/>
        <v>-1.4832955145316609</v>
      </c>
      <c r="G26" s="14">
        <f t="shared" si="2"/>
        <v>0.28613601440582676</v>
      </c>
      <c r="H26" s="11">
        <f>3.33333333333333-22*H36</f>
        <v>2.9813333333333301</v>
      </c>
      <c r="I26" s="14">
        <f t="shared" si="1"/>
        <v>0.42036799999999952</v>
      </c>
      <c r="J26" s="14">
        <f t="shared" si="3"/>
        <v>0.50208022783299966</v>
      </c>
      <c r="M26" t="s">
        <v>18</v>
      </c>
    </row>
    <row r="27" spans="1:13" x14ac:dyDescent="0.2">
      <c r="A27" s="16"/>
      <c r="C27" s="9">
        <v>647.88699999999994</v>
      </c>
      <c r="D27" s="27">
        <f>(7.549141*(1/59.5450191111111)*B4)*(1/0.992603385436258)</f>
        <v>5.2750477787691468</v>
      </c>
      <c r="E27" s="27">
        <f>(-9.762513387996*(1/58.7667945332571)*B4)*(1/1.00372234080282)</f>
        <v>-6.8354341027236911</v>
      </c>
      <c r="F27" s="14">
        <f t="shared" si="0"/>
        <v>-1.5603863239545444</v>
      </c>
      <c r="G27" s="14">
        <f t="shared" si="2"/>
        <v>0.24538149204635121</v>
      </c>
      <c r="H27" s="11">
        <f>2.97222222222222-23*H36</f>
        <v>2.6042222222222202</v>
      </c>
      <c r="I27" s="14">
        <f t="shared" si="1"/>
        <v>0.36719533333333304</v>
      </c>
      <c r="J27" s="14">
        <f t="shared" si="3"/>
        <v>0.51242375317766631</v>
      </c>
    </row>
    <row r="28" spans="1:13" x14ac:dyDescent="0.2">
      <c r="A28" s="16"/>
      <c r="B28" s="1" t="s">
        <v>20</v>
      </c>
      <c r="C28" s="9">
        <v>676.05600000000004</v>
      </c>
      <c r="D28" s="27">
        <f>(7.539438*(1/59.5450191111111)*B4)*(1/0.992603385436258)</f>
        <v>5.268267697618537</v>
      </c>
      <c r="E28" s="27">
        <f>(-9.705561641019*(1/58.7667945332571)*B4)*(1/1.00372234080282)</f>
        <v>-6.7955581099312061</v>
      </c>
      <c r="F28" s="14">
        <f t="shared" si="0"/>
        <v>-1.5272904123126692</v>
      </c>
      <c r="G28" s="14">
        <f t="shared" si="2"/>
        <v>0.20555924842191564</v>
      </c>
      <c r="H28" s="11">
        <f>2.50694444444444-24*H36</f>
        <v>2.1229444444444403</v>
      </c>
      <c r="I28" s="14">
        <f t="shared" si="1"/>
        <v>0.29933516666666604</v>
      </c>
      <c r="J28" s="14">
        <f t="shared" si="3"/>
        <v>0.52085572548749959</v>
      </c>
    </row>
    <row r="29" spans="1:13" x14ac:dyDescent="0.2">
      <c r="A29" s="16" t="s">
        <v>92</v>
      </c>
      <c r="B29" s="17">
        <f>H37/B26</f>
        <v>0.46670860914105605</v>
      </c>
      <c r="C29" s="9">
        <v>704.22500000000002</v>
      </c>
      <c r="D29" s="27">
        <f>(7.431342*(1/59.5450191111111)*B4)*(1/0.992603385436258)</f>
        <v>5.1927343932738665</v>
      </c>
      <c r="E29" s="27">
        <f>(-9.600952970825*(1/58.7667945332571)*B4)*(1/1.00372234080282)</f>
        <v>-6.7223140954785476</v>
      </c>
      <c r="F29" s="14">
        <f t="shared" si="0"/>
        <v>-1.5295797022046811</v>
      </c>
      <c r="G29" s="14">
        <f t="shared" si="2"/>
        <v>0.16567251779051198</v>
      </c>
      <c r="H29" s="11">
        <f>2.20138888888889-25*H36</f>
        <v>1.8013888888888903</v>
      </c>
      <c r="I29" s="14">
        <f t="shared" si="1"/>
        <v>0.25399583333333348</v>
      </c>
      <c r="J29" s="14">
        <f t="shared" si="3"/>
        <v>0.52801053411666621</v>
      </c>
    </row>
    <row r="30" spans="1:13" x14ac:dyDescent="0.2">
      <c r="A30" s="16"/>
      <c r="B30" s="1"/>
      <c r="C30" s="9">
        <v>732.39400000000001</v>
      </c>
      <c r="D30" s="27">
        <f>(7.330568*(1/59.5450191111111)*B4)*(1/0.992603385436258)</f>
        <v>5.1223174193615133</v>
      </c>
      <c r="E30" s="27">
        <f>(-9.388257690235*(1/58.7667945332571)*B4)*(1/1.00372234080282)</f>
        <v>-6.5733909118011811</v>
      </c>
      <c r="F30" s="14">
        <f t="shared" si="0"/>
        <v>-1.4510734924396678</v>
      </c>
      <c r="G30" s="14">
        <f t="shared" si="2"/>
        <v>0.12799722858197898</v>
      </c>
      <c r="H30" s="11">
        <f>1.92361111111111-26*H36</f>
        <v>1.5076111111111099</v>
      </c>
      <c r="I30" s="14">
        <f t="shared" si="1"/>
        <v>0.21257316666666648</v>
      </c>
      <c r="J30" s="14">
        <f t="shared" si="3"/>
        <v>0.53399850764849954</v>
      </c>
    </row>
    <row r="31" spans="1:13" x14ac:dyDescent="0.2">
      <c r="A31" s="16"/>
      <c r="B31" s="1" t="s">
        <v>21</v>
      </c>
      <c r="C31" s="9">
        <v>760.56299999999999</v>
      </c>
      <c r="D31" s="27">
        <f>(7.213268*(1/59.5450191111111)*B4)*(1/0.992603385436258)</f>
        <v>5.0403527157681349</v>
      </c>
      <c r="E31" s="27">
        <f>(-9.168080838389*(1/58.7667945332571)*B4)*(1/1.00372234080282)</f>
        <v>-6.4192293448025595</v>
      </c>
      <c r="F31" s="14">
        <f t="shared" si="0"/>
        <v>-1.3788766290344245</v>
      </c>
      <c r="G31" s="14">
        <f t="shared" si="2"/>
        <v>9.2355652818708264E-2</v>
      </c>
      <c r="H31" s="11">
        <f>1.65277777777778-27*H36</f>
        <v>1.22077777777778</v>
      </c>
      <c r="I31" s="14">
        <f t="shared" si="1"/>
        <v>0.17212966666666696</v>
      </c>
      <c r="J31" s="14">
        <f t="shared" si="3"/>
        <v>0.53884722822883291</v>
      </c>
    </row>
    <row r="32" spans="1:13" x14ac:dyDescent="0.2">
      <c r="A32" s="16" t="s">
        <v>93</v>
      </c>
      <c r="B32" s="13">
        <f>H37/B24</f>
        <v>2.8002516548463361</v>
      </c>
      <c r="C32" s="9">
        <v>788.73199999999997</v>
      </c>
      <c r="D32" s="27">
        <f>(7.275453*(1/59.5450191111111)*B4)*(1/0.992603385436258)</f>
        <v>5.0838051888538489</v>
      </c>
      <c r="E32" s="27">
        <f>(-8.850502614117*(1/58.7667945332571)*B4)*(1/1.00372234080282)</f>
        <v>-6.1968701081801072</v>
      </c>
      <c r="F32" s="14">
        <f t="shared" si="0"/>
        <v>-1.1130649193262583</v>
      </c>
      <c r="G32" s="13">
        <f t="shared" si="2"/>
        <v>6.4201727106206891E-2</v>
      </c>
      <c r="H32" s="11">
        <f>1-28*H36</f>
        <v>0.55200000000000005</v>
      </c>
      <c r="I32" s="14">
        <f t="shared" si="1"/>
        <v>7.7831999999999998E-2</v>
      </c>
      <c r="J32" s="14">
        <f t="shared" si="3"/>
        <v>0.54103967783683293</v>
      </c>
    </row>
    <row r="33" spans="1:10" x14ac:dyDescent="0.2">
      <c r="B33" s="1"/>
      <c r="C33" s="9">
        <v>816.90099999999995</v>
      </c>
      <c r="D33" s="27">
        <f>(7.915034*(1/59.5450191111111)*B4)*(1/0.992603385436258)</f>
        <v>5.5307196567903931</v>
      </c>
      <c r="E33" s="27">
        <f>(-8.46497503787*(1/58.7667945332571)*B4)*(1/1.00372234080282)</f>
        <v>-5.9269346686590252</v>
      </c>
      <c r="F33" s="14">
        <f t="shared" si="0"/>
        <v>-0.39621501186863206</v>
      </c>
      <c r="G33" s="13">
        <v>0</v>
      </c>
      <c r="H33" s="11">
        <f>0.489583333333332-29*H36</f>
        <v>2.5583333333331959E-2</v>
      </c>
      <c r="I33" s="14">
        <f>H33*$B$9</f>
        <v>3.6072499999998059E-3</v>
      </c>
      <c r="J33" s="18">
        <f t="shared" si="3"/>
        <v>0.54114129046208292</v>
      </c>
    </row>
    <row r="34" spans="1:10" x14ac:dyDescent="0.2">
      <c r="B34" s="1" t="s">
        <v>22</v>
      </c>
      <c r="C34" s="2"/>
      <c r="D34" s="2"/>
      <c r="E34" s="2"/>
    </row>
    <row r="35" spans="1:10" ht="19" x14ac:dyDescent="0.25">
      <c r="A35" s="69" t="s">
        <v>82</v>
      </c>
      <c r="B35" s="75">
        <f>B14/B29</f>
        <v>41.289146209376902</v>
      </c>
      <c r="C35" s="21" t="s">
        <v>24</v>
      </c>
      <c r="D35" s="10">
        <f>AVERAGE(D5:D31)</f>
        <v>6.883333333333332</v>
      </c>
      <c r="E35" s="10">
        <f>AVERAGE(E5:E31)</f>
        <v>-6.8833333333333506</v>
      </c>
      <c r="F35" s="16" t="s">
        <v>53</v>
      </c>
      <c r="G35" s="14">
        <v>1.3629105714977462E-2</v>
      </c>
      <c r="H35" s="1" t="s">
        <v>54</v>
      </c>
    </row>
    <row r="36" spans="1:10" x14ac:dyDescent="0.2">
      <c r="C36" s="30" t="s">
        <v>27</v>
      </c>
      <c r="D36" s="25">
        <f>D35*6</f>
        <v>41.29999999999999</v>
      </c>
      <c r="E36" s="38">
        <f>E35*6</f>
        <v>-41.300000000000104</v>
      </c>
      <c r="F36" s="16" t="s">
        <v>53</v>
      </c>
      <c r="G36" s="1">
        <v>3.2000000000000002E-3</v>
      </c>
      <c r="H36" s="39">
        <v>1.6E-2</v>
      </c>
    </row>
    <row r="37" spans="1:10" x14ac:dyDescent="0.2">
      <c r="B37" s="23" t="s">
        <v>26</v>
      </c>
      <c r="G37" s="16" t="s">
        <v>50</v>
      </c>
      <c r="H37" s="18">
        <f>AVERAGE(H4:H33)</f>
        <v>4.5414953703703684</v>
      </c>
    </row>
    <row r="38" spans="1:10" x14ac:dyDescent="0.2">
      <c r="B38" s="23" t="s">
        <v>28</v>
      </c>
    </row>
    <row r="39" spans="1:10" x14ac:dyDescent="0.2">
      <c r="E39" s="10"/>
    </row>
    <row r="41" spans="1:10" x14ac:dyDescent="0.2">
      <c r="D41" s="1"/>
      <c r="E41" s="27"/>
    </row>
    <row r="42" spans="1:10" x14ac:dyDescent="0.2">
      <c r="D42" s="2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E89C-E1E8-A342-89F6-BD232802A1FB}">
  <dimension ref="A2:T40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16.6640625" bestFit="1" customWidth="1"/>
    <col min="5" max="5" width="18.6640625" bestFit="1" customWidth="1"/>
    <col min="6" max="6" width="10.83203125" style="1"/>
    <col min="10" max="10" width="12.1640625" bestFit="1" customWidth="1"/>
  </cols>
  <sheetData>
    <row r="2" spans="1:10" x14ac:dyDescent="0.2">
      <c r="B2" s="1"/>
      <c r="G2" s="1" t="s">
        <v>0</v>
      </c>
      <c r="H2" s="2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51</v>
      </c>
      <c r="H3" s="5" t="s">
        <v>8</v>
      </c>
      <c r="I3" s="26" t="s">
        <v>30</v>
      </c>
      <c r="J3" s="3" t="s">
        <v>47</v>
      </c>
    </row>
    <row r="4" spans="1:10" ht="19" x14ac:dyDescent="0.25">
      <c r="A4" s="70" t="s">
        <v>83</v>
      </c>
      <c r="B4" s="75">
        <v>73.2</v>
      </c>
      <c r="C4" s="9">
        <v>0</v>
      </c>
      <c r="D4" s="10">
        <f>3.847877*(1/25.4640398)*B4</f>
        <v>11.061269092110043</v>
      </c>
      <c r="E4" s="10">
        <f>-3.97633151370543*(1/25.9561548)*B4</f>
        <v>-11.213813026081873</v>
      </c>
      <c r="F4" s="27">
        <f>D4+E4</f>
        <v>-0.1525439339718293</v>
      </c>
      <c r="G4" s="14">
        <f>F4*C5/1000</f>
        <v>-5.5470465973780116E-3</v>
      </c>
      <c r="H4" s="11">
        <v>0</v>
      </c>
      <c r="I4" s="27">
        <f>$B$9*H4</f>
        <v>0</v>
      </c>
      <c r="J4" s="14">
        <f>$C$5*I4/1000</f>
        <v>0</v>
      </c>
    </row>
    <row r="5" spans="1:10" x14ac:dyDescent="0.2">
      <c r="B5" s="14" t="s">
        <v>31</v>
      </c>
      <c r="C5" s="9">
        <v>36.363599999999998</v>
      </c>
      <c r="D5" s="10">
        <f>5.822878*(1/25.4640398)*B4</f>
        <v>16.738690048701546</v>
      </c>
      <c r="E5" s="10">
        <f>-4.55096432430249*(1/25.9561548)*B4</f>
        <v>-12.834358213141121</v>
      </c>
      <c r="F5" s="27">
        <f t="shared" ref="F5:F33" si="0">D5+E5</f>
        <v>3.9043318355604253</v>
      </c>
      <c r="G5" s="14">
        <f>G4+F5*$C$5/1000</f>
        <v>0.13642851453820706</v>
      </c>
      <c r="H5" s="11">
        <f>1.90625-H36</f>
        <v>1.8887499999999999</v>
      </c>
      <c r="I5" s="27">
        <f t="shared" ref="I5:I33" si="1">$B$9*H5</f>
        <v>0.91982124999999992</v>
      </c>
      <c r="J5" s="14">
        <f>J4+I5*$C$5/1000</f>
        <v>3.3448012006499994E-2</v>
      </c>
    </row>
    <row r="6" spans="1:10" x14ac:dyDescent="0.2">
      <c r="B6" s="14">
        <f>B4/6</f>
        <v>12.200000000000001</v>
      </c>
      <c r="C6" s="9">
        <v>72.727199999999996</v>
      </c>
      <c r="D6" s="10">
        <f>7.114882*(1/25.4640398)*B4</f>
        <v>20.452739097588125</v>
      </c>
      <c r="E6" s="10">
        <f>-4.88244942441452*(1/25.9561548)*B4</f>
        <v>-13.769192726002037</v>
      </c>
      <c r="F6" s="27">
        <f t="shared" si="0"/>
        <v>6.6835463715860879</v>
      </c>
      <c r="G6" s="14">
        <f t="shared" ref="G6:G33" si="2">G5+F6*$C$5/1000</f>
        <v>0.37946632137601494</v>
      </c>
      <c r="H6" s="11">
        <f>5.3203125-2*H36</f>
        <v>5.2853124999999999</v>
      </c>
      <c r="I6" s="27">
        <f t="shared" si="1"/>
        <v>2.5739471875</v>
      </c>
      <c r="J6" s="14">
        <f t="shared" ref="J6:J33" si="3">J5+I6*$C$5/1000</f>
        <v>0.127045997953875</v>
      </c>
    </row>
    <row r="7" spans="1:10" x14ac:dyDescent="0.2">
      <c r="B7" s="18"/>
      <c r="C7" s="9">
        <v>109.0908</v>
      </c>
      <c r="D7" s="10">
        <f>7.684368*(1/25.4640398)*B4</f>
        <v>22.089807509647393</v>
      </c>
      <c r="E7" s="10">
        <f>-5.16542241765948*(1/25.9561548)*B4</f>
        <v>-14.567216287856088</v>
      </c>
      <c r="F7" s="27">
        <f t="shared" si="0"/>
        <v>7.5225912217913056</v>
      </c>
      <c r="G7" s="14">
        <f t="shared" si="2"/>
        <v>0.65301481952874529</v>
      </c>
      <c r="H7" s="11">
        <f>5.8359375-3*H36</f>
        <v>5.7834374999999998</v>
      </c>
      <c r="I7" s="27">
        <f t="shared" si="1"/>
        <v>2.8165340624999997</v>
      </c>
      <c r="J7" s="14">
        <f t="shared" si="3"/>
        <v>0.229465315989</v>
      </c>
    </row>
    <row r="8" spans="1:10" x14ac:dyDescent="0.2">
      <c r="B8" s="3" t="s">
        <v>32</v>
      </c>
      <c r="C8" s="9">
        <v>145.45439999999999</v>
      </c>
      <c r="D8" s="10">
        <f>7.113491*(1/25.4640398)*B4</f>
        <v>20.448740470473194</v>
      </c>
      <c r="E8" s="10">
        <f>-5.12503533055883*(1/25.9561548)*B4</f>
        <v>-14.453319033099092</v>
      </c>
      <c r="F8" s="27">
        <f t="shared" si="0"/>
        <v>5.9954214373741017</v>
      </c>
      <c r="G8" s="14">
        <f t="shared" si="2"/>
        <v>0.87102992650884214</v>
      </c>
      <c r="H8" s="11">
        <f>3.375-4*H36</f>
        <v>3.3050000000000002</v>
      </c>
      <c r="I8" s="27">
        <f t="shared" si="1"/>
        <v>1.6095349999999999</v>
      </c>
      <c r="J8" s="14">
        <f t="shared" si="3"/>
        <v>0.28799380291499999</v>
      </c>
    </row>
    <row r="9" spans="1:10" x14ac:dyDescent="0.2">
      <c r="A9" s="7" t="s">
        <v>76</v>
      </c>
      <c r="B9" s="1">
        <v>0.48699999999999999</v>
      </c>
      <c r="C9" s="9">
        <v>181.81800000000001</v>
      </c>
      <c r="D9" s="10">
        <f>6.285714*(1/25.4640398)*B4</f>
        <v>18.069177884335542</v>
      </c>
      <c r="E9" s="10">
        <f>-5.00910791098596*(1/25.9561548)*B4</f>
        <v>-14.126387437178186</v>
      </c>
      <c r="F9" s="27">
        <f t="shared" si="0"/>
        <v>3.9427904471573552</v>
      </c>
      <c r="G9" s="14">
        <f t="shared" si="2"/>
        <v>1.0144039812130934</v>
      </c>
      <c r="H9" s="11">
        <f>2.1796875-5*H36</f>
        <v>2.0921875000000001</v>
      </c>
      <c r="I9" s="27">
        <f t="shared" si="1"/>
        <v>1.0188953125</v>
      </c>
      <c r="J9" s="14">
        <f t="shared" si="3"/>
        <v>0.325044504500625</v>
      </c>
    </row>
    <row r="10" spans="1:10" x14ac:dyDescent="0.2">
      <c r="B10" s="1" t="s">
        <v>86</v>
      </c>
      <c r="C10" s="9">
        <v>218.1816</v>
      </c>
      <c r="D10" s="10">
        <f>5.092013*(1/25.4640398)*B4</f>
        <v>14.637714774542571</v>
      </c>
      <c r="E10" s="10">
        <f>-4.85987576354972*(1/25.9561548)*B4</f>
        <v>-13.705531833699789</v>
      </c>
      <c r="F10" s="27">
        <f t="shared" si="0"/>
        <v>0.93218294084278241</v>
      </c>
      <c r="G10" s="14">
        <f t="shared" si="2"/>
        <v>1.0483015088007239</v>
      </c>
      <c r="H10" s="11">
        <f>3.7578125-6*H36</f>
        <v>3.6528125</v>
      </c>
      <c r="I10" s="27">
        <f t="shared" si="1"/>
        <v>1.7789196875</v>
      </c>
      <c r="J10" s="14">
        <f t="shared" si="3"/>
        <v>0.38973242844900002</v>
      </c>
    </row>
    <row r="11" spans="1:10" x14ac:dyDescent="0.2">
      <c r="A11" s="7" t="s">
        <v>78</v>
      </c>
      <c r="B11" s="14">
        <f>1/B9</f>
        <v>2.0533880903490762</v>
      </c>
      <c r="C11" s="9">
        <v>254.54519999999999</v>
      </c>
      <c r="D11" s="10">
        <f>4.632426*(1/25.4640398)*B4</f>
        <v>13.316566650983637</v>
      </c>
      <c r="E11" s="10">
        <f>-4.85550697968721*(1/25.9561548)*B4</f>
        <v>-13.693211249961561</v>
      </c>
      <c r="F11" s="27">
        <f t="shared" si="0"/>
        <v>-0.37664459897792391</v>
      </c>
      <c r="G11" s="14">
        <f t="shared" si="2"/>
        <v>1.0346053552613304</v>
      </c>
      <c r="H11" s="11">
        <f>5.109375-7*H36</f>
        <v>4.9868750000000004</v>
      </c>
      <c r="I11" s="27">
        <f t="shared" si="1"/>
        <v>2.4286081250000002</v>
      </c>
      <c r="J11" s="14">
        <f t="shared" si="3"/>
        <v>0.47804536286325006</v>
      </c>
    </row>
    <row r="12" spans="1:10" x14ac:dyDescent="0.2">
      <c r="B12" s="1" t="s">
        <v>12</v>
      </c>
      <c r="C12" s="9">
        <v>290.90879999999999</v>
      </c>
      <c r="D12" s="10">
        <f>4.409506*(1/25.4640398)*B4</f>
        <v>12.675751441450389</v>
      </c>
      <c r="E12" s="10">
        <f>-4.87221733632503*(1/25.9561548)*B4</f>
        <v>-13.740336801312043</v>
      </c>
      <c r="F12" s="27">
        <f t="shared" si="0"/>
        <v>-1.0645853598616544</v>
      </c>
      <c r="G12" s="14">
        <f t="shared" si="2"/>
        <v>0.99589319906946505</v>
      </c>
      <c r="H12" s="11">
        <f>3.96875-8*H36</f>
        <v>3.8287499999999999</v>
      </c>
      <c r="I12" s="27">
        <f t="shared" si="1"/>
        <v>1.86460125</v>
      </c>
      <c r="J12" s="14">
        <f t="shared" si="3"/>
        <v>0.54584897687775003</v>
      </c>
    </row>
    <row r="13" spans="1:10" x14ac:dyDescent="0.2">
      <c r="B13" s="3" t="s">
        <v>77</v>
      </c>
      <c r="C13" s="9">
        <v>327.2724</v>
      </c>
      <c r="D13" s="10">
        <f>4.521869*(1/25.4640398)*B4</f>
        <v>12.99875484800334</v>
      </c>
      <c r="E13" s="10">
        <f>-4.91194354821197*(1/25.9561548)*B4</f>
        <v>-13.852370295199357</v>
      </c>
      <c r="F13" s="27">
        <f t="shared" si="0"/>
        <v>-0.85361544719601667</v>
      </c>
      <c r="G13" s="14">
        <f t="shared" si="2"/>
        <v>0.96485266839380801</v>
      </c>
      <c r="H13" s="11">
        <f>2.1640625-9*H36</f>
        <v>2.0065624999999998</v>
      </c>
      <c r="I13" s="27">
        <f t="shared" si="1"/>
        <v>0.97719593749999989</v>
      </c>
      <c r="J13" s="14">
        <f t="shared" si="3"/>
        <v>0.581383339070625</v>
      </c>
    </row>
    <row r="14" spans="1:10" x14ac:dyDescent="0.2">
      <c r="A14" s="7" t="s">
        <v>79</v>
      </c>
      <c r="B14" s="14">
        <v>10.324999999999999</v>
      </c>
      <c r="C14" s="9">
        <v>363.63600000000002</v>
      </c>
      <c r="D14" s="10">
        <f>4.665214*(1/25.4640398)*B4</f>
        <v>13.410820415070198</v>
      </c>
      <c r="E14" s="10">
        <f>-4.92419088283981*(1/25.9561548)*B4</f>
        <v>-13.886909498007547</v>
      </c>
      <c r="F14" s="27">
        <f t="shared" si="0"/>
        <v>-0.47608908293734942</v>
      </c>
      <c r="G14" s="14">
        <f t="shared" si="2"/>
        <v>0.94754035541750736</v>
      </c>
      <c r="H14" s="11">
        <f>3.0390625-10*H36</f>
        <v>2.8640625000000002</v>
      </c>
      <c r="I14" s="27">
        <f t="shared" si="1"/>
        <v>1.3947984375</v>
      </c>
      <c r="J14" s="14">
        <f t="shared" si="3"/>
        <v>0.63210323153250003</v>
      </c>
    </row>
    <row r="15" spans="1:10" x14ac:dyDescent="0.2">
      <c r="B15" s="1"/>
      <c r="C15" s="9">
        <v>399.99959999999999</v>
      </c>
      <c r="D15" s="10">
        <f>4.70266*(1/25.4640398)*B4</f>
        <v>13.51846426190396</v>
      </c>
      <c r="E15" s="10">
        <f>-4.7374434954382*(1/25.9561548)*B4</f>
        <v>-13.360255651814661</v>
      </c>
      <c r="F15" s="27">
        <f t="shared" si="0"/>
        <v>0.15820861008929832</v>
      </c>
      <c r="G15" s="14">
        <f t="shared" si="2"/>
        <v>0.95329339003135061</v>
      </c>
      <c r="H15" s="11">
        <f>4.671875-11*H36</f>
        <v>4.4793750000000001</v>
      </c>
      <c r="I15" s="27">
        <f t="shared" si="1"/>
        <v>2.1814556249999999</v>
      </c>
      <c r="J15" s="14">
        <f t="shared" si="3"/>
        <v>0.71142881129775004</v>
      </c>
    </row>
    <row r="16" spans="1:10" x14ac:dyDescent="0.2">
      <c r="B16" s="1"/>
      <c r="C16" s="9">
        <v>436.36320000000001</v>
      </c>
      <c r="D16" s="10">
        <f>4.582835*(1/25.4640398)*B4</f>
        <v>13.174010276248472</v>
      </c>
      <c r="E16" s="10">
        <f>-4.53309894626739*(1/25.9561548)*B4</f>
        <v>-12.783975339320019</v>
      </c>
      <c r="F16" s="27">
        <f t="shared" si="0"/>
        <v>0.39003493692845304</v>
      </c>
      <c r="G16" s="14">
        <f t="shared" si="2"/>
        <v>0.96747646446384206</v>
      </c>
      <c r="H16" s="11">
        <f>3.8515625-12*H36</f>
        <v>3.6415625</v>
      </c>
      <c r="I16" s="27">
        <f t="shared" si="1"/>
        <v>1.7734409375</v>
      </c>
      <c r="J16" s="14">
        <f t="shared" si="3"/>
        <v>0.77591750817262506</v>
      </c>
    </row>
    <row r="17" spans="1:20" x14ac:dyDescent="0.2">
      <c r="B17" s="1" t="s">
        <v>55</v>
      </c>
      <c r="C17" s="9">
        <v>472.72680000000003</v>
      </c>
      <c r="D17" s="10">
        <f>4.325082*(1/25.4640398)*B4</f>
        <v>12.433062659602035</v>
      </c>
      <c r="E17" s="10">
        <f>-4.22946605146023*(1/25.9561548)*B4</f>
        <v>-11.92768795503134</v>
      </c>
      <c r="F17" s="27">
        <f t="shared" si="0"/>
        <v>0.50537470457069489</v>
      </c>
      <c r="G17" s="14">
        <f t="shared" si="2"/>
        <v>0.98585370807096895</v>
      </c>
      <c r="H17" s="11">
        <f>2.90625-13*H36</f>
        <v>2.67875</v>
      </c>
      <c r="I17" s="27">
        <f t="shared" si="1"/>
        <v>1.3045512500000001</v>
      </c>
      <c r="J17" s="14">
        <f t="shared" si="3"/>
        <v>0.82335568800712511</v>
      </c>
    </row>
    <row r="18" spans="1:20" x14ac:dyDescent="0.2">
      <c r="B18" s="1" t="s">
        <v>35</v>
      </c>
      <c r="C18" s="9">
        <v>509.09039999999999</v>
      </c>
      <c r="D18" s="10">
        <f>4.154316*(1/25.4640398)*B4</f>
        <v>11.942171532421185</v>
      </c>
      <c r="E18" s="10">
        <f>-4.09075112291867*(1/25.9561548)*B4</f>
        <v>-11.536492385137366</v>
      </c>
      <c r="F18" s="27">
        <f t="shared" si="0"/>
        <v>0.40567914728381815</v>
      </c>
      <c r="G18" s="14">
        <f t="shared" si="2"/>
        <v>1.0006056623111388</v>
      </c>
      <c r="H18" s="11">
        <f>3.1953125-14*H36</f>
        <v>2.9503124999999999</v>
      </c>
      <c r="I18" s="27">
        <f t="shared" si="1"/>
        <v>1.4368021874999999</v>
      </c>
      <c r="J18" s="14">
        <f t="shared" si="3"/>
        <v>0.87560298803250014</v>
      </c>
    </row>
    <row r="19" spans="1:20" x14ac:dyDescent="0.2">
      <c r="B19" s="12">
        <f>60/(C33/1000)</f>
        <v>56.896608620746555</v>
      </c>
      <c r="C19" s="9">
        <v>545.45399999999995</v>
      </c>
      <c r="D19" s="10">
        <f>4.028701*(1/25.4640398)*B4</f>
        <v>11.581073369198867</v>
      </c>
      <c r="E19" s="10">
        <f>-4.10513331404127*(1/25.9561548)*B4</f>
        <v>-11.57705218293046</v>
      </c>
      <c r="F19" s="27">
        <f t="shared" si="0"/>
        <v>4.0211862684067512E-3</v>
      </c>
      <c r="G19" s="14">
        <f t="shared" si="2"/>
        <v>1.0007518871201286</v>
      </c>
      <c r="H19" s="11">
        <f>3.609375-15*H36</f>
        <v>3.3468749999999998</v>
      </c>
      <c r="I19" s="27">
        <f t="shared" si="1"/>
        <v>1.6299281249999999</v>
      </c>
      <c r="J19" s="14">
        <f t="shared" si="3"/>
        <v>0.93487304239875013</v>
      </c>
    </row>
    <row r="20" spans="1:20" x14ac:dyDescent="0.2">
      <c r="B20" s="3" t="s">
        <v>52</v>
      </c>
      <c r="C20" s="9">
        <v>581.81759999999997</v>
      </c>
      <c r="D20" s="10">
        <f>3.805245*(1/25.4640398)*B4</f>
        <v>10.938717351517809</v>
      </c>
      <c r="E20" s="10">
        <f>-4.19116307723647*(1/25.9561548)*B4</f>
        <v>-11.819668191133983</v>
      </c>
      <c r="F20" s="27">
        <f t="shared" si="0"/>
        <v>-0.88095083961617426</v>
      </c>
      <c r="G20" s="14">
        <f t="shared" si="2"/>
        <v>0.96871734316866187</v>
      </c>
      <c r="H20" s="11">
        <f>3.234375-16*H36</f>
        <v>2.9543749999999998</v>
      </c>
      <c r="I20" s="27">
        <f t="shared" si="1"/>
        <v>1.4387806249999999</v>
      </c>
      <c r="J20" s="14">
        <f t="shared" si="3"/>
        <v>0.98719228553400018</v>
      </c>
    </row>
    <row r="21" spans="1:20" x14ac:dyDescent="0.2">
      <c r="B21" s="13">
        <f>J33</f>
        <v>1.2832990576087502</v>
      </c>
      <c r="C21" s="9">
        <v>618.18119999999999</v>
      </c>
      <c r="D21" s="10">
        <f>3.67044*(1/25.4640398)*B4</f>
        <v>10.551201227701508</v>
      </c>
      <c r="E21" s="10">
        <f>-4.2686111281044*(1/25.9561548)*B4</f>
        <v>-12.038082565960121</v>
      </c>
      <c r="F21" s="27">
        <f t="shared" si="0"/>
        <v>-1.4868813382586126</v>
      </c>
      <c r="G21" s="14">
        <f t="shared" si="2"/>
        <v>0.91464898493676094</v>
      </c>
      <c r="H21" s="11">
        <f>2.703125-17*H36</f>
        <v>2.4056250000000001</v>
      </c>
      <c r="I21" s="27">
        <f t="shared" si="1"/>
        <v>1.171539375</v>
      </c>
      <c r="J21" s="14">
        <f t="shared" si="3"/>
        <v>1.0297936747507501</v>
      </c>
    </row>
    <row r="22" spans="1:20" x14ac:dyDescent="0.2">
      <c r="B22" s="1" t="s">
        <v>37</v>
      </c>
      <c r="C22" s="9">
        <v>654.54480000000001</v>
      </c>
      <c r="D22" s="10">
        <f>3.525391*(1/25.4640398)*B4</f>
        <v>10.134237270552807</v>
      </c>
      <c r="E22" s="10">
        <f>-4.36868962436189*(1/25.9561548)*B4</f>
        <v>-12.320317973419174</v>
      </c>
      <c r="F22" s="27">
        <f t="shared" si="0"/>
        <v>-2.1860807028663665</v>
      </c>
      <c r="G22" s="14">
        <f t="shared" si="2"/>
        <v>0.83515522069000958</v>
      </c>
      <c r="H22" s="11">
        <f>2.4609375-18*H36</f>
        <v>2.1459375000000001</v>
      </c>
      <c r="I22" s="27">
        <f t="shared" si="1"/>
        <v>1.0450715625</v>
      </c>
      <c r="J22" s="14">
        <f t="shared" si="3"/>
        <v>1.0677962390208751</v>
      </c>
      <c r="S22" s="1" t="s">
        <v>39</v>
      </c>
      <c r="T22">
        <v>6</v>
      </c>
    </row>
    <row r="23" spans="1:20" x14ac:dyDescent="0.2">
      <c r="B23" s="3" t="s">
        <v>17</v>
      </c>
      <c r="C23" s="9">
        <v>690.90840000000003</v>
      </c>
      <c r="D23" s="10">
        <f>3.432719*(1/25.4640398)*B4</f>
        <v>9.8678384409374065</v>
      </c>
      <c r="E23" s="10">
        <f>-4.37805907094756*(1/25.9561548)*B4</f>
        <v>-12.34674112797946</v>
      </c>
      <c r="F23" s="27">
        <f t="shared" si="0"/>
        <v>-2.4789026870420532</v>
      </c>
      <c r="G23" s="14">
        <f t="shared" si="2"/>
        <v>0.74501339493948715</v>
      </c>
      <c r="H23" s="11">
        <f>2.46875-19*H36</f>
        <v>2.13625</v>
      </c>
      <c r="I23" s="27">
        <f t="shared" si="1"/>
        <v>1.04035375</v>
      </c>
      <c r="J23" s="14">
        <f t="shared" si="3"/>
        <v>1.1056272466443751</v>
      </c>
    </row>
    <row r="24" spans="1:20" x14ac:dyDescent="0.2">
      <c r="A24" s="16" t="s">
        <v>90</v>
      </c>
      <c r="B24" s="14">
        <f>2*B21/((B19/60)*(B19/60))</f>
        <v>2.8542210881084911</v>
      </c>
      <c r="C24" s="9">
        <v>727.27200000000005</v>
      </c>
      <c r="D24" s="10">
        <f>3.346247*(1/25.4640398)*B4</f>
        <v>9.6192623921362248</v>
      </c>
      <c r="E24" s="10">
        <f>-4.37433545594085*(1/25.9561548)*B4</f>
        <v>-12.336240010976905</v>
      </c>
      <c r="F24" s="27">
        <f t="shared" si="0"/>
        <v>-2.71697761884068</v>
      </c>
      <c r="G24" s="14">
        <f t="shared" si="2"/>
        <v>0.64621430759901222</v>
      </c>
      <c r="H24" s="11">
        <f>2.2578125-20*H36</f>
        <v>1.9078124999999999</v>
      </c>
      <c r="I24" s="27">
        <f t="shared" si="1"/>
        <v>0.92910468749999997</v>
      </c>
      <c r="J24" s="14">
        <f t="shared" si="3"/>
        <v>1.13941283785875</v>
      </c>
      <c r="M24" t="s">
        <v>18</v>
      </c>
    </row>
    <row r="25" spans="1:20" x14ac:dyDescent="0.2">
      <c r="A25" s="16"/>
      <c r="B25" s="1" t="s">
        <v>19</v>
      </c>
      <c r="C25" s="9">
        <v>763.63559999999995</v>
      </c>
      <c r="D25" s="10">
        <f>3.207853*(1/25.4640398)*B4</f>
        <v>9.2214291779421433</v>
      </c>
      <c r="E25" s="10">
        <f>-4.30553194283184*(1/25.9561548)*B4</f>
        <v>-12.142204446064204</v>
      </c>
      <c r="F25" s="27">
        <f t="shared" si="0"/>
        <v>-2.9207752681220605</v>
      </c>
      <c r="G25" s="14">
        <f t="shared" si="2"/>
        <v>0.54000440405912886</v>
      </c>
      <c r="H25" s="11">
        <f>1.875-21*H36</f>
        <v>1.5074999999999998</v>
      </c>
      <c r="I25" s="27">
        <f t="shared" si="1"/>
        <v>0.73415249999999987</v>
      </c>
      <c r="J25" s="14">
        <f t="shared" si="3"/>
        <v>1.1661092657077501</v>
      </c>
      <c r="N25" s="29"/>
    </row>
    <row r="26" spans="1:20" x14ac:dyDescent="0.2">
      <c r="A26" s="16" t="s">
        <v>91</v>
      </c>
      <c r="B26" s="14">
        <f>B24*6</f>
        <v>17.125326528650945</v>
      </c>
      <c r="C26" s="9">
        <v>799.99919999999997</v>
      </c>
      <c r="D26" s="10">
        <f>3.163107*(1/25.4640398)*B4</f>
        <v>9.0928004440206713</v>
      </c>
      <c r="E26" s="10">
        <f>-4.21228450408503*(1/25.9561548)*B4</f>
        <v>-11.879233579660429</v>
      </c>
      <c r="F26" s="27">
        <f t="shared" si="0"/>
        <v>-2.7864331356397578</v>
      </c>
      <c r="G26" s="14">
        <f t="shared" si="2"/>
        <v>0.43867966408797898</v>
      </c>
      <c r="H26" s="11">
        <f>1.5859375-22*H36</f>
        <v>1.2009375</v>
      </c>
      <c r="I26" s="27">
        <f t="shared" si="1"/>
        <v>0.58485656249999995</v>
      </c>
      <c r="J26" s="14">
        <f t="shared" si="3"/>
        <v>1.187376755803875</v>
      </c>
    </row>
    <row r="27" spans="1:20" x14ac:dyDescent="0.2">
      <c r="A27" s="16"/>
      <c r="C27" s="9">
        <v>836.36279999999999</v>
      </c>
      <c r="D27" s="10">
        <f>3.056539*(1/25.4640398)*B4</f>
        <v>8.7864555882448787</v>
      </c>
      <c r="E27" s="10">
        <f>-4.00140490184112*(1/25.9561548)*B4</f>
        <v>-11.284523500174609</v>
      </c>
      <c r="F27" s="27">
        <f t="shared" si="0"/>
        <v>-2.4980679119297307</v>
      </c>
      <c r="G27" s="14">
        <f t="shared" si="2"/>
        <v>0.347840921765731</v>
      </c>
      <c r="H27" s="11">
        <f>1.5390625-23*H36</f>
        <v>1.1365624999999999</v>
      </c>
      <c r="I27" s="27">
        <f t="shared" si="1"/>
        <v>0.55350593749999999</v>
      </c>
      <c r="J27" s="14">
        <f t="shared" si="3"/>
        <v>1.2075042243127501</v>
      </c>
    </row>
    <row r="28" spans="1:20" x14ac:dyDescent="0.2">
      <c r="A28" s="16"/>
      <c r="B28" s="1" t="s">
        <v>20</v>
      </c>
      <c r="C28" s="9">
        <v>872.72640000000001</v>
      </c>
      <c r="D28" s="10">
        <f>2.989212*(1/25.4640398)*B4</f>
        <v>8.5929145618127745</v>
      </c>
      <c r="E28" s="10">
        <f>-3.79479742894949*(1/25.9561548)*B4</f>
        <v>-10.70186142514078</v>
      </c>
      <c r="F28" s="27">
        <f t="shared" si="0"/>
        <v>-2.108946863328006</v>
      </c>
      <c r="G28" s="14">
        <f t="shared" si="2"/>
        <v>0.27115202160641672</v>
      </c>
      <c r="H28" s="11">
        <f>1.4921875-24*H36</f>
        <v>1.0721875000000001</v>
      </c>
      <c r="I28" s="27">
        <f t="shared" si="1"/>
        <v>0.52215531250000002</v>
      </c>
      <c r="J28" s="14">
        <f t="shared" si="3"/>
        <v>1.226491671234375</v>
      </c>
    </row>
    <row r="29" spans="1:20" x14ac:dyDescent="0.2">
      <c r="A29" s="16" t="s">
        <v>92</v>
      </c>
      <c r="B29" s="17">
        <f>H37/B26</f>
        <v>0.14104962199068896</v>
      </c>
      <c r="C29" s="9">
        <v>909.09</v>
      </c>
      <c r="D29" s="10">
        <f>2.910588*(1/25.4640398)*B4</f>
        <v>8.366898703951918</v>
      </c>
      <c r="E29" s="10">
        <f>-3.56976639822616*(1/25.9561548)*B4</f>
        <v>-10.067242330907771</v>
      </c>
      <c r="F29" s="27">
        <f t="shared" si="0"/>
        <v>-1.7003436269558527</v>
      </c>
      <c r="G29" s="14">
        <f t="shared" si="2"/>
        <v>0.20932140609324487</v>
      </c>
      <c r="H29" s="11">
        <f>1.4609375-25*H36</f>
        <v>1.0234375</v>
      </c>
      <c r="I29" s="27">
        <f t="shared" si="1"/>
        <v>0.49841406249999998</v>
      </c>
      <c r="J29" s="14">
        <f t="shared" si="3"/>
        <v>1.2446158008374999</v>
      </c>
    </row>
    <row r="30" spans="1:20" x14ac:dyDescent="0.2">
      <c r="A30" s="16"/>
      <c r="B30" s="1"/>
      <c r="C30" s="9">
        <v>945.45360000000005</v>
      </c>
      <c r="D30" s="10">
        <f>2.795172*(1/25.4640398)*B4</f>
        <v>8.0351190151689931</v>
      </c>
      <c r="E30" s="10">
        <f>-3.27979561844037*(1/25.9561548)*B4</f>
        <v>-9.2494840287296753</v>
      </c>
      <c r="F30" s="27">
        <f t="shared" si="0"/>
        <v>-1.2143650135606823</v>
      </c>
      <c r="G30" s="14">
        <f t="shared" si="2"/>
        <v>0.16516272248612965</v>
      </c>
      <c r="H30" s="11">
        <f>1.453125-26*H36</f>
        <v>0.99812499999999993</v>
      </c>
      <c r="I30" s="27">
        <f t="shared" si="1"/>
        <v>0.48608687499999997</v>
      </c>
      <c r="J30" s="14">
        <f t="shared" si="3"/>
        <v>1.26229166952525</v>
      </c>
    </row>
    <row r="31" spans="1:20" x14ac:dyDescent="0.2">
      <c r="A31" s="16"/>
      <c r="B31" s="1" t="s">
        <v>21</v>
      </c>
      <c r="C31" s="9">
        <v>981.81719999999996</v>
      </c>
      <c r="D31" s="10">
        <f>2.731303*(1/25.4640398)*B4</f>
        <v>7.8515185010039152</v>
      </c>
      <c r="E31" s="10">
        <f>-3.22470375578922*(1/25.9561548)*B4</f>
        <v>-9.0941172428117483</v>
      </c>
      <c r="F31" s="27">
        <f t="shared" si="0"/>
        <v>-1.242598741807833</v>
      </c>
      <c r="G31" s="14">
        <f t="shared" si="2"/>
        <v>0.11997735887852634</v>
      </c>
      <c r="H31" s="11">
        <f>1.2265625-27*H36</f>
        <v>0.75406249999999997</v>
      </c>
      <c r="I31" s="27">
        <f t="shared" si="1"/>
        <v>0.36722843749999995</v>
      </c>
      <c r="J31" s="14">
        <f t="shared" si="3"/>
        <v>1.2756454175351251</v>
      </c>
    </row>
    <row r="32" spans="1:20" x14ac:dyDescent="0.2">
      <c r="A32" s="16" t="s">
        <v>93</v>
      </c>
      <c r="B32" s="17">
        <f>H37/B24</f>
        <v>0.84629773194413371</v>
      </c>
      <c r="C32" s="9">
        <v>1018.1808</v>
      </c>
      <c r="D32" s="10">
        <f>2.726657*(1/25.4640398)*B4</f>
        <v>7.8381629139615168</v>
      </c>
      <c r="E32" s="10">
        <f>-3.35080406256406*(1/25.9561548)*B4</f>
        <v>-9.4497378086098163</v>
      </c>
      <c r="F32" s="27">
        <f t="shared" si="0"/>
        <v>-1.6115748946482995</v>
      </c>
      <c r="G32" s="14">
        <f t="shared" si="2"/>
        <v>6.1374694039493437E-2</v>
      </c>
      <c r="H32" s="11">
        <f>0.921875-28*H36</f>
        <v>0.43187499999999995</v>
      </c>
      <c r="I32" s="27">
        <f t="shared" si="1"/>
        <v>0.21032312499999997</v>
      </c>
      <c r="J32" s="14">
        <f t="shared" si="3"/>
        <v>1.2832935235233751</v>
      </c>
    </row>
    <row r="33" spans="1:10" x14ac:dyDescent="0.2">
      <c r="B33" s="1"/>
      <c r="C33" s="9">
        <v>1054.5444</v>
      </c>
      <c r="D33" s="10">
        <f>2.975894*(1/25.4640398)*B4</f>
        <v>8.5546300787669995</v>
      </c>
      <c r="E33" s="10">
        <f>-3.63188866831535*(1/25.9561548)*B4</f>
        <v>-10.242435852658872</v>
      </c>
      <c r="F33" s="27">
        <f t="shared" si="0"/>
        <v>-1.6878057738918724</v>
      </c>
      <c r="G33" s="14">
        <f t="shared" si="2"/>
        <v>-1.0477729794899915E-15</v>
      </c>
      <c r="H33" s="11">
        <f>0.5078125-29*H36</f>
        <v>3.1249999999993783E-4</v>
      </c>
      <c r="I33" s="27">
        <f t="shared" si="1"/>
        <v>1.5218749999996973E-4</v>
      </c>
      <c r="J33" s="14">
        <f t="shared" si="3"/>
        <v>1.2832990576087502</v>
      </c>
    </row>
    <row r="34" spans="1:10" x14ac:dyDescent="0.2">
      <c r="B34" s="1" t="s">
        <v>22</v>
      </c>
      <c r="C34" s="2"/>
      <c r="D34" s="2"/>
      <c r="E34" s="2"/>
      <c r="H34" s="2"/>
    </row>
    <row r="35" spans="1:10" ht="19" x14ac:dyDescent="0.25">
      <c r="A35" s="69" t="s">
        <v>82</v>
      </c>
      <c r="B35" s="75">
        <f>B14/B29</f>
        <v>73.201188732583617</v>
      </c>
      <c r="C35" s="21" t="s">
        <v>24</v>
      </c>
      <c r="D35" s="11">
        <f>AVERAGE(D4:D33)</f>
        <v>12.200000000000005</v>
      </c>
      <c r="E35" s="11">
        <f>AVERAGE(E4:E33)</f>
        <v>-12.200000000000005</v>
      </c>
      <c r="G35" s="1"/>
      <c r="H35" s="1" t="s">
        <v>49</v>
      </c>
    </row>
    <row r="36" spans="1:10" x14ac:dyDescent="0.2">
      <c r="C36" s="30" t="s">
        <v>27</v>
      </c>
      <c r="D36" s="11">
        <f>D35*6</f>
        <v>73.200000000000031</v>
      </c>
      <c r="E36" s="11">
        <f>E35*6</f>
        <v>-73.200000000000031</v>
      </c>
      <c r="H36" s="39">
        <v>1.7500000000000002E-2</v>
      </c>
    </row>
    <row r="37" spans="1:10" x14ac:dyDescent="0.2">
      <c r="B37" s="23" t="s">
        <v>26</v>
      </c>
      <c r="G37" s="16" t="s">
        <v>50</v>
      </c>
      <c r="H37" s="18">
        <f>AVERAGE(H4:H33)</f>
        <v>2.4155208333333333</v>
      </c>
    </row>
    <row r="38" spans="1:10" x14ac:dyDescent="0.2">
      <c r="B38" s="23" t="s">
        <v>28</v>
      </c>
    </row>
    <row r="39" spans="1:10" x14ac:dyDescent="0.2">
      <c r="D39" s="10"/>
      <c r="E39" s="11"/>
    </row>
    <row r="40" spans="1:10" x14ac:dyDescent="0.2">
      <c r="E40" s="1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E23CC-2B7D-8D4F-BA8C-C5E08F08EA3F}">
  <dimension ref="A2:S44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  <col min="3" max="3" width="13.33203125" bestFit="1" customWidth="1"/>
    <col min="4" max="4" width="16.6640625" bestFit="1" customWidth="1"/>
    <col min="5" max="5" width="18.6640625" bestFit="1" customWidth="1"/>
    <col min="10" max="10" width="12.1640625" bestFit="1" customWidth="1"/>
  </cols>
  <sheetData>
    <row r="2" spans="1:10" x14ac:dyDescent="0.2">
      <c r="B2" s="1"/>
      <c r="F2" s="1"/>
      <c r="G2" s="1" t="s">
        <v>0</v>
      </c>
      <c r="H2" s="2" t="s">
        <v>0</v>
      </c>
      <c r="J2" s="1" t="s">
        <v>1</v>
      </c>
    </row>
    <row r="3" spans="1:10" x14ac:dyDescent="0.2">
      <c r="B3" s="3" t="s">
        <v>43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51</v>
      </c>
      <c r="H3" s="5" t="s">
        <v>8</v>
      </c>
      <c r="I3" s="26" t="s">
        <v>30</v>
      </c>
      <c r="J3" s="3" t="s">
        <v>47</v>
      </c>
    </row>
    <row r="4" spans="1:10" ht="19" x14ac:dyDescent="0.25">
      <c r="A4" s="70" t="s">
        <v>83</v>
      </c>
      <c r="B4" s="75">
        <v>36.200000000000003</v>
      </c>
      <c r="C4" s="9">
        <v>0</v>
      </c>
      <c r="D4" s="10">
        <f>(15.687499*(1/104.631008057143)*B4)*(1/1.01404239554758)</f>
        <v>5.3523654620881915</v>
      </c>
      <c r="E4" s="10">
        <f>(-14.0182030608086*(1/105.016205602868)*B4)*(1/1.00529602335719)</f>
        <v>-4.8067399846012702</v>
      </c>
      <c r="F4" s="14">
        <f t="shared" ref="F4:F37" si="0">D4+E4</f>
        <v>0.54562547748692136</v>
      </c>
      <c r="G4" s="14">
        <f>F4*C5/1000</f>
        <v>1.3512254536073227E-2</v>
      </c>
      <c r="H4" s="11">
        <f>0.876420454545453-34*H41</f>
        <v>0.40008045454545305</v>
      </c>
      <c r="I4" s="14">
        <f>$B$9*H4</f>
        <v>4.5609171818181651E-2</v>
      </c>
      <c r="J4" s="14">
        <f>I4*$C$5/1000</f>
        <v>1.1294977309807541E-3</v>
      </c>
    </row>
    <row r="5" spans="1:10" x14ac:dyDescent="0.2">
      <c r="B5" s="14" t="s">
        <v>31</v>
      </c>
      <c r="C5" s="9">
        <v>24.764706</v>
      </c>
      <c r="D5" s="10">
        <f>(28.074177*(1/104.631008057143)*B4)*(1/1.01404239554758)</f>
        <v>9.5785348162476804</v>
      </c>
      <c r="E5" s="10">
        <f>(-15.4012902367416*(1/105.016205602868)*B4)*(1/1.00529602335719)</f>
        <v>-5.2809905288335006</v>
      </c>
      <c r="F5" s="14">
        <f t="shared" si="0"/>
        <v>4.2975442874141798</v>
      </c>
      <c r="G5" s="14">
        <f t="shared" ref="G5:G38" si="1">G4+F5*$C$5/1000</f>
        <v>0.11993967533586489</v>
      </c>
      <c r="H5" s="11">
        <v>0</v>
      </c>
      <c r="I5" s="14">
        <f t="shared" ref="I5:I38" si="2">$B$9*H5</f>
        <v>0</v>
      </c>
      <c r="J5" s="14">
        <f t="shared" ref="J5:J38" si="3">J4+I5*$C$5/1000</f>
        <v>1.1294977309807541E-3</v>
      </c>
    </row>
    <row r="6" spans="1:10" x14ac:dyDescent="0.2">
      <c r="B6" s="14">
        <f>B4/6</f>
        <v>6.0333333333333341</v>
      </c>
      <c r="C6" s="9">
        <v>49.529412000000001</v>
      </c>
      <c r="D6" s="10">
        <f>(32.140796*(1/104.631008057143)*B4)*(1/1.01404239554758)</f>
        <v>10.966010989669055</v>
      </c>
      <c r="E6" s="10">
        <f>(-17.9365455751425*(1/105.016205602868)*B4)*(1/1.00529602335719)</f>
        <v>-6.1503111652519671</v>
      </c>
      <c r="F6" s="14">
        <f t="shared" si="0"/>
        <v>4.8156998244170879</v>
      </c>
      <c r="G6" s="14">
        <f t="shared" si="1"/>
        <v>0.23919906567180571</v>
      </c>
      <c r="H6" s="11">
        <f>2.13636363636364-H41</f>
        <v>2.1223536363636399</v>
      </c>
      <c r="I6" s="14">
        <f t="shared" si="2"/>
        <v>0.24194831454545496</v>
      </c>
      <c r="J6" s="14">
        <f t="shared" si="3"/>
        <v>7.1212766078944702E-3</v>
      </c>
    </row>
    <row r="7" spans="1:10" x14ac:dyDescent="0.2">
      <c r="B7" s="18"/>
      <c r="C7" s="9">
        <v>74.294117999999997</v>
      </c>
      <c r="D7" s="10">
        <f>(26.162774*(1/104.631008057143)*B4)*(1/1.01404239554758)</f>
        <v>8.926389601683411</v>
      </c>
      <c r="E7" s="10">
        <f>(-18.2129158487586*(1/105.016205602868)*B4)*(1/1.00529602335719)</f>
        <v>-6.2450765241915649</v>
      </c>
      <c r="F7" s="14">
        <f t="shared" si="0"/>
        <v>2.6813130774918461</v>
      </c>
      <c r="G7" s="14">
        <f t="shared" si="1"/>
        <v>0.3056009957298465</v>
      </c>
      <c r="H7" s="11">
        <f>9.13068181818182-2*H41</f>
        <v>9.1026618181818204</v>
      </c>
      <c r="I7" s="14">
        <f t="shared" si="2"/>
        <v>1.0377034472727276</v>
      </c>
      <c r="J7" s="14">
        <f t="shared" si="3"/>
        <v>3.2819697394790071E-2</v>
      </c>
    </row>
    <row r="8" spans="1:10" x14ac:dyDescent="0.2">
      <c r="B8" s="3" t="s">
        <v>32</v>
      </c>
      <c r="C8" s="9">
        <v>99.058824000000001</v>
      </c>
      <c r="D8" s="10">
        <f>(21.414837*(1/104.631008057143)*B4)*(1/1.01404239554758)</f>
        <v>7.3064568122074967</v>
      </c>
      <c r="E8" s="10">
        <f>(-16.5890750611247*(1/105.016205602868)*B4)*(1/1.00529602335719)</f>
        <v>-5.6882733156285381</v>
      </c>
      <c r="F8" s="14">
        <f t="shared" si="0"/>
        <v>1.6181834965789585</v>
      </c>
      <c r="G8" s="14">
        <f t="shared" si="1"/>
        <v>0.34567483427667639</v>
      </c>
      <c r="H8" s="11">
        <f>16.3522727272727-3*H41</f>
        <v>16.310242727272701</v>
      </c>
      <c r="I8" s="14">
        <f t="shared" si="2"/>
        <v>1.8593676709090881</v>
      </c>
      <c r="J8" s="14">
        <f t="shared" si="3"/>
        <v>7.8866391110758383E-2</v>
      </c>
    </row>
    <row r="9" spans="1:10" x14ac:dyDescent="0.2">
      <c r="A9" s="7" t="s">
        <v>76</v>
      </c>
      <c r="B9" s="1">
        <v>0.114</v>
      </c>
      <c r="C9" s="9">
        <v>123.82352899999999</v>
      </c>
      <c r="D9" s="10">
        <f>(20.177199*(1/104.631008057143)*B4)*(1/1.01404239554758)</f>
        <v>6.8841912308189093</v>
      </c>
      <c r="E9" s="10">
        <f>(-15.4897282950746*(1/105.016205602868)*B4)*(1/1.00529602335719)</f>
        <v>-5.3113152965163293</v>
      </c>
      <c r="F9" s="14">
        <f t="shared" si="0"/>
        <v>1.57287593430258</v>
      </c>
      <c r="G9" s="14">
        <f t="shared" si="1"/>
        <v>0.38462664436415511</v>
      </c>
      <c r="H9" s="11">
        <f>17.75-4*H41</f>
        <v>17.693960000000001</v>
      </c>
      <c r="I9" s="14">
        <f t="shared" si="2"/>
        <v>2.0171114400000003</v>
      </c>
      <c r="J9" s="14">
        <f t="shared" si="3"/>
        <v>0.12881956289159502</v>
      </c>
    </row>
    <row r="10" spans="1:10" x14ac:dyDescent="0.2">
      <c r="B10" s="1" t="s">
        <v>86</v>
      </c>
      <c r="C10" s="9">
        <v>148.588235</v>
      </c>
      <c r="D10" s="10">
        <f>(27.567997*(1/104.631008057143)*B4)*(1/1.01404239554758)</f>
        <v>9.4058329502842266</v>
      </c>
      <c r="E10" s="10">
        <f>(-15.5683389089073*(1/105.016205602868)*B4)*(1/1.00529602335719)</f>
        <v>-5.3382703048782849</v>
      </c>
      <c r="F10" s="14">
        <f t="shared" si="0"/>
        <v>4.0675626454059417</v>
      </c>
      <c r="G10" s="14">
        <f t="shared" si="1"/>
        <v>0.48535863741421548</v>
      </c>
      <c r="H10" s="11">
        <f>13.2727272727273-5*H41</f>
        <v>13.2026772727273</v>
      </c>
      <c r="I10" s="14">
        <f t="shared" si="2"/>
        <v>1.5051052090909123</v>
      </c>
      <c r="J10" s="14">
        <f t="shared" si="3"/>
        <v>0.1660930508938</v>
      </c>
    </row>
    <row r="11" spans="1:10" x14ac:dyDescent="0.2">
      <c r="A11" s="7" t="s">
        <v>78</v>
      </c>
      <c r="B11" s="14">
        <f>1/B9</f>
        <v>8.7719298245614024</v>
      </c>
      <c r="C11" s="9">
        <v>173.35294099999999</v>
      </c>
      <c r="D11" s="10">
        <f>(36.044642*(1/104.631008057143)*B4)*(1/1.01404239554758)</f>
        <v>12.29795118610898</v>
      </c>
      <c r="E11" s="10">
        <f>(-18.3676851334923*(1/105.016205602868)*B4)*(1/1.00529602335719)</f>
        <v>-6.2981457874980356</v>
      </c>
      <c r="F11" s="14">
        <f t="shared" si="0"/>
        <v>5.9998053986109445</v>
      </c>
      <c r="G11" s="14">
        <f t="shared" si="1"/>
        <v>0.63394205416802829</v>
      </c>
      <c r="H11" s="11">
        <f>7.29545454545454-6*H41</f>
        <v>7.2113945454545396</v>
      </c>
      <c r="I11" s="14">
        <f t="shared" si="2"/>
        <v>0.82209897818181754</v>
      </c>
      <c r="J11" s="14">
        <f t="shared" si="3"/>
        <v>0.18645209039137312</v>
      </c>
    </row>
    <row r="12" spans="1:10" x14ac:dyDescent="0.2">
      <c r="B12" s="1" t="s">
        <v>12</v>
      </c>
      <c r="C12" s="9">
        <v>198.11764700000001</v>
      </c>
      <c r="D12" s="10">
        <f>(35.926514*(1/104.631008057143)*B4)*(1/1.01404239554758)</f>
        <v>12.257647487775321</v>
      </c>
      <c r="E12" s="10">
        <f>(-21.7983825191421*(1/105.016205602868)*B4)*(1/1.00529602335719)</f>
        <v>-7.4745069963589037</v>
      </c>
      <c r="F12" s="14">
        <f t="shared" si="0"/>
        <v>4.7831404914164173</v>
      </c>
      <c r="G12" s="14">
        <f t="shared" si="1"/>
        <v>0.75239512219465143</v>
      </c>
      <c r="H12" s="11">
        <f>7.875-7*H41</f>
        <v>7.7769300000000001</v>
      </c>
      <c r="I12" s="14">
        <f t="shared" si="2"/>
        <v>0.88657002000000007</v>
      </c>
      <c r="J12" s="14">
        <f t="shared" si="3"/>
        <v>0.20840773628508724</v>
      </c>
    </row>
    <row r="13" spans="1:10" x14ac:dyDescent="0.2">
      <c r="B13" s="3" t="s">
        <v>87</v>
      </c>
      <c r="C13" s="9">
        <v>222.88235299999999</v>
      </c>
      <c r="D13" s="10">
        <f>(31.374314*(1/104.631008057143)*B4)*(1/1.01404239554758)</f>
        <v>10.704497552497692</v>
      </c>
      <c r="E13" s="10">
        <f>(-23.5782158803247*(1/105.016205602868)*B4)*(1/1.00529602335719)</f>
        <v>-8.0847989250756367</v>
      </c>
      <c r="F13" s="14">
        <f t="shared" si="0"/>
        <v>2.6196986274220553</v>
      </c>
      <c r="G13" s="14">
        <f t="shared" si="1"/>
        <v>0.81727118851136216</v>
      </c>
      <c r="H13" s="11">
        <f>11.4375-8*H41</f>
        <v>11.325419999999999</v>
      </c>
      <c r="I13" s="14">
        <f t="shared" si="2"/>
        <v>1.2910978799999999</v>
      </c>
      <c r="J13" s="14">
        <f t="shared" si="3"/>
        <v>0.24038139570051054</v>
      </c>
    </row>
    <row r="14" spans="1:10" x14ac:dyDescent="0.2">
      <c r="A14" s="7" t="s">
        <v>79</v>
      </c>
      <c r="B14" s="14">
        <v>21.64</v>
      </c>
      <c r="C14" s="9">
        <v>247.64705900000001</v>
      </c>
      <c r="D14" s="10">
        <f>(25.835165*(1/104.631008057143)*B4)*(1/1.01404239554758)</f>
        <v>8.8146137796311361</v>
      </c>
      <c r="E14" s="10">
        <f>(-23.0045917899751*(1/105.016205602868)*B4)*(1/1.00529602335719)</f>
        <v>-7.8881073919844535</v>
      </c>
      <c r="F14" s="14">
        <f t="shared" si="0"/>
        <v>0.92650638764668258</v>
      </c>
      <c r="G14" s="14">
        <f t="shared" si="1"/>
        <v>0.84021584680855432</v>
      </c>
      <c r="H14" s="11">
        <f>13.9318181818182-9*H41</f>
        <v>13.8057281818182</v>
      </c>
      <c r="I14" s="14">
        <f t="shared" si="2"/>
        <v>1.5738530127272747</v>
      </c>
      <c r="J14" s="14">
        <f t="shared" si="3"/>
        <v>0.27935740284791577</v>
      </c>
    </row>
    <row r="15" spans="1:10" x14ac:dyDescent="0.2">
      <c r="B15" s="1"/>
      <c r="C15" s="9">
        <v>272.411765</v>
      </c>
      <c r="D15" s="10">
        <f>(22.123627*(1/104.631008057143)*B4)*(1/1.01404239554758)</f>
        <v>7.5482865083160657</v>
      </c>
      <c r="E15" s="10">
        <f>(-21.1768516488418*(1/105.016205602868)*B4)*(1/1.00529602335719)</f>
        <v>-7.2613885764746273</v>
      </c>
      <c r="F15" s="14">
        <f t="shared" si="0"/>
        <v>0.28689793184143841</v>
      </c>
      <c r="G15" s="14">
        <f t="shared" si="1"/>
        <v>0.8473207897426156</v>
      </c>
      <c r="H15" s="11">
        <f>12.8125-10*H41</f>
        <v>12.6724</v>
      </c>
      <c r="I15" s="14">
        <f t="shared" si="2"/>
        <v>1.4446536000000001</v>
      </c>
      <c r="J15" s="14">
        <f t="shared" si="3"/>
        <v>0.31513382452375738</v>
      </c>
    </row>
    <row r="16" spans="1:10" x14ac:dyDescent="0.2">
      <c r="B16" s="1"/>
      <c r="C16" s="9">
        <v>297.17647099999999</v>
      </c>
      <c r="D16" s="10">
        <f>(20.054946*(1/104.631008057143)*B4)*(1/1.01404239554758)</f>
        <v>6.8424801374931548</v>
      </c>
      <c r="E16" s="10">
        <f>(-19.704099548893*(1/105.016205602868)*B4)*(1/1.00529602335719)</f>
        <v>-6.7563925812303518</v>
      </c>
      <c r="F16" s="14">
        <f t="shared" si="0"/>
        <v>8.6087556262802956E-2</v>
      </c>
      <c r="G16" s="14">
        <f t="shared" si="1"/>
        <v>0.84945272276372241</v>
      </c>
      <c r="H16" s="11">
        <f>9.71590909090909-11*H41</f>
        <v>9.5617990909090906</v>
      </c>
      <c r="I16" s="14">
        <f t="shared" si="2"/>
        <v>1.0900450963636363</v>
      </c>
      <c r="J16" s="14">
        <f t="shared" si="3"/>
        <v>0.34212847086194448</v>
      </c>
    </row>
    <row r="17" spans="1:19" x14ac:dyDescent="0.2">
      <c r="B17" s="1" t="s">
        <v>56</v>
      </c>
      <c r="C17" s="9">
        <v>321.94117599999998</v>
      </c>
      <c r="D17" s="10">
        <f>(17.789147*(1/104.631008057143)*B4)*(1/1.01404239554758)</f>
        <v>6.0694197336879361</v>
      </c>
      <c r="E17" s="10">
        <f>(-18.9806136365412*(1/105.016205602868)*B4)*(1/1.00529602335719)</f>
        <v>-6.5083145181496667</v>
      </c>
      <c r="F17" s="14">
        <f t="shared" si="0"/>
        <v>-0.43889478446173058</v>
      </c>
      <c r="G17" s="14">
        <f t="shared" si="1"/>
        <v>0.83858362246159424</v>
      </c>
      <c r="H17" s="11">
        <f>7.89204545454545-12*H41</f>
        <v>7.7239254545454497</v>
      </c>
      <c r="I17" s="14">
        <f t="shared" si="2"/>
        <v>0.88052750181818129</v>
      </c>
      <c r="J17" s="14">
        <f t="shared" si="3"/>
        <v>0.36393447556938618</v>
      </c>
    </row>
    <row r="18" spans="1:19" x14ac:dyDescent="0.2">
      <c r="B18" s="1" t="s">
        <v>57</v>
      </c>
      <c r="C18" s="9">
        <v>346.70588199999997</v>
      </c>
      <c r="D18" s="10">
        <f>(15.451922*(1/104.631008057143)*B4)*(1/1.01404239554758)</f>
        <v>5.2719897311662418</v>
      </c>
      <c r="E18" s="10">
        <f>(-18.7263519832914*(1/105.016205602868)*B4)*(1/1.00529602335719)</f>
        <v>-6.4211300445102806</v>
      </c>
      <c r="F18" s="14">
        <f t="shared" si="0"/>
        <v>-1.1491403133440388</v>
      </c>
      <c r="G18" s="14">
        <f t="shared" si="1"/>
        <v>0.81012550044888121</v>
      </c>
      <c r="H18" s="11">
        <f>8.63068181818182-13*H41</f>
        <v>8.4485518181818193</v>
      </c>
      <c r="I18" s="14">
        <f t="shared" si="2"/>
        <v>0.96313490727272744</v>
      </c>
      <c r="J18" s="14">
        <f t="shared" si="3"/>
        <v>0.38778622838633253</v>
      </c>
    </row>
    <row r="19" spans="1:19" x14ac:dyDescent="0.2">
      <c r="B19" s="12">
        <f>60/(C38/1000)</f>
        <v>71.258907363420434</v>
      </c>
      <c r="C19" s="9">
        <v>371.47058800000002</v>
      </c>
      <c r="D19" s="10">
        <f>(13.372257*(1/104.631008057143)*B4)*(1/1.01404239554758)</f>
        <v>4.5624357660177086</v>
      </c>
      <c r="E19" s="10">
        <f>(-18.5961504155915*(1/105.016205602868)*B4)*(1/1.00529602335719)</f>
        <v>-6.3764848728854941</v>
      </c>
      <c r="F19" s="14">
        <f t="shared" si="0"/>
        <v>-1.8140491068677855</v>
      </c>
      <c r="G19" s="14">
        <f t="shared" si="1"/>
        <v>0.76520110764773797</v>
      </c>
      <c r="H19" s="11">
        <f>10.2045454545455-14*H41</f>
        <v>10.0084054545455</v>
      </c>
      <c r="I19" s="14">
        <f t="shared" si="2"/>
        <v>1.1409582218181871</v>
      </c>
      <c r="J19" s="14">
        <f t="shared" si="3"/>
        <v>0.4160417233079427</v>
      </c>
    </row>
    <row r="20" spans="1:19" x14ac:dyDescent="0.2">
      <c r="B20" s="3" t="s">
        <v>52</v>
      </c>
      <c r="C20" s="9">
        <v>396.23529400000001</v>
      </c>
      <c r="D20" s="10">
        <f>(12.08448*(1/104.631008057143)*B4)*(1/1.01404239554758)</f>
        <v>4.1230634264451904</v>
      </c>
      <c r="E20" s="10">
        <f>(-18.039723906009*(1/105.016205602868)*B4)*(1/1.00529602335719)</f>
        <v>-6.1856902652956087</v>
      </c>
      <c r="F20" s="14">
        <f t="shared" si="0"/>
        <v>-2.0626268388504183</v>
      </c>
      <c r="G20" s="14">
        <f t="shared" si="1"/>
        <v>0.714120760395898</v>
      </c>
      <c r="H20" s="11">
        <f>10.5056818181818-15*H41</f>
        <v>10.2955318181818</v>
      </c>
      <c r="I20" s="14">
        <f t="shared" si="2"/>
        <v>1.1736906272727252</v>
      </c>
      <c r="J20" s="14">
        <f t="shared" si="3"/>
        <v>0.4451078266273073</v>
      </c>
    </row>
    <row r="21" spans="1:19" x14ac:dyDescent="0.2">
      <c r="B21" s="13">
        <f>J38</f>
        <v>0.62688149074985089</v>
      </c>
      <c r="C21" s="9">
        <v>421</v>
      </c>
      <c r="D21" s="10">
        <f>(12.770607*(1/104.631008057143)*B4)*(1/1.01404239554758)</f>
        <v>4.3571608091705185</v>
      </c>
      <c r="E21" s="10">
        <f>(-17.7350999530088*(1/105.016205602868)*B4)*(1/1.00529602335719)</f>
        <v>-6.0812369249636342</v>
      </c>
      <c r="F21" s="14">
        <f t="shared" si="0"/>
        <v>-1.7240761157931157</v>
      </c>
      <c r="G21" s="14">
        <f t="shared" si="1"/>
        <v>0.6714245222666595</v>
      </c>
      <c r="H21" s="11">
        <f>8.57954545454545-16*H41</f>
        <v>8.3553854545454502</v>
      </c>
      <c r="I21" s="14">
        <f t="shared" si="2"/>
        <v>0.95251394181818139</v>
      </c>
      <c r="J21" s="14">
        <f t="shared" si="3"/>
        <v>0.46869655435733565</v>
      </c>
    </row>
    <row r="22" spans="1:19" x14ac:dyDescent="0.2">
      <c r="B22" s="1" t="s">
        <v>37</v>
      </c>
      <c r="C22" s="9">
        <v>445.76470599999999</v>
      </c>
      <c r="D22" s="10">
        <f>(13.097528*(1/104.631008057143)*B4)*(1/1.01404239554758)</f>
        <v>4.4687018947974444</v>
      </c>
      <c r="E22" s="10">
        <f>(-17.9107509924259*(1/105.016205602868)*B4)*(1/1.00529602335719)</f>
        <v>-6.1414663902410656</v>
      </c>
      <c r="F22" s="14">
        <f t="shared" si="0"/>
        <v>-1.6727644954436212</v>
      </c>
      <c r="G22" s="14">
        <f t="shared" si="1"/>
        <v>0.62999900132975983</v>
      </c>
      <c r="H22" s="11">
        <f>6.89204545454545-17*H41</f>
        <v>6.6538754545454495</v>
      </c>
      <c r="I22" s="14">
        <f t="shared" si="2"/>
        <v>0.75854180181818132</v>
      </c>
      <c r="J22" s="14">
        <f t="shared" si="3"/>
        <v>0.48748161906807319</v>
      </c>
    </row>
    <row r="23" spans="1:19" x14ac:dyDescent="0.2">
      <c r="B23" s="3" t="s">
        <v>17</v>
      </c>
      <c r="C23" s="9">
        <v>470.52941199999998</v>
      </c>
      <c r="D23" s="10">
        <f>(13.630498*(1/104.631008057143)*B4)*(1/1.01404239554758)</f>
        <v>4.6505441515095658</v>
      </c>
      <c r="E23" s="10">
        <f>(-17.8861814869582*(1/105.016205602868)*B4)*(1/1.00529602335719)</f>
        <v>-6.1330416853183891</v>
      </c>
      <c r="F23" s="14">
        <f t="shared" si="0"/>
        <v>-1.4824975338088233</v>
      </c>
      <c r="G23" s="14">
        <f t="shared" si="1"/>
        <v>0.59328538575925927</v>
      </c>
      <c r="H23" s="11">
        <f>6.10795454545454-18*H41</f>
        <v>5.8557745454545396</v>
      </c>
      <c r="I23" s="14">
        <f t="shared" si="2"/>
        <v>0.66755829818181756</v>
      </c>
      <c r="J23" s="14">
        <f t="shared" si="3"/>
        <v>0.50401350406040624</v>
      </c>
    </row>
    <row r="24" spans="1:19" x14ac:dyDescent="0.2">
      <c r="A24" s="16" t="s">
        <v>90</v>
      </c>
      <c r="B24" s="14">
        <f>2*B21*(B19/60)*(B19/60)</f>
        <v>1.7684437876954291</v>
      </c>
      <c r="C24" s="9">
        <v>495.29411800000003</v>
      </c>
      <c r="D24" s="10">
        <f>(13.982828*(1/104.631008057143)*B4)*(1/1.01404239554758)</f>
        <v>4.7707544491011404</v>
      </c>
      <c r="E24" s="10">
        <f>(-17.9869025095911*(1/105.016205602868)*B4)*(1/1.00529602335719)</f>
        <v>-6.1675781922215478</v>
      </c>
      <c r="F24" s="14">
        <f t="shared" si="0"/>
        <v>-1.3968237431204074</v>
      </c>
      <c r="G24" s="14">
        <f t="shared" si="1"/>
        <v>0.55869345642706281</v>
      </c>
      <c r="H24" s="11">
        <f>6.15909090909091-19*H41</f>
        <v>5.8929009090909101</v>
      </c>
      <c r="I24" s="14">
        <f t="shared" si="2"/>
        <v>0.67179070363636373</v>
      </c>
      <c r="J24" s="14">
        <f t="shared" si="3"/>
        <v>0.52065020332949397</v>
      </c>
    </row>
    <row r="25" spans="1:19" x14ac:dyDescent="0.2">
      <c r="A25" s="16"/>
      <c r="B25" s="1" t="s">
        <v>19</v>
      </c>
      <c r="C25" s="9">
        <v>520.05882399999996</v>
      </c>
      <c r="D25" s="10">
        <f>(14.103022*(1/104.631008057143)*B4)*(1/1.01404239554758)</f>
        <v>4.8117630390841724</v>
      </c>
      <c r="E25" s="10">
        <f>(-17.5999837688418*(1/105.016205602868)*B4)*(1/1.00529602335719)</f>
        <v>-6.0349065670579183</v>
      </c>
      <c r="F25" s="14">
        <f t="shared" si="0"/>
        <v>-1.2231435279737459</v>
      </c>
      <c r="G25" s="14">
        <f t="shared" si="1"/>
        <v>0.52840266656099022</v>
      </c>
      <c r="H25" s="11">
        <f>6.27840909090909-20*H41</f>
        <v>5.9982090909090902</v>
      </c>
      <c r="I25" s="14">
        <f t="shared" si="2"/>
        <v>0.68379583636363628</v>
      </c>
      <c r="J25" s="14">
        <f t="shared" si="3"/>
        <v>0.53758420618106351</v>
      </c>
    </row>
    <row r="26" spans="1:19" x14ac:dyDescent="0.2">
      <c r="A26" s="16" t="s">
        <v>94</v>
      </c>
      <c r="B26" s="14">
        <f>B24*6</f>
        <v>10.610662726172574</v>
      </c>
      <c r="C26" s="9">
        <v>544.82352900000001</v>
      </c>
      <c r="D26" s="10">
        <f>(13.607144*(1/104.631008057143)*B4)*(1/1.01404239554758)</f>
        <v>4.6425760781409808</v>
      </c>
      <c r="E26" s="10">
        <f>(-17.5791038025923*(1/105.016205602868)*B4)*(1/1.00529602335719)</f>
        <v>-6.0277469783279489</v>
      </c>
      <c r="F26" s="14">
        <f t="shared" si="0"/>
        <v>-1.3851709001869681</v>
      </c>
      <c r="G26" s="14">
        <f t="shared" si="1"/>
        <v>0.49409931645810462</v>
      </c>
      <c r="H26" s="11">
        <f>5.94886363636364-21*H41</f>
        <v>5.6546536363636406</v>
      </c>
      <c r="I26" s="14">
        <f t="shared" si="2"/>
        <v>0.64463051454545506</v>
      </c>
      <c r="J26" s="14">
        <f t="shared" si="3"/>
        <v>0.55354829135241046</v>
      </c>
    </row>
    <row r="27" spans="1:19" x14ac:dyDescent="0.2">
      <c r="A27" s="16"/>
      <c r="C27" s="9">
        <v>569.58823500000005</v>
      </c>
      <c r="D27" s="10">
        <f>(12.68132*(1/104.631008057143)*B4)*(1/1.01404239554758)</f>
        <v>4.326697275434932</v>
      </c>
      <c r="E27" s="10">
        <f>(-17.1577863234411*(1/105.016205602868)*B4)*(1/1.00529602335719)</f>
        <v>-5.8832802756797804</v>
      </c>
      <c r="F27" s="14">
        <f t="shared" si="0"/>
        <v>-1.5565830002448484</v>
      </c>
      <c r="G27" s="14">
        <f t="shared" si="1"/>
        <v>0.45555099609244304</v>
      </c>
      <c r="H27" s="11">
        <f>5.30113636363636-22*H41</f>
        <v>4.9929163636363594</v>
      </c>
      <c r="I27" s="14">
        <f t="shared" si="2"/>
        <v>0.56919246545454494</v>
      </c>
      <c r="J27" s="14">
        <f t="shared" si="3"/>
        <v>0.56764417541680745</v>
      </c>
      <c r="R27" s="16" t="s">
        <v>39</v>
      </c>
      <c r="S27" s="29">
        <v>6</v>
      </c>
    </row>
    <row r="28" spans="1:19" x14ac:dyDescent="0.2">
      <c r="A28" s="16"/>
      <c r="B28" s="1" t="s">
        <v>20</v>
      </c>
      <c r="C28" s="9">
        <v>594.35294099999999</v>
      </c>
      <c r="D28" s="10">
        <f>(12.26923*(1/104.631008057143)*B4)*(1/1.01404239554758)</f>
        <v>4.1860976627578621</v>
      </c>
      <c r="E28" s="10">
        <f>(-16.6664588092746*(1/105.016205602868)*B4)*(1/1.00529602335719)</f>
        <v>-5.7148076406612773</v>
      </c>
      <c r="F28" s="14">
        <f t="shared" si="0"/>
        <v>-1.5287099779034152</v>
      </c>
      <c r="G28" s="14">
        <f t="shared" si="1"/>
        <v>0.41769294293039849</v>
      </c>
      <c r="H28" s="11">
        <f>4.59659090909091-23*H41</f>
        <v>4.2743609090909098</v>
      </c>
      <c r="I28" s="14">
        <f t="shared" si="2"/>
        <v>0.48727714363636376</v>
      </c>
      <c r="J28" s="14">
        <f t="shared" si="3"/>
        <v>0.57971145061948182</v>
      </c>
    </row>
    <row r="29" spans="1:19" x14ac:dyDescent="0.2">
      <c r="A29" s="16" t="s">
        <v>92</v>
      </c>
      <c r="B29" s="17">
        <f>H42/B26</f>
        <v>0.59791144243943162</v>
      </c>
      <c r="C29" s="9">
        <v>619.11764700000003</v>
      </c>
      <c r="D29" s="10">
        <f>(11.98695*(1/104.631008057143)*B4)*(1/1.01404239554758)</f>
        <v>4.0897874910320668</v>
      </c>
      <c r="E29" s="10">
        <f>(-16.6590904614418*(1/105.016205602868)*B4)*(1/1.00529602335719)</f>
        <v>-5.7122810877218786</v>
      </c>
      <c r="F29" s="14">
        <f t="shared" si="0"/>
        <v>-1.6224935966898117</v>
      </c>
      <c r="G29" s="14">
        <f t="shared" si="1"/>
        <v>0.37751236602149274</v>
      </c>
      <c r="H29" s="11">
        <f>4.00568181818182-24*H41</f>
        <v>3.66944181818182</v>
      </c>
      <c r="I29" s="14">
        <f t="shared" si="2"/>
        <v>0.41831636727272747</v>
      </c>
      <c r="J29" s="14">
        <f t="shared" si="3"/>
        <v>0.59007093246997888</v>
      </c>
    </row>
    <row r="30" spans="1:19" x14ac:dyDescent="0.2">
      <c r="A30" s="16"/>
      <c r="B30" s="1"/>
      <c r="C30" s="9">
        <v>643.88235299999997</v>
      </c>
      <c r="D30" s="10">
        <f>(11.368133*(1/104.631008057143)*B4)*(1/1.01404239554758)</f>
        <v>3.8786553827111008</v>
      </c>
      <c r="E30" s="10">
        <f>(-16.5067838502435*(1/105.016205602868)*B4)*(1/1.00529602335719)</f>
        <v>-5.6600562572788995</v>
      </c>
      <c r="F30" s="14">
        <f t="shared" si="0"/>
        <v>-1.7814008745677987</v>
      </c>
      <c r="G30" s="14">
        <f t="shared" si="1"/>
        <v>0.33339649709467833</v>
      </c>
      <c r="H30" s="11">
        <f>3.53409090909091-25*H41</f>
        <v>3.1838409090909101</v>
      </c>
      <c r="I30" s="14">
        <f t="shared" si="2"/>
        <v>0.36295786363636379</v>
      </c>
      <c r="J30" s="14">
        <f t="shared" si="3"/>
        <v>0.59905947725332154</v>
      </c>
      <c r="M30" s="31" t="s">
        <v>18</v>
      </c>
      <c r="N30" s="31"/>
      <c r="O30" s="31"/>
    </row>
    <row r="31" spans="1:19" x14ac:dyDescent="0.2">
      <c r="A31" s="16"/>
      <c r="B31" s="1" t="s">
        <v>21</v>
      </c>
      <c r="C31" s="9">
        <v>668.64705900000001</v>
      </c>
      <c r="D31" s="10">
        <f>(10.823488*(1/104.631008057143)*B4)*(1/1.01404239554758)</f>
        <v>3.6928297716880167</v>
      </c>
      <c r="E31" s="10">
        <f>(-16.5706524031088*(1/105.016205602868)*B4)*(1/1.00529602335719)</f>
        <v>-5.6819563200390499</v>
      </c>
      <c r="F31" s="14">
        <f t="shared" si="0"/>
        <v>-1.9891265483510332</v>
      </c>
      <c r="G31" s="14">
        <f t="shared" si="1"/>
        <v>0.28413636292797023</v>
      </c>
      <c r="H31" s="11">
        <f>3.125-26*H41</f>
        <v>2.7607400000000002</v>
      </c>
      <c r="I31" s="14">
        <f t="shared" si="2"/>
        <v>0.31472436000000004</v>
      </c>
      <c r="J31" s="14">
        <f t="shared" si="3"/>
        <v>0.60685353349975968</v>
      </c>
    </row>
    <row r="32" spans="1:19" x14ac:dyDescent="0.2">
      <c r="A32" s="16" t="s">
        <v>93</v>
      </c>
      <c r="B32" s="13">
        <f>H42/B24</f>
        <v>3.5874686546365893</v>
      </c>
      <c r="C32" s="9">
        <v>693.41176499999995</v>
      </c>
      <c r="D32" s="10">
        <f>(10.360577*(1/104.631008057143)*B4)*(1/1.01404239554758)</f>
        <v>3.534890711521657</v>
      </c>
      <c r="E32" s="10">
        <f>(-16.2672588926593*(1/105.016205602868)*B4)*(1/1.00529602335719)</f>
        <v>-5.5779248895183091</v>
      </c>
      <c r="F32" s="14">
        <f t="shared" si="0"/>
        <v>-2.0430341779966521</v>
      </c>
      <c r="G32" s="14">
        <f t="shared" si="1"/>
        <v>0.23354122216193146</v>
      </c>
      <c r="H32" s="11">
        <f>2.48295454545454-27*H41</f>
        <v>2.10468454545454</v>
      </c>
      <c r="I32" s="14">
        <f t="shared" si="2"/>
        <v>0.23993403818181758</v>
      </c>
      <c r="J32" s="14">
        <f t="shared" si="3"/>
        <v>0.6127954294147252</v>
      </c>
    </row>
    <row r="33" spans="1:10" x14ac:dyDescent="0.2">
      <c r="B33" s="1"/>
      <c r="C33" s="9">
        <v>718.17647099999999</v>
      </c>
      <c r="D33" s="10">
        <f>(10.332418*(1/104.631008057143)*B4)*(1/1.01404239554758)</f>
        <v>3.5252832362289457</v>
      </c>
      <c r="E33" s="10">
        <f>(-16.0940597961739*(1/105.016205602868)*B4)*(1/1.00529602335719)</f>
        <v>-5.5185361776583202</v>
      </c>
      <c r="F33" s="14">
        <f t="shared" si="0"/>
        <v>-1.9932529414293745</v>
      </c>
      <c r="G33" s="14">
        <f t="shared" si="1"/>
        <v>0.18417889908379778</v>
      </c>
      <c r="H33" s="11">
        <f>2-28*H41</f>
        <v>1.60772</v>
      </c>
      <c r="I33" s="14">
        <f t="shared" si="2"/>
        <v>0.18328008000000001</v>
      </c>
      <c r="J33" s="14">
        <f t="shared" si="3"/>
        <v>0.61733430671158163</v>
      </c>
    </row>
    <row r="34" spans="1:10" x14ac:dyDescent="0.2">
      <c r="B34" s="1" t="s">
        <v>22</v>
      </c>
      <c r="C34" s="9">
        <v>742.94117600000004</v>
      </c>
      <c r="D34" s="10">
        <f>(9.832417*(1/104.631008057143)*B4)*(1/1.01404239554758)</f>
        <v>3.3546895626669864</v>
      </c>
      <c r="E34" s="10">
        <f>(-15.8840189605246*(1/105.016205602868)*B4)*(1/1.00529602335719)</f>
        <v>-5.446514701101373</v>
      </c>
      <c r="F34" s="14">
        <f t="shared" si="0"/>
        <v>-2.0918251384343867</v>
      </c>
      <c r="G34" s="14">
        <f t="shared" si="1"/>
        <v>0.13237546452706089</v>
      </c>
      <c r="H34" s="11">
        <f>1.70454545454545-29*H41</f>
        <v>1.2982554545454499</v>
      </c>
      <c r="I34" s="14">
        <f t="shared" si="2"/>
        <v>0.14800112181818129</v>
      </c>
      <c r="J34" s="14">
        <f t="shared" si="3"/>
        <v>0.62099951098107908</v>
      </c>
    </row>
    <row r="35" spans="1:10" ht="19" x14ac:dyDescent="0.25">
      <c r="A35" s="69" t="s">
        <v>82</v>
      </c>
      <c r="B35" s="75">
        <f>B14/B29</f>
        <v>36.192650723843826</v>
      </c>
      <c r="C35" s="9">
        <v>767.70588199999997</v>
      </c>
      <c r="D35" s="10">
        <f>(9.729395*(1/104.631008057143)*B4)*(1/1.01404239554758)</f>
        <v>3.3195398300910512</v>
      </c>
      <c r="E35" s="10">
        <f>(-15.4135732010415*(1/105.016205602868)*B4)*(1/1.00529602335719)</f>
        <v>-5.2852022680538298</v>
      </c>
      <c r="F35" s="14">
        <f t="shared" si="0"/>
        <v>-1.9656624379627785</v>
      </c>
      <c r="G35" s="14">
        <f t="shared" si="1"/>
        <v>8.3696412155669447E-2</v>
      </c>
      <c r="H35" s="11">
        <f>1.53409090909091-30*H41</f>
        <v>1.1137909090909099</v>
      </c>
      <c r="I35" s="14">
        <f t="shared" si="2"/>
        <v>0.12697216363636374</v>
      </c>
      <c r="J35" s="14">
        <f t="shared" si="3"/>
        <v>0.62414393928371747</v>
      </c>
    </row>
    <row r="36" spans="1:10" x14ac:dyDescent="0.2">
      <c r="C36" s="9">
        <v>792.47058800000002</v>
      </c>
      <c r="D36" s="10">
        <f>(9.587913*(1/104.631008057143)*B4)*(1/1.01404239554758)</f>
        <v>3.2712680583888085</v>
      </c>
      <c r="E36" s="10">
        <f>(-14.8252106265924*(1/105.016205602868)*B4)*(1/1.00529602335719)</f>
        <v>-5.0834570158428596</v>
      </c>
      <c r="F36" s="14">
        <f t="shared" si="0"/>
        <v>-1.8121889574540511</v>
      </c>
      <c r="G36" s="14">
        <f t="shared" si="1"/>
        <v>3.8818085407873369E-2</v>
      </c>
      <c r="H36" s="11">
        <f>1.17613636363636-31*H41</f>
        <v>0.74182636363636001</v>
      </c>
      <c r="I36" s="14">
        <f t="shared" si="2"/>
        <v>8.4568205454545048E-2</v>
      </c>
      <c r="J36" s="14">
        <f t="shared" si="3"/>
        <v>0.62623824602874689</v>
      </c>
    </row>
    <row r="37" spans="1:10" x14ac:dyDescent="0.2">
      <c r="B37" s="23" t="s">
        <v>26</v>
      </c>
      <c r="C37" s="9">
        <v>817.23529399999995</v>
      </c>
      <c r="D37" s="10">
        <f>(9.789148*(1/104.631008057143)*B4)*(1/1.01404239554758)</f>
        <v>3.3399267568698936</v>
      </c>
      <c r="E37" s="10">
        <f>(-14.3117727036257*(1/105.016205602868)*B4)*(1/1.00529602335719)</f>
        <v>-4.9074028822831544</v>
      </c>
      <c r="F37" s="14">
        <f t="shared" si="0"/>
        <v>-1.5674761254132608</v>
      </c>
      <c r="G37" s="14">
        <f t="shared" si="1"/>
        <v>-5.1625370645069779E-15</v>
      </c>
      <c r="H37" s="11">
        <f>0.676136363636363-32*H41</f>
        <v>0.22781636363636298</v>
      </c>
      <c r="I37" s="14">
        <f t="shared" si="2"/>
        <v>2.5971065454545382E-2</v>
      </c>
      <c r="J37" s="14">
        <f t="shared" si="3"/>
        <v>0.62688141182923551</v>
      </c>
    </row>
    <row r="38" spans="1:10" x14ac:dyDescent="0.2">
      <c r="B38" s="23" t="s">
        <v>28</v>
      </c>
      <c r="C38" s="9">
        <v>842</v>
      </c>
      <c r="D38" s="10">
        <f>(9.112638*(1/104.631008057143)*B4)*(1/1.01404239554758)</f>
        <v>3.1091105662994729</v>
      </c>
      <c r="E38" s="10">
        <f>(-14.351080693193*(1/105.016205602868)*B4)*(1/1.00529602335719)</f>
        <v>-4.9208813063256542</v>
      </c>
      <c r="F38" s="14">
        <f>D38+E38</f>
        <v>-1.8117707400261813</v>
      </c>
      <c r="G38" s="14">
        <f t="shared" si="1"/>
        <v>-4.4867969716155975E-2</v>
      </c>
      <c r="H38" s="11">
        <f>0.462357954545453-33*H41</f>
        <v>2.795454545295728E-5</v>
      </c>
      <c r="I38" s="14">
        <f t="shared" si="2"/>
        <v>3.18681818163713E-6</v>
      </c>
      <c r="J38" s="18">
        <f t="shared" si="3"/>
        <v>0.62688149074985089</v>
      </c>
    </row>
    <row r="39" spans="1:10" x14ac:dyDescent="0.2">
      <c r="C39" s="2"/>
      <c r="D39" s="2"/>
      <c r="E39" s="2"/>
      <c r="H39" s="2"/>
    </row>
    <row r="40" spans="1:10" x14ac:dyDescent="0.2">
      <c r="C40" s="21" t="s">
        <v>24</v>
      </c>
      <c r="D40" s="9">
        <f>AVERAGE(D4:D37)</f>
        <v>6.0333333333333385</v>
      </c>
      <c r="E40" s="9">
        <f>AVERAGE(E4:E37)</f>
        <v>-6.0333333333333465</v>
      </c>
      <c r="H40" s="2" t="s">
        <v>49</v>
      </c>
    </row>
    <row r="41" spans="1:10" x14ac:dyDescent="0.2">
      <c r="C41" s="30" t="s">
        <v>27</v>
      </c>
      <c r="D41" s="38">
        <f>D40*6</f>
        <v>36.200000000000031</v>
      </c>
      <c r="E41" s="38">
        <f>E40*6</f>
        <v>-36.200000000000081</v>
      </c>
      <c r="H41" s="39">
        <v>1.401E-2</v>
      </c>
    </row>
    <row r="42" spans="1:10" x14ac:dyDescent="0.2">
      <c r="C42" s="2"/>
      <c r="D42" s="2"/>
      <c r="E42" s="2"/>
      <c r="G42" s="16" t="s">
        <v>50</v>
      </c>
      <c r="H42" s="18">
        <f>AVERAGE(H4:H38)</f>
        <v>6.3442366558441554</v>
      </c>
    </row>
    <row r="44" spans="1:10" x14ac:dyDescent="0.2">
      <c r="D44" s="10"/>
      <c r="E44" s="1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07C2E-5592-814E-A900-74F14099B80E}">
  <dimension ref="A1:S39"/>
  <sheetViews>
    <sheetView zoomScale="150" zoomScaleNormal="150" workbookViewId="0">
      <selection activeCell="A4" sqref="A4"/>
    </sheetView>
  </sheetViews>
  <sheetFormatPr baseColWidth="10" defaultRowHeight="16" x14ac:dyDescent="0.2"/>
  <cols>
    <col min="1" max="1" width="16.83203125" bestFit="1" customWidth="1"/>
    <col min="2" max="2" width="25.5" bestFit="1" customWidth="1"/>
  </cols>
  <sheetData>
    <row r="1" spans="1:19" x14ac:dyDescent="0.2">
      <c r="A1" s="20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x14ac:dyDescent="0.2">
      <c r="A2" s="20"/>
      <c r="B2" s="41"/>
      <c r="C2" s="31"/>
      <c r="D2" s="31"/>
      <c r="E2" s="31"/>
      <c r="F2" s="42"/>
      <c r="G2" s="42" t="s">
        <v>0</v>
      </c>
      <c r="H2" s="34" t="s">
        <v>0</v>
      </c>
      <c r="I2" s="31"/>
      <c r="J2" s="42" t="s">
        <v>1</v>
      </c>
      <c r="K2" s="31"/>
      <c r="L2" s="31"/>
      <c r="M2" s="31"/>
      <c r="N2" s="31"/>
      <c r="O2" s="31"/>
      <c r="P2" s="31"/>
      <c r="Q2" s="31"/>
      <c r="R2" s="31"/>
      <c r="S2" s="31"/>
    </row>
    <row r="3" spans="1:19" x14ac:dyDescent="0.2">
      <c r="A3" s="20"/>
      <c r="B3" s="43" t="s">
        <v>58</v>
      </c>
      <c r="C3" s="44" t="s">
        <v>3</v>
      </c>
      <c r="D3" s="44" t="s">
        <v>4</v>
      </c>
      <c r="E3" s="44" t="s">
        <v>5</v>
      </c>
      <c r="F3" s="44" t="s">
        <v>6</v>
      </c>
      <c r="G3" s="45" t="s">
        <v>51</v>
      </c>
      <c r="H3" s="44" t="s">
        <v>8</v>
      </c>
      <c r="I3" s="46" t="s">
        <v>30</v>
      </c>
      <c r="J3" s="43" t="s">
        <v>47</v>
      </c>
      <c r="K3" s="31"/>
      <c r="L3" s="31"/>
      <c r="M3" s="31"/>
      <c r="N3" s="31"/>
      <c r="O3" s="31"/>
      <c r="P3" s="31"/>
      <c r="Q3" s="31"/>
      <c r="R3" s="31"/>
      <c r="S3" s="31"/>
    </row>
    <row r="4" spans="1:19" ht="19" x14ac:dyDescent="0.25">
      <c r="A4" s="70" t="s">
        <v>83</v>
      </c>
      <c r="B4" s="76">
        <v>20.6</v>
      </c>
      <c r="C4" s="32">
        <v>0</v>
      </c>
      <c r="D4" s="15">
        <v>2.02</v>
      </c>
      <c r="E4" s="15">
        <v>-1.97</v>
      </c>
      <c r="F4" s="48">
        <v>-0.05</v>
      </c>
      <c r="G4" s="41">
        <v>0</v>
      </c>
      <c r="H4" s="49">
        <v>0</v>
      </c>
      <c r="I4" s="41">
        <v>0</v>
      </c>
      <c r="J4" s="41">
        <v>0</v>
      </c>
      <c r="K4" s="31"/>
      <c r="L4" s="31"/>
      <c r="M4" s="31"/>
      <c r="N4" s="31"/>
      <c r="O4" s="31"/>
      <c r="P4" s="31"/>
      <c r="Q4" s="31"/>
      <c r="R4" s="31"/>
      <c r="S4" s="31"/>
    </row>
    <row r="5" spans="1:19" x14ac:dyDescent="0.2">
      <c r="A5" s="20"/>
      <c r="B5" s="48" t="s">
        <v>31</v>
      </c>
      <c r="C5" s="32">
        <v>31</v>
      </c>
      <c r="D5" s="15">
        <v>1.97</v>
      </c>
      <c r="E5" s="15">
        <v>-1.88</v>
      </c>
      <c r="F5" s="48">
        <v>0.09</v>
      </c>
      <c r="G5" s="41">
        <v>0</v>
      </c>
      <c r="H5" s="49">
        <v>3.5</v>
      </c>
      <c r="I5" s="41">
        <v>0.1</v>
      </c>
      <c r="J5" s="48">
        <v>0</v>
      </c>
      <c r="K5" s="31"/>
      <c r="L5" s="31"/>
      <c r="M5" s="31"/>
      <c r="N5" s="31"/>
      <c r="O5" s="31"/>
      <c r="P5" s="31"/>
      <c r="Q5" s="31"/>
      <c r="R5" s="31"/>
      <c r="S5" s="31"/>
    </row>
    <row r="6" spans="1:19" x14ac:dyDescent="0.2">
      <c r="A6" s="20"/>
      <c r="B6" s="48">
        <v>3.43</v>
      </c>
      <c r="C6" s="32">
        <v>62</v>
      </c>
      <c r="D6" s="15">
        <v>2.15</v>
      </c>
      <c r="E6" s="15">
        <v>-1.93</v>
      </c>
      <c r="F6" s="48">
        <v>0.21</v>
      </c>
      <c r="G6" s="41">
        <v>0</v>
      </c>
      <c r="H6" s="49">
        <v>7.6</v>
      </c>
      <c r="I6" s="41">
        <v>0.3</v>
      </c>
      <c r="J6" s="48">
        <v>0.01</v>
      </c>
      <c r="K6" s="31"/>
      <c r="L6" s="31"/>
      <c r="M6" s="31"/>
      <c r="N6" s="31"/>
      <c r="O6" s="31"/>
      <c r="P6" s="31"/>
      <c r="Q6" s="31"/>
      <c r="R6" s="31"/>
      <c r="S6" s="31"/>
    </row>
    <row r="7" spans="1:19" x14ac:dyDescent="0.2">
      <c r="A7" s="20"/>
      <c r="B7" s="50"/>
      <c r="C7" s="32">
        <v>92</v>
      </c>
      <c r="D7" s="15">
        <v>2.66</v>
      </c>
      <c r="E7" s="15">
        <v>-2.2200000000000002</v>
      </c>
      <c r="F7" s="48">
        <v>0.44</v>
      </c>
      <c r="G7" s="41">
        <v>0</v>
      </c>
      <c r="H7" s="49">
        <v>5.6</v>
      </c>
      <c r="I7" s="41">
        <v>0.2</v>
      </c>
      <c r="J7" s="48">
        <v>0.02</v>
      </c>
      <c r="K7" s="31"/>
      <c r="L7" s="31"/>
      <c r="M7" s="31"/>
      <c r="N7" s="31"/>
      <c r="O7" s="31"/>
      <c r="P7" s="31"/>
      <c r="Q7" s="31"/>
      <c r="R7" s="31"/>
      <c r="S7" s="31"/>
    </row>
    <row r="8" spans="1:19" x14ac:dyDescent="0.2">
      <c r="A8" s="20"/>
      <c r="B8" s="43" t="s">
        <v>32</v>
      </c>
      <c r="C8" s="32">
        <v>123</v>
      </c>
      <c r="D8" s="15">
        <v>3.62</v>
      </c>
      <c r="E8" s="15">
        <v>-2.73</v>
      </c>
      <c r="F8" s="48">
        <v>0.89</v>
      </c>
      <c r="G8" s="41">
        <v>0</v>
      </c>
      <c r="H8" s="49">
        <v>3.9</v>
      </c>
      <c r="I8" s="41">
        <v>0.1</v>
      </c>
      <c r="J8" s="48">
        <v>0.02</v>
      </c>
      <c r="K8" s="31"/>
      <c r="L8" s="31"/>
      <c r="M8" s="31"/>
      <c r="N8" s="31"/>
      <c r="O8" s="31"/>
      <c r="P8" s="31"/>
      <c r="Q8" s="31"/>
      <c r="R8" s="31"/>
      <c r="S8" s="31"/>
    </row>
    <row r="9" spans="1:19" x14ac:dyDescent="0.2">
      <c r="A9" s="7" t="s">
        <v>76</v>
      </c>
      <c r="B9" s="42">
        <v>3.3450000000000001E-2</v>
      </c>
      <c r="C9" s="32">
        <v>154</v>
      </c>
      <c r="D9" s="15">
        <v>4.6900000000000004</v>
      </c>
      <c r="E9" s="15">
        <v>-3.35</v>
      </c>
      <c r="F9" s="48">
        <v>1.34</v>
      </c>
      <c r="G9" s="41">
        <v>0.1</v>
      </c>
      <c r="H9" s="49">
        <v>7.1</v>
      </c>
      <c r="I9" s="41">
        <v>0.2</v>
      </c>
      <c r="J9" s="48">
        <v>0.03</v>
      </c>
      <c r="K9" s="31"/>
      <c r="L9" s="31"/>
      <c r="M9" s="31"/>
      <c r="N9" s="31"/>
      <c r="O9" s="31"/>
      <c r="P9" s="31"/>
      <c r="Q9" s="31"/>
      <c r="R9" s="31"/>
      <c r="S9" s="31"/>
    </row>
    <row r="10" spans="1:19" x14ac:dyDescent="0.2">
      <c r="A10" s="20"/>
      <c r="B10" s="1" t="s">
        <v>86</v>
      </c>
      <c r="C10" s="32">
        <v>185</v>
      </c>
      <c r="D10" s="15">
        <v>5.49</v>
      </c>
      <c r="E10" s="15">
        <v>-4.03</v>
      </c>
      <c r="F10" s="48">
        <v>1.46</v>
      </c>
      <c r="G10" s="41">
        <v>0.1</v>
      </c>
      <c r="H10" s="49">
        <v>11.1</v>
      </c>
      <c r="I10" s="41">
        <v>0.4</v>
      </c>
      <c r="J10" s="48">
        <v>0.04</v>
      </c>
      <c r="K10" s="31"/>
      <c r="L10" s="31"/>
      <c r="M10" s="31"/>
      <c r="N10" s="31"/>
      <c r="O10" s="31"/>
      <c r="P10" s="31"/>
      <c r="Q10" s="31"/>
      <c r="R10" s="31"/>
      <c r="S10" s="31"/>
    </row>
    <row r="11" spans="1:19" x14ac:dyDescent="0.2">
      <c r="A11" s="7" t="s">
        <v>78</v>
      </c>
      <c r="B11" s="48">
        <v>29.9</v>
      </c>
      <c r="C11" s="32">
        <v>215</v>
      </c>
      <c r="D11" s="15">
        <v>5.92</v>
      </c>
      <c r="E11" s="15">
        <v>-4.6500000000000004</v>
      </c>
      <c r="F11" s="48">
        <v>1.27</v>
      </c>
      <c r="G11" s="41">
        <v>0.2</v>
      </c>
      <c r="H11" s="49">
        <v>9.9</v>
      </c>
      <c r="I11" s="41">
        <v>0.3</v>
      </c>
      <c r="J11" s="48">
        <v>0.05</v>
      </c>
      <c r="K11" s="31"/>
      <c r="L11" s="31"/>
      <c r="M11" s="31"/>
      <c r="N11" s="31"/>
      <c r="O11" s="31"/>
      <c r="P11" s="31"/>
      <c r="Q11" s="31"/>
      <c r="R11" s="31"/>
      <c r="S11" s="31"/>
    </row>
    <row r="12" spans="1:19" x14ac:dyDescent="0.2">
      <c r="A12" s="20"/>
      <c r="B12" s="42" t="s">
        <v>12</v>
      </c>
      <c r="C12" s="32">
        <v>246</v>
      </c>
      <c r="D12" s="15">
        <v>5.95</v>
      </c>
      <c r="E12" s="15">
        <v>-5.0199999999999996</v>
      </c>
      <c r="F12" s="48">
        <v>0.93</v>
      </c>
      <c r="G12" s="41">
        <v>0.2</v>
      </c>
      <c r="H12" s="49">
        <v>7.8</v>
      </c>
      <c r="I12" s="41">
        <v>0.3</v>
      </c>
      <c r="J12" s="48">
        <v>0.06</v>
      </c>
      <c r="K12" s="31"/>
      <c r="L12" s="31"/>
      <c r="M12" s="31"/>
      <c r="N12" s="31"/>
      <c r="O12" s="31"/>
      <c r="P12" s="31"/>
      <c r="Q12" s="31"/>
      <c r="R12" s="31"/>
      <c r="S12" s="31"/>
    </row>
    <row r="13" spans="1:19" x14ac:dyDescent="0.2">
      <c r="A13" s="20"/>
      <c r="B13" s="43" t="s">
        <v>77</v>
      </c>
      <c r="C13" s="32">
        <v>277</v>
      </c>
      <c r="D13" s="15">
        <v>5.7</v>
      </c>
      <c r="E13" s="15">
        <v>-5.12</v>
      </c>
      <c r="F13" s="48">
        <v>0.57999999999999996</v>
      </c>
      <c r="G13" s="41">
        <v>0.2</v>
      </c>
      <c r="H13" s="49">
        <v>9.4</v>
      </c>
      <c r="I13" s="41">
        <v>0.3</v>
      </c>
      <c r="J13" s="48">
        <v>7.0000000000000007E-2</v>
      </c>
      <c r="K13" s="31"/>
      <c r="L13" s="31"/>
      <c r="M13" s="31"/>
      <c r="N13" s="31"/>
      <c r="O13" s="31"/>
      <c r="P13" s="31"/>
      <c r="Q13" s="31"/>
      <c r="R13" s="31"/>
      <c r="S13" s="31"/>
    </row>
    <row r="14" spans="1:19" x14ac:dyDescent="0.2">
      <c r="A14" s="7" t="s">
        <v>79</v>
      </c>
      <c r="B14" s="48">
        <v>44.31</v>
      </c>
      <c r="C14" s="32">
        <v>308</v>
      </c>
      <c r="D14" s="15">
        <v>5.28</v>
      </c>
      <c r="E14" s="15">
        <v>-5.08</v>
      </c>
      <c r="F14" s="48">
        <v>0.2</v>
      </c>
      <c r="G14" s="41">
        <v>0.2</v>
      </c>
      <c r="H14" s="49">
        <v>10.5</v>
      </c>
      <c r="I14" s="41">
        <v>0.4</v>
      </c>
      <c r="J14" s="48">
        <v>0.08</v>
      </c>
      <c r="K14" s="31"/>
      <c r="L14" s="31"/>
      <c r="M14" s="31"/>
      <c r="N14" s="31"/>
      <c r="O14" s="31"/>
      <c r="P14" s="31"/>
      <c r="Q14" s="31"/>
      <c r="R14" s="31"/>
      <c r="S14" s="31"/>
    </row>
    <row r="15" spans="1:19" x14ac:dyDescent="0.2">
      <c r="A15" s="20"/>
      <c r="B15" s="42"/>
      <c r="C15" s="32">
        <v>338</v>
      </c>
      <c r="D15" s="15">
        <v>4.79</v>
      </c>
      <c r="E15" s="15">
        <v>-4.8600000000000003</v>
      </c>
      <c r="F15" s="48">
        <v>-7.0000000000000007E-2</v>
      </c>
      <c r="G15" s="41">
        <v>0.2</v>
      </c>
      <c r="H15" s="49">
        <v>9.4</v>
      </c>
      <c r="I15" s="41">
        <v>0.3</v>
      </c>
      <c r="J15" s="48">
        <v>0.09</v>
      </c>
      <c r="K15" s="31"/>
      <c r="L15" s="31"/>
      <c r="M15" s="31"/>
      <c r="N15" s="31"/>
      <c r="O15" s="31"/>
      <c r="P15" s="31"/>
      <c r="Q15" s="31"/>
      <c r="R15" s="31"/>
      <c r="S15" s="31"/>
    </row>
    <row r="16" spans="1:19" x14ac:dyDescent="0.2">
      <c r="A16" s="20"/>
      <c r="B16" s="42"/>
      <c r="C16" s="32">
        <v>369</v>
      </c>
      <c r="D16" s="15">
        <v>4.33</v>
      </c>
      <c r="E16" s="15">
        <v>-4.51</v>
      </c>
      <c r="F16" s="48">
        <v>-0.18</v>
      </c>
      <c r="G16" s="41">
        <v>0.2</v>
      </c>
      <c r="H16" s="49">
        <v>8</v>
      </c>
      <c r="I16" s="41">
        <v>0.3</v>
      </c>
      <c r="J16" s="48">
        <v>0.1</v>
      </c>
      <c r="K16" s="31"/>
      <c r="L16" s="31"/>
      <c r="M16" s="31"/>
      <c r="N16" s="31"/>
      <c r="O16" s="31"/>
      <c r="P16" s="31"/>
      <c r="Q16" s="31"/>
      <c r="R16" s="31"/>
      <c r="S16" s="31"/>
    </row>
    <row r="17" spans="1:19" x14ac:dyDescent="0.2">
      <c r="A17" s="20"/>
      <c r="B17" s="42" t="s">
        <v>56</v>
      </c>
      <c r="C17" s="32">
        <v>400</v>
      </c>
      <c r="D17" s="15">
        <v>3.97</v>
      </c>
      <c r="E17" s="15">
        <v>-4.1100000000000003</v>
      </c>
      <c r="F17" s="48">
        <v>-0.14000000000000001</v>
      </c>
      <c r="G17" s="41">
        <v>0.2</v>
      </c>
      <c r="H17" s="49">
        <v>8.1</v>
      </c>
      <c r="I17" s="41">
        <v>0.3</v>
      </c>
      <c r="J17" s="48">
        <v>0.1</v>
      </c>
      <c r="K17" s="31"/>
      <c r="L17" s="31"/>
      <c r="M17" s="31"/>
      <c r="N17" s="31"/>
      <c r="O17" s="31"/>
      <c r="P17" s="31"/>
      <c r="Q17" s="31"/>
      <c r="R17" s="31"/>
      <c r="S17" s="31"/>
    </row>
    <row r="18" spans="1:19" x14ac:dyDescent="0.2">
      <c r="A18" s="20"/>
      <c r="B18" s="42" t="s">
        <v>59</v>
      </c>
      <c r="C18" s="32">
        <v>431</v>
      </c>
      <c r="D18" s="15">
        <v>3.7</v>
      </c>
      <c r="E18" s="15">
        <v>-3.81</v>
      </c>
      <c r="F18" s="48">
        <v>-0.11</v>
      </c>
      <c r="G18" s="41">
        <v>0.2</v>
      </c>
      <c r="H18" s="49">
        <v>7.8</v>
      </c>
      <c r="I18" s="41">
        <v>0.3</v>
      </c>
      <c r="J18" s="48">
        <v>0.11</v>
      </c>
      <c r="K18" s="31"/>
      <c r="L18" s="31"/>
      <c r="M18" s="31"/>
      <c r="N18" s="31"/>
      <c r="O18" s="31"/>
      <c r="P18" s="31"/>
      <c r="Q18" s="31"/>
      <c r="R18" s="31"/>
      <c r="S18" s="31"/>
    </row>
    <row r="19" spans="1:19" x14ac:dyDescent="0.2">
      <c r="A19" s="20"/>
      <c r="B19" s="51">
        <v>67</v>
      </c>
      <c r="C19" s="32">
        <v>461</v>
      </c>
      <c r="D19" s="15">
        <v>3.49</v>
      </c>
      <c r="E19" s="15">
        <v>-3.6</v>
      </c>
      <c r="F19" s="48">
        <v>-0.11</v>
      </c>
      <c r="G19" s="41">
        <v>0.2</v>
      </c>
      <c r="H19" s="49">
        <v>6.8</v>
      </c>
      <c r="I19" s="41">
        <v>0.2</v>
      </c>
      <c r="J19" s="48">
        <v>0.12</v>
      </c>
      <c r="K19" s="31"/>
      <c r="L19" s="31"/>
      <c r="M19" s="31"/>
      <c r="N19" s="31"/>
      <c r="O19" s="31"/>
      <c r="P19" s="31"/>
      <c r="Q19" s="31"/>
      <c r="R19" s="31"/>
      <c r="S19" s="31"/>
    </row>
    <row r="20" spans="1:19" x14ac:dyDescent="0.2">
      <c r="A20" s="20"/>
      <c r="B20" s="43" t="s">
        <v>52</v>
      </c>
      <c r="C20" s="32">
        <v>492</v>
      </c>
      <c r="D20" s="15">
        <v>3.29</v>
      </c>
      <c r="E20" s="15">
        <v>-3.5</v>
      </c>
      <c r="F20" s="48">
        <v>-0.21</v>
      </c>
      <c r="G20" s="41">
        <v>0.2</v>
      </c>
      <c r="H20" s="49">
        <v>6.1</v>
      </c>
      <c r="I20" s="41">
        <v>0.2</v>
      </c>
      <c r="J20" s="48">
        <v>0.13</v>
      </c>
      <c r="K20" s="31"/>
      <c r="L20" s="31"/>
      <c r="M20" s="31"/>
      <c r="N20" s="31"/>
      <c r="O20" s="31"/>
      <c r="P20" s="31"/>
      <c r="Q20" s="31"/>
      <c r="R20" s="31"/>
      <c r="S20" s="31"/>
    </row>
    <row r="21" spans="1:19" x14ac:dyDescent="0.2">
      <c r="A21" s="20"/>
      <c r="B21" s="52">
        <v>0.16300000000000001</v>
      </c>
      <c r="C21" s="32">
        <v>523</v>
      </c>
      <c r="D21" s="15">
        <v>3.11</v>
      </c>
      <c r="E21" s="15">
        <v>-3.47</v>
      </c>
      <c r="F21" s="48">
        <v>-0.35</v>
      </c>
      <c r="G21" s="41">
        <v>0.2</v>
      </c>
      <c r="H21" s="49">
        <v>5.7</v>
      </c>
      <c r="I21" s="41">
        <v>0.2</v>
      </c>
      <c r="J21" s="48">
        <v>0.13</v>
      </c>
      <c r="K21" s="31"/>
      <c r="L21" s="31"/>
      <c r="M21" s="31"/>
      <c r="N21" s="31"/>
      <c r="O21" s="31"/>
      <c r="P21" s="31"/>
      <c r="Q21" s="31"/>
      <c r="R21" s="31"/>
      <c r="S21" s="31"/>
    </row>
    <row r="22" spans="1:19" x14ac:dyDescent="0.2">
      <c r="A22" s="20"/>
      <c r="B22" s="42" t="s">
        <v>37</v>
      </c>
      <c r="C22" s="32">
        <v>554</v>
      </c>
      <c r="D22" s="15">
        <v>2.96</v>
      </c>
      <c r="E22" s="15">
        <v>-3.5</v>
      </c>
      <c r="F22" s="48">
        <v>-0.55000000000000004</v>
      </c>
      <c r="G22" s="41">
        <v>0.2</v>
      </c>
      <c r="H22" s="49">
        <v>5.2</v>
      </c>
      <c r="I22" s="41">
        <v>0.2</v>
      </c>
      <c r="J22" s="48">
        <v>0.14000000000000001</v>
      </c>
      <c r="K22" s="31"/>
      <c r="L22" s="31"/>
      <c r="M22" s="31"/>
      <c r="N22" s="31"/>
      <c r="O22" s="31"/>
      <c r="P22" s="31"/>
      <c r="Q22" s="31"/>
      <c r="R22" s="20" t="s">
        <v>39</v>
      </c>
      <c r="S22" s="53">
        <v>8</v>
      </c>
    </row>
    <row r="23" spans="1:19" x14ac:dyDescent="0.2">
      <c r="A23" s="20"/>
      <c r="B23" s="43" t="s">
        <v>17</v>
      </c>
      <c r="C23" s="32">
        <v>584</v>
      </c>
      <c r="D23" s="15">
        <v>2.82</v>
      </c>
      <c r="E23" s="15">
        <v>-3.54</v>
      </c>
      <c r="F23" s="48">
        <v>-0.72</v>
      </c>
      <c r="G23" s="41">
        <v>0.2</v>
      </c>
      <c r="H23" s="49">
        <v>4.5999999999999996</v>
      </c>
      <c r="I23" s="41">
        <v>0.2</v>
      </c>
      <c r="J23" s="48">
        <v>0.14000000000000001</v>
      </c>
      <c r="K23" s="31"/>
      <c r="L23" s="31"/>
      <c r="M23" s="31"/>
      <c r="N23" s="31"/>
      <c r="O23" s="31"/>
      <c r="P23" s="31"/>
      <c r="Q23" s="31"/>
      <c r="R23" s="31"/>
      <c r="S23" s="31"/>
    </row>
    <row r="24" spans="1:19" x14ac:dyDescent="0.2">
      <c r="A24" s="47" t="s">
        <v>95</v>
      </c>
      <c r="B24" s="48">
        <v>0.41</v>
      </c>
      <c r="C24" s="32">
        <v>615</v>
      </c>
      <c r="D24" s="15">
        <v>2.72</v>
      </c>
      <c r="E24" s="15">
        <v>-3.51</v>
      </c>
      <c r="F24" s="48">
        <v>-0.79</v>
      </c>
      <c r="G24" s="41">
        <v>0.1</v>
      </c>
      <c r="H24" s="49">
        <v>4</v>
      </c>
      <c r="I24" s="41">
        <v>0.1</v>
      </c>
      <c r="J24" s="48">
        <v>0.15</v>
      </c>
      <c r="K24" s="31"/>
      <c r="L24" s="31"/>
      <c r="M24" s="31"/>
      <c r="N24" s="31"/>
      <c r="O24" s="31"/>
      <c r="P24" s="31"/>
      <c r="Q24" s="31"/>
      <c r="R24" s="31"/>
      <c r="S24" s="31"/>
    </row>
    <row r="25" spans="1:19" x14ac:dyDescent="0.2">
      <c r="A25" s="20"/>
      <c r="B25" s="42" t="s">
        <v>19</v>
      </c>
      <c r="C25" s="32">
        <v>646</v>
      </c>
      <c r="D25" s="15">
        <v>2.62</v>
      </c>
      <c r="E25" s="15">
        <v>-3.42</v>
      </c>
      <c r="F25" s="48">
        <v>-0.8</v>
      </c>
      <c r="G25" s="41">
        <v>0.1</v>
      </c>
      <c r="H25" s="49">
        <v>3.5</v>
      </c>
      <c r="I25" s="41">
        <v>0.1</v>
      </c>
      <c r="J25" s="48">
        <v>0.15</v>
      </c>
      <c r="K25" s="31"/>
      <c r="L25" s="31"/>
      <c r="M25" s="31" t="s">
        <v>18</v>
      </c>
      <c r="N25" s="31"/>
      <c r="O25" s="31"/>
      <c r="P25" s="31"/>
      <c r="Q25" s="31"/>
      <c r="R25" s="31"/>
      <c r="S25" s="31"/>
    </row>
    <row r="26" spans="1:19" x14ac:dyDescent="0.2">
      <c r="A26" s="47" t="s">
        <v>96</v>
      </c>
      <c r="B26" s="48">
        <v>2.46</v>
      </c>
      <c r="C26" s="32">
        <v>677</v>
      </c>
      <c r="D26" s="15">
        <v>2.54</v>
      </c>
      <c r="E26" s="15">
        <v>-3.29</v>
      </c>
      <c r="F26" s="48">
        <v>-0.75</v>
      </c>
      <c r="G26" s="41">
        <v>0.1</v>
      </c>
      <c r="H26" s="49">
        <v>3</v>
      </c>
      <c r="I26" s="41">
        <v>0.1</v>
      </c>
      <c r="J26" s="48">
        <v>0.15</v>
      </c>
      <c r="K26" s="31"/>
      <c r="L26" s="31"/>
      <c r="M26" s="31"/>
      <c r="N26" s="31"/>
      <c r="O26" s="31"/>
      <c r="P26" s="31"/>
      <c r="Q26" s="31"/>
      <c r="R26" s="31"/>
      <c r="S26" s="31"/>
    </row>
    <row r="27" spans="1:19" x14ac:dyDescent="0.2">
      <c r="A27" s="20"/>
      <c r="B27" s="31"/>
      <c r="C27" s="32">
        <v>707</v>
      </c>
      <c r="D27" s="15">
        <v>2.4500000000000002</v>
      </c>
      <c r="E27" s="15">
        <v>-3.09</v>
      </c>
      <c r="F27" s="48">
        <v>-0.64</v>
      </c>
      <c r="G27" s="41">
        <v>0.1</v>
      </c>
      <c r="H27" s="49">
        <v>2.7</v>
      </c>
      <c r="I27" s="41">
        <v>0.1</v>
      </c>
      <c r="J27" s="48">
        <v>0.16</v>
      </c>
      <c r="K27" s="31"/>
      <c r="L27" s="31"/>
      <c r="M27" s="31"/>
      <c r="N27" s="31"/>
      <c r="O27" s="31"/>
      <c r="P27" s="31"/>
      <c r="Q27" s="31"/>
      <c r="R27" s="31"/>
      <c r="S27" s="31"/>
    </row>
    <row r="28" spans="1:19" x14ac:dyDescent="0.2">
      <c r="A28" s="20"/>
      <c r="B28" s="43" t="s">
        <v>60</v>
      </c>
      <c r="C28" s="32">
        <v>738</v>
      </c>
      <c r="D28" s="15">
        <v>2.37</v>
      </c>
      <c r="E28" s="15">
        <v>-2.92</v>
      </c>
      <c r="F28" s="48">
        <v>-0.55000000000000004</v>
      </c>
      <c r="G28" s="41">
        <v>0</v>
      </c>
      <c r="H28" s="49">
        <v>2.2999999999999998</v>
      </c>
      <c r="I28" s="41">
        <v>0.1</v>
      </c>
      <c r="J28" s="48">
        <v>0.16</v>
      </c>
      <c r="K28" s="31"/>
      <c r="L28" s="31"/>
      <c r="M28" s="31"/>
      <c r="N28" s="31"/>
      <c r="O28" s="31"/>
      <c r="P28" s="31"/>
      <c r="Q28" s="31"/>
      <c r="R28" s="31"/>
      <c r="S28" s="31"/>
    </row>
    <row r="29" spans="1:19" x14ac:dyDescent="0.2">
      <c r="A29" s="20" t="s">
        <v>92</v>
      </c>
      <c r="B29" s="54">
        <v>2.1480999999999999</v>
      </c>
      <c r="C29" s="32">
        <v>769</v>
      </c>
      <c r="D29" s="15">
        <v>2.31</v>
      </c>
      <c r="E29" s="15">
        <v>-2.78</v>
      </c>
      <c r="F29" s="48">
        <v>-0.47</v>
      </c>
      <c r="G29" s="41">
        <v>0</v>
      </c>
      <c r="H29" s="49">
        <v>1.7</v>
      </c>
      <c r="I29" s="41">
        <v>0.1</v>
      </c>
      <c r="J29" s="48">
        <v>0.16</v>
      </c>
      <c r="K29" s="31"/>
      <c r="L29" s="31"/>
      <c r="M29" s="31"/>
      <c r="N29" s="31"/>
      <c r="O29" s="31"/>
      <c r="P29" s="31"/>
      <c r="Q29" s="31"/>
      <c r="R29" s="31"/>
      <c r="S29" s="31"/>
    </row>
    <row r="30" spans="1:19" x14ac:dyDescent="0.2">
      <c r="A30" s="20"/>
      <c r="B30" s="42"/>
      <c r="C30" s="32">
        <v>800</v>
      </c>
      <c r="D30" s="15">
        <v>2.25</v>
      </c>
      <c r="E30" s="15">
        <v>-2.65</v>
      </c>
      <c r="F30" s="48">
        <v>-0.39</v>
      </c>
      <c r="G30" s="41">
        <v>0</v>
      </c>
      <c r="H30" s="49">
        <v>1.3</v>
      </c>
      <c r="I30" s="41">
        <v>0</v>
      </c>
      <c r="J30" s="48">
        <v>0.16</v>
      </c>
      <c r="K30" s="31"/>
      <c r="L30" s="31"/>
      <c r="M30" s="31"/>
      <c r="N30" s="31"/>
      <c r="O30" s="31"/>
      <c r="P30" s="31"/>
      <c r="Q30" s="31"/>
      <c r="R30" s="31"/>
      <c r="S30" s="31"/>
    </row>
    <row r="31" spans="1:19" x14ac:dyDescent="0.2">
      <c r="A31" s="20"/>
      <c r="B31" s="43" t="s">
        <v>61</v>
      </c>
      <c r="C31" s="32">
        <v>830</v>
      </c>
      <c r="D31" s="15">
        <v>2.19</v>
      </c>
      <c r="E31" s="15">
        <v>-2.5099999999999998</v>
      </c>
      <c r="F31" s="48">
        <v>-0.32</v>
      </c>
      <c r="G31" s="41">
        <v>0</v>
      </c>
      <c r="H31" s="49">
        <v>1.1000000000000001</v>
      </c>
      <c r="I31" s="41">
        <v>0</v>
      </c>
      <c r="J31" s="48">
        <v>0.16</v>
      </c>
      <c r="K31" s="31"/>
      <c r="L31" s="31"/>
      <c r="M31" s="31"/>
      <c r="N31" s="31"/>
      <c r="O31" s="31"/>
      <c r="P31" s="31"/>
      <c r="Q31" s="31"/>
      <c r="R31" s="31"/>
      <c r="S31" s="31"/>
    </row>
    <row r="32" spans="1:19" x14ac:dyDescent="0.2">
      <c r="A32" s="47" t="s">
        <v>93</v>
      </c>
      <c r="B32" s="52">
        <v>12.888999999999999</v>
      </c>
      <c r="C32" s="32">
        <v>861</v>
      </c>
      <c r="D32" s="15">
        <v>2.14</v>
      </c>
      <c r="E32" s="15">
        <v>-2.33</v>
      </c>
      <c r="F32" s="48">
        <v>-0.19</v>
      </c>
      <c r="G32" s="41">
        <v>0</v>
      </c>
      <c r="H32" s="49">
        <v>0.8</v>
      </c>
      <c r="I32" s="41">
        <v>0</v>
      </c>
      <c r="J32" s="48">
        <v>0.16</v>
      </c>
      <c r="K32" s="31"/>
      <c r="L32" s="31"/>
      <c r="M32" s="31"/>
      <c r="N32" s="31"/>
      <c r="O32" s="31"/>
      <c r="P32" s="31"/>
      <c r="Q32" s="31"/>
      <c r="R32" s="31"/>
      <c r="S32" s="31"/>
    </row>
    <row r="33" spans="1:19" x14ac:dyDescent="0.2">
      <c r="A33" s="20"/>
      <c r="B33" s="42"/>
      <c r="C33" s="32">
        <v>892</v>
      </c>
      <c r="D33" s="15">
        <v>2.08</v>
      </c>
      <c r="E33" s="15">
        <v>-2.14</v>
      </c>
      <c r="F33" s="48">
        <v>-0.06</v>
      </c>
      <c r="G33" s="41">
        <v>0</v>
      </c>
      <c r="H33" s="49">
        <v>0</v>
      </c>
      <c r="I33" s="41">
        <v>0</v>
      </c>
      <c r="J33" s="48">
        <v>0.16</v>
      </c>
      <c r="K33" s="31"/>
      <c r="L33" s="31"/>
      <c r="M33" s="31"/>
      <c r="N33" s="31"/>
      <c r="O33" s="31"/>
      <c r="P33" s="31"/>
      <c r="Q33" s="31"/>
      <c r="R33" s="31"/>
      <c r="S33" s="31"/>
    </row>
    <row r="34" spans="1:19" x14ac:dyDescent="0.2">
      <c r="A34" s="20"/>
      <c r="B34" s="42" t="s">
        <v>22</v>
      </c>
      <c r="C34" s="34"/>
      <c r="D34" s="34"/>
      <c r="E34" s="34"/>
      <c r="F34" s="31"/>
      <c r="G34" s="48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</row>
    <row r="35" spans="1:19" ht="19" x14ac:dyDescent="0.25">
      <c r="A35" s="69" t="s">
        <v>82</v>
      </c>
      <c r="B35" s="76">
        <v>20.6</v>
      </c>
      <c r="C35" s="22" t="s">
        <v>24</v>
      </c>
      <c r="D35" s="32">
        <v>3</v>
      </c>
      <c r="E35" s="32">
        <v>-3</v>
      </c>
      <c r="F35" s="31"/>
      <c r="G35" s="42" t="s">
        <v>53</v>
      </c>
      <c r="H35" s="42" t="s">
        <v>54</v>
      </c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</row>
    <row r="36" spans="1:19" x14ac:dyDescent="0.2">
      <c r="A36" s="20"/>
      <c r="B36" s="31"/>
      <c r="C36" s="24" t="s">
        <v>27</v>
      </c>
      <c r="D36" s="49">
        <v>20.6</v>
      </c>
      <c r="E36" s="49">
        <v>-20.6</v>
      </c>
      <c r="F36" s="31"/>
      <c r="G36" s="48">
        <v>0.09</v>
      </c>
      <c r="H36" s="15">
        <v>0.02</v>
      </c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</row>
    <row r="37" spans="1:19" x14ac:dyDescent="0.2">
      <c r="A37" s="20"/>
      <c r="B37" s="55" t="s">
        <v>26</v>
      </c>
      <c r="C37" s="31"/>
      <c r="D37" s="31"/>
      <c r="E37" s="31"/>
      <c r="F37" s="31"/>
      <c r="G37" s="20" t="s">
        <v>50</v>
      </c>
      <c r="H37" s="48">
        <v>5.28</v>
      </c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</row>
    <row r="38" spans="1:19" x14ac:dyDescent="0.2">
      <c r="A38" s="20"/>
      <c r="B38" s="55" t="s">
        <v>28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</row>
    <row r="39" spans="1:19" x14ac:dyDescent="0.2">
      <c r="A39" s="20"/>
      <c r="B39" s="31"/>
      <c r="C39" s="31"/>
      <c r="D39" s="15"/>
      <c r="E39" s="15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93885-DECB-7443-A01A-D842B7CA0C42}">
  <dimension ref="B1:G969"/>
  <sheetViews>
    <sheetView tabSelected="1" zoomScale="150" zoomScaleNormal="150" workbookViewId="0">
      <selection activeCell="B5" sqref="B5"/>
    </sheetView>
  </sheetViews>
  <sheetFormatPr baseColWidth="10" defaultRowHeight="16" x14ac:dyDescent="0.2"/>
  <cols>
    <col min="2" max="2" width="10.83203125" style="58"/>
    <col min="4" max="4" width="10.83203125" style="71"/>
    <col min="5" max="7" width="13" bestFit="1" customWidth="1"/>
    <col min="9" max="11" width="11.83203125" bestFit="1" customWidth="1"/>
  </cols>
  <sheetData>
    <row r="1" spans="2:7" x14ac:dyDescent="0.2">
      <c r="B1" s="14"/>
      <c r="C1" s="1"/>
      <c r="D1" s="27"/>
      <c r="E1" s="58"/>
      <c r="F1" s="58"/>
      <c r="G1" s="1"/>
    </row>
    <row r="2" spans="2:7" ht="26" x14ac:dyDescent="0.3">
      <c r="B2" s="65" t="s">
        <v>71</v>
      </c>
      <c r="C2" s="1"/>
      <c r="D2" s="27"/>
      <c r="E2" s="58"/>
      <c r="F2" s="58"/>
      <c r="G2" s="1"/>
    </row>
    <row r="3" spans="2:7" x14ac:dyDescent="0.2">
      <c r="B3" s="14"/>
      <c r="C3" s="1"/>
      <c r="D3" s="27"/>
      <c r="E3" s="58"/>
      <c r="F3" s="58"/>
      <c r="G3" s="1"/>
    </row>
    <row r="4" spans="2:7" x14ac:dyDescent="0.2">
      <c r="B4" s="14"/>
      <c r="C4" s="1"/>
      <c r="D4" s="27"/>
      <c r="E4" s="58"/>
      <c r="F4" s="58"/>
      <c r="G4" s="1"/>
    </row>
    <row r="5" spans="2:7" x14ac:dyDescent="0.2">
      <c r="B5" s="62" t="s">
        <v>85</v>
      </c>
      <c r="C5" s="60"/>
      <c r="E5" s="61"/>
      <c r="F5" s="61"/>
      <c r="G5" s="60"/>
    </row>
    <row r="6" spans="2:7" x14ac:dyDescent="0.2">
      <c r="B6" s="62"/>
      <c r="C6" s="60"/>
      <c r="E6" s="61"/>
      <c r="F6" s="61"/>
      <c r="G6" s="60"/>
    </row>
    <row r="7" spans="2:7" ht="18" x14ac:dyDescent="0.2">
      <c r="B7" s="68" t="s">
        <v>75</v>
      </c>
      <c r="C7" s="60"/>
      <c r="E7" s="61"/>
      <c r="F7" s="61"/>
      <c r="G7" s="60" t="s">
        <v>88</v>
      </c>
    </row>
    <row r="8" spans="2:7" x14ac:dyDescent="0.2">
      <c r="B8" s="62"/>
      <c r="C8" s="60"/>
      <c r="E8" s="61"/>
      <c r="F8" s="61"/>
      <c r="G8" s="60"/>
    </row>
    <row r="9" spans="2:7" x14ac:dyDescent="0.2">
      <c r="B9" s="62"/>
      <c r="C9" s="60"/>
      <c r="E9" s="61"/>
      <c r="F9" s="61"/>
      <c r="G9" s="60"/>
    </row>
    <row r="10" spans="2:7" x14ac:dyDescent="0.2">
      <c r="B10" s="62"/>
      <c r="C10" s="60"/>
      <c r="E10" s="61"/>
      <c r="F10" s="61"/>
      <c r="G10" s="60"/>
    </row>
    <row r="11" spans="2:7" x14ac:dyDescent="0.2">
      <c r="B11" s="62"/>
      <c r="C11" s="60"/>
      <c r="E11" s="61"/>
      <c r="F11" s="61"/>
      <c r="G11" s="60" t="s">
        <v>89</v>
      </c>
    </row>
    <row r="12" spans="2:7" x14ac:dyDescent="0.2">
      <c r="B12" s="63"/>
      <c r="C12" s="60"/>
      <c r="D12" s="72"/>
      <c r="E12" s="61"/>
      <c r="F12" s="61"/>
      <c r="G12" s="60"/>
    </row>
    <row r="13" spans="2:7" x14ac:dyDescent="0.2">
      <c r="B13" s="63"/>
      <c r="C13" s="60"/>
      <c r="D13" s="72"/>
      <c r="E13" s="61"/>
      <c r="F13" s="61"/>
      <c r="G13" s="60"/>
    </row>
    <row r="14" spans="2:7" x14ac:dyDescent="0.2">
      <c r="B14" s="56" t="s">
        <v>74</v>
      </c>
      <c r="C14" s="1">
        <v>15</v>
      </c>
      <c r="D14" s="73" t="s">
        <v>62</v>
      </c>
      <c r="E14" s="56" t="s">
        <v>73</v>
      </c>
      <c r="F14" s="12">
        <v>5</v>
      </c>
      <c r="G14" t="s">
        <v>63</v>
      </c>
    </row>
    <row r="15" spans="2:7" x14ac:dyDescent="0.2">
      <c r="B15" s="14"/>
      <c r="C15" s="1"/>
      <c r="D15" s="27"/>
      <c r="E15" s="58"/>
      <c r="F15" s="58"/>
      <c r="G15" s="1"/>
    </row>
    <row r="16" spans="2:7" x14ac:dyDescent="0.2">
      <c r="B16" s="14"/>
      <c r="C16" s="1"/>
      <c r="D16" s="27"/>
      <c r="E16" s="58"/>
      <c r="F16" s="58"/>
      <c r="G16" s="1"/>
    </row>
    <row r="17" spans="2:7" x14ac:dyDescent="0.2">
      <c r="B17" s="14" t="s">
        <v>64</v>
      </c>
      <c r="C17" s="14" t="s">
        <v>64</v>
      </c>
      <c r="D17" s="27" t="s">
        <v>65</v>
      </c>
      <c r="E17" s="14" t="s">
        <v>67</v>
      </c>
      <c r="F17" s="14" t="s">
        <v>68</v>
      </c>
      <c r="G17" s="14" t="s">
        <v>69</v>
      </c>
    </row>
    <row r="18" spans="2:7" ht="18" x14ac:dyDescent="0.25">
      <c r="B18" s="66" t="s">
        <v>72</v>
      </c>
      <c r="C18" s="67" t="s">
        <v>70</v>
      </c>
      <c r="D18" s="74" t="s">
        <v>66</v>
      </c>
      <c r="E18" s="59" t="s">
        <v>80</v>
      </c>
      <c r="F18" s="59" t="s">
        <v>80</v>
      </c>
      <c r="G18" s="59" t="s">
        <v>80</v>
      </c>
    </row>
    <row r="19" spans="2:7" x14ac:dyDescent="0.2">
      <c r="B19" s="14">
        <f t="shared" ref="B19:B83" si="0">$C$14*(LN(D19)-LN($F$14))/(1+LN(D19)-LN($F$14))</f>
        <v>0</v>
      </c>
      <c r="C19" s="57">
        <f t="shared" ref="C19:C82" si="1">$C$14-B19</f>
        <v>15</v>
      </c>
      <c r="D19" s="8">
        <f>$F$14</f>
        <v>5</v>
      </c>
      <c r="E19" s="14"/>
      <c r="F19" s="14">
        <f>D19*$C$14/(C19*C19)</f>
        <v>0.33333333333333331</v>
      </c>
      <c r="G19" s="14">
        <f>D19*(1+LN(D19/$F$14))*(1+LN(D19/$F$14))/$C$14</f>
        <v>0.33333333333333331</v>
      </c>
    </row>
    <row r="20" spans="2:7" x14ac:dyDescent="0.2">
      <c r="B20" s="14">
        <f t="shared" si="0"/>
        <v>0.29127146909813528</v>
      </c>
      <c r="C20" s="14">
        <f t="shared" si="1"/>
        <v>14.708728530901865</v>
      </c>
      <c r="D20" s="8">
        <f>D19+0.1</f>
        <v>5.0999999999999996</v>
      </c>
      <c r="E20" s="14">
        <f t="shared" ref="E20:E83" si="2">(D21-D19)/(B21-B19)</f>
        <v>0.35328975588037637</v>
      </c>
      <c r="F20" s="14">
        <f t="shared" ref="F20:F83" si="3">D20*$C$14/(C20*C20)</f>
        <v>0.35359911553766488</v>
      </c>
      <c r="G20" s="14">
        <f t="shared" ref="G20:G83" si="4">D20*(1+LN(D20/$F$14))*(1+LN(D20/$F$14))/$C$14</f>
        <v>0.35359911553766488</v>
      </c>
    </row>
    <row r="21" spans="2:7" x14ac:dyDescent="0.2">
      <c r="B21" s="14">
        <f t="shared" si="0"/>
        <v>0.56610755526044498</v>
      </c>
      <c r="C21" s="14">
        <f t="shared" si="1"/>
        <v>14.433892444739556</v>
      </c>
      <c r="D21" s="8">
        <f t="shared" ref="D21:D84" si="5">D20+0.1</f>
        <v>5.1999999999999993</v>
      </c>
      <c r="E21" s="14">
        <f t="shared" si="2"/>
        <v>0.37408535117535474</v>
      </c>
      <c r="F21" s="14">
        <f t="shared" si="3"/>
        <v>0.37439295942422901</v>
      </c>
      <c r="G21" s="14">
        <f t="shared" si="4"/>
        <v>0.3743929594242289</v>
      </c>
    </row>
    <row r="22" spans="2:7" x14ac:dyDescent="0.2">
      <c r="B22" s="14">
        <f t="shared" si="0"/>
        <v>0.82590881688951701</v>
      </c>
      <c r="C22" s="14">
        <f t="shared" si="1"/>
        <v>14.174091183110484</v>
      </c>
      <c r="D22" s="8">
        <f t="shared" si="5"/>
        <v>5.2999999999999989</v>
      </c>
      <c r="E22" s="14">
        <f t="shared" si="2"/>
        <v>0.39540381373702527</v>
      </c>
      <c r="F22" s="14">
        <f t="shared" si="3"/>
        <v>0.39570968893867525</v>
      </c>
      <c r="G22" s="14">
        <f t="shared" si="4"/>
        <v>0.39570968893867525</v>
      </c>
    </row>
    <row r="23" spans="2:7" x14ac:dyDescent="0.2">
      <c r="B23" s="14">
        <f t="shared" si="0"/>
        <v>1.0719195708547484</v>
      </c>
      <c r="C23" s="14">
        <f t="shared" si="1"/>
        <v>13.928080429145252</v>
      </c>
      <c r="D23" s="8">
        <f t="shared" si="5"/>
        <v>5.3999999999999986</v>
      </c>
      <c r="E23" s="14">
        <f t="shared" si="2"/>
        <v>0.41724006959639881</v>
      </c>
      <c r="F23" s="14">
        <f t="shared" si="3"/>
        <v>0.41754423028500448</v>
      </c>
      <c r="G23" s="14">
        <f t="shared" si="4"/>
        <v>0.41754423028500443</v>
      </c>
    </row>
    <row r="24" spans="2:7" x14ac:dyDescent="0.2">
      <c r="B24" s="14">
        <f t="shared" si="0"/>
        <v>1.3052491645063258</v>
      </c>
      <c r="C24" s="14">
        <f t="shared" si="1"/>
        <v>13.694750835493675</v>
      </c>
      <c r="D24" s="8">
        <f t="shared" si="5"/>
        <v>5.4999999999999982</v>
      </c>
      <c r="E24" s="14">
        <f t="shared" si="2"/>
        <v>0.43958914483483968</v>
      </c>
      <c r="F24" s="14">
        <f t="shared" si="3"/>
        <v>0.43989160966042645</v>
      </c>
      <c r="G24" s="14">
        <f t="shared" si="4"/>
        <v>0.43989160966042651</v>
      </c>
    </row>
    <row r="25" spans="2:7" x14ac:dyDescent="0.2">
      <c r="B25" s="14">
        <f t="shared" si="0"/>
        <v>1.526889859247885</v>
      </c>
      <c r="C25" s="14">
        <f t="shared" si="1"/>
        <v>13.473110140752116</v>
      </c>
      <c r="D25" s="8">
        <f t="shared" si="5"/>
        <v>5.5999999999999979</v>
      </c>
      <c r="E25" s="14">
        <f t="shared" si="2"/>
        <v>0.46244616329172383</v>
      </c>
      <c r="F25" s="14">
        <f t="shared" si="3"/>
        <v>0.46274695097023633</v>
      </c>
      <c r="G25" s="14">
        <f t="shared" si="4"/>
        <v>0.46274695097023633</v>
      </c>
    </row>
    <row r="26" spans="2:7" x14ac:dyDescent="0.2">
      <c r="B26" s="14">
        <f t="shared" si="0"/>
        <v>1.737731939531175</v>
      </c>
      <c r="C26" s="14">
        <f t="shared" si="1"/>
        <v>13.262268060468825</v>
      </c>
      <c r="D26" s="8">
        <f t="shared" si="5"/>
        <v>5.6999999999999975</v>
      </c>
      <c r="E26" s="14">
        <f t="shared" si="2"/>
        <v>0.48580634426786912</v>
      </c>
      <c r="F26" s="14">
        <f t="shared" si="3"/>
        <v>0.48610547353757827</v>
      </c>
      <c r="G26" s="14">
        <f t="shared" si="4"/>
        <v>0.48610547353757827</v>
      </c>
    </row>
    <row r="27" spans="2:7" x14ac:dyDescent="0.2">
      <c r="B27" s="14">
        <f t="shared" si="0"/>
        <v>1.938576537200615</v>
      </c>
      <c r="C27" s="14">
        <f t="shared" si="1"/>
        <v>13.061423462799386</v>
      </c>
      <c r="D27" s="8">
        <f t="shared" si="5"/>
        <v>5.7999999999999972</v>
      </c>
      <c r="E27" s="14">
        <f t="shared" si="2"/>
        <v>0.50966500023678063</v>
      </c>
      <c r="F27" s="14">
        <f t="shared" si="3"/>
        <v>0.50996248982026327</v>
      </c>
      <c r="G27" s="14">
        <f t="shared" si="4"/>
        <v>0.50996248982026327</v>
      </c>
    </row>
    <row r="28" spans="2:7" x14ac:dyDescent="0.2">
      <c r="B28" s="14">
        <f t="shared" si="0"/>
        <v>2.13014656464195</v>
      </c>
      <c r="C28" s="14">
        <f t="shared" si="1"/>
        <v>12.869853435358049</v>
      </c>
      <c r="D28" s="8">
        <f t="shared" si="5"/>
        <v>5.8999999999999968</v>
      </c>
      <c r="E28" s="14">
        <f t="shared" si="2"/>
        <v>0.53401753457349765</v>
      </c>
      <c r="F28" s="14">
        <f t="shared" si="3"/>
        <v>0.53431340314454534</v>
      </c>
      <c r="G28" s="14">
        <f t="shared" si="4"/>
        <v>0.53431340314454523</v>
      </c>
    </row>
    <row r="29" spans="2:7" x14ac:dyDescent="0.2">
      <c r="B29" s="14">
        <f t="shared" si="0"/>
        <v>2.313096074578227</v>
      </c>
      <c r="C29" s="14">
        <f t="shared" si="1"/>
        <v>12.686903925421774</v>
      </c>
      <c r="D29" s="8">
        <f t="shared" si="5"/>
        <v>5.9999999999999964</v>
      </c>
      <c r="E29" s="14">
        <f t="shared" si="2"/>
        <v>0.55885943930902182</v>
      </c>
      <c r="F29" s="14">
        <f t="shared" si="3"/>
        <v>0.55915370546387133</v>
      </c>
      <c r="G29" s="14">
        <f t="shared" si="4"/>
        <v>0.55915370546387122</v>
      </c>
    </row>
    <row r="30" spans="2:7" x14ac:dyDescent="0.2">
      <c r="B30" s="14">
        <f t="shared" si="0"/>
        <v>2.4880183047118338</v>
      </c>
      <c r="C30" s="14">
        <f t="shared" si="1"/>
        <v>12.511981695288167</v>
      </c>
      <c r="D30" s="8">
        <f t="shared" si="5"/>
        <v>6.0999999999999961</v>
      </c>
      <c r="E30" s="14">
        <f t="shared" si="2"/>
        <v>0.58418629291665081</v>
      </c>
      <c r="F30" s="14">
        <f t="shared" si="3"/>
        <v>0.58447897514903391</v>
      </c>
      <c r="G30" s="14">
        <f t="shared" si="4"/>
        <v>0.5844789751490338</v>
      </c>
    </row>
    <row r="31" spans="2:7" x14ac:dyDescent="0.2">
      <c r="B31" s="14">
        <f t="shared" si="0"/>
        <v>2.6554526180730509</v>
      </c>
      <c r="C31" s="14">
        <f t="shared" si="1"/>
        <v>12.344547381926949</v>
      </c>
      <c r="D31" s="8">
        <f t="shared" si="5"/>
        <v>6.1999999999999957</v>
      </c>
      <c r="E31" s="14">
        <f t="shared" si="2"/>
        <v>0.60999375813523693</v>
      </c>
      <c r="F31" s="14">
        <f t="shared" si="3"/>
        <v>0.61028487481483229</v>
      </c>
      <c r="G31" s="14">
        <f t="shared" si="4"/>
        <v>0.61028487481483218</v>
      </c>
    </row>
    <row r="32" spans="2:7" x14ac:dyDescent="0.2">
      <c r="B32" s="14">
        <f t="shared" si="0"/>
        <v>2.8158905121445841</v>
      </c>
      <c r="C32" s="14">
        <f t="shared" si="1"/>
        <v>12.184109487855416</v>
      </c>
      <c r="D32" s="8">
        <f t="shared" si="5"/>
        <v>6.2999999999999954</v>
      </c>
      <c r="E32" s="14">
        <f t="shared" si="2"/>
        <v>0.6362775798334106</v>
      </c>
      <c r="F32" s="14">
        <f t="shared" si="3"/>
        <v>0.63656714918724</v>
      </c>
      <c r="G32" s="14">
        <f t="shared" si="4"/>
        <v>0.63656714918724011</v>
      </c>
    </row>
    <row r="33" spans="2:7" x14ac:dyDescent="0.2">
      <c r="B33" s="14">
        <f t="shared" si="0"/>
        <v>2.9697808394954732</v>
      </c>
      <c r="C33" s="14">
        <f t="shared" si="1"/>
        <v>12.030219160504526</v>
      </c>
      <c r="D33" s="8">
        <f t="shared" si="5"/>
        <v>6.399999999999995</v>
      </c>
      <c r="E33" s="14">
        <f t="shared" si="2"/>
        <v>0.66303358291766756</v>
      </c>
      <c r="F33" s="14">
        <f t="shared" si="3"/>
        <v>0.66332162301414732</v>
      </c>
      <c r="G33" s="14">
        <f t="shared" si="4"/>
        <v>0.66332162301414699</v>
      </c>
    </row>
    <row r="34" spans="2:7" x14ac:dyDescent="0.2">
      <c r="B34" s="14">
        <f t="shared" si="0"/>
        <v>3.1175343581770925</v>
      </c>
      <c r="C34" s="14">
        <f t="shared" si="1"/>
        <v>11.882465641822908</v>
      </c>
      <c r="D34" s="8">
        <f t="shared" si="5"/>
        <v>6.4999999999999947</v>
      </c>
      <c r="E34" s="14">
        <f t="shared" si="2"/>
        <v>0.69025767028665386</v>
      </c>
      <c r="F34" s="14">
        <f t="shared" si="3"/>
        <v>0.69054419902197006</v>
      </c>
      <c r="G34" s="14">
        <f t="shared" si="4"/>
        <v>0.69054419902197006</v>
      </c>
    </row>
    <row r="35" spans="2:7" x14ac:dyDescent="0.2">
      <c r="B35" s="14">
        <f t="shared" si="0"/>
        <v>3.2595277102791651</v>
      </c>
      <c r="C35" s="14">
        <f t="shared" si="1"/>
        <v>11.740472289720834</v>
      </c>
      <c r="D35" s="8">
        <f t="shared" si="5"/>
        <v>6.5999999999999943</v>
      </c>
      <c r="E35" s="14">
        <f t="shared" si="2"/>
        <v>0.71794582083323577</v>
      </c>
      <c r="F35" s="14">
        <f t="shared" si="3"/>
        <v>0.71823085591977809</v>
      </c>
      <c r="G35" s="14">
        <f t="shared" si="4"/>
        <v>0.7182308559197782</v>
      </c>
    </row>
    <row r="36" spans="2:7" x14ac:dyDescent="0.2">
      <c r="B36" s="14">
        <f t="shared" si="0"/>
        <v>3.3961069108634256</v>
      </c>
      <c r="C36" s="14">
        <f t="shared" si="1"/>
        <v>11.603893089136575</v>
      </c>
      <c r="D36" s="8">
        <f t="shared" si="5"/>
        <v>6.699999999999994</v>
      </c>
      <c r="E36" s="14">
        <f t="shared" si="2"/>
        <v>0.74609408749540884</v>
      </c>
      <c r="F36" s="14">
        <f t="shared" si="3"/>
        <v>0.74637764645204274</v>
      </c>
      <c r="G36" s="14">
        <f t="shared" si="4"/>
        <v>0.74637764645204274</v>
      </c>
    </row>
    <row r="37" spans="2:7" x14ac:dyDescent="0.2">
      <c r="B37" s="14">
        <f t="shared" si="0"/>
        <v>3.5275904162461655</v>
      </c>
      <c r="C37" s="14">
        <f t="shared" si="1"/>
        <v>11.472409583753834</v>
      </c>
      <c r="D37" s="8">
        <f t="shared" si="5"/>
        <v>6.7999999999999936</v>
      </c>
      <c r="E37" s="14">
        <f t="shared" si="2"/>
        <v>0.77469859535676899</v>
      </c>
      <c r="F37" s="14">
        <f t="shared" si="3"/>
        <v>0.77498069550067195</v>
      </c>
      <c r="G37" s="14">
        <f t="shared" si="4"/>
        <v>0.7749806955006715</v>
      </c>
    </row>
    <row r="38" spans="2:7" x14ac:dyDescent="0.2">
      <c r="B38" s="14">
        <f t="shared" si="0"/>
        <v>3.6542718297089207</v>
      </c>
      <c r="C38" s="14">
        <f t="shared" si="1"/>
        <v>11.345728170291078</v>
      </c>
      <c r="D38" s="8">
        <f t="shared" si="5"/>
        <v>6.8999999999999932</v>
      </c>
      <c r="E38" s="14">
        <f t="shared" si="2"/>
        <v>0.8037555397966325</v>
      </c>
      <c r="F38" s="14">
        <f t="shared" si="3"/>
        <v>0.80403619823661154</v>
      </c>
      <c r="G38" s="14">
        <f t="shared" si="4"/>
        <v>0.80403619823661154</v>
      </c>
    </row>
    <row r="39" spans="2:7" x14ac:dyDescent="0.2">
      <c r="B39" s="14">
        <f t="shared" si="0"/>
        <v>3.7764222937229959</v>
      </c>
      <c r="C39" s="14">
        <f t="shared" si="1"/>
        <v>11.223577706277004</v>
      </c>
      <c r="D39" s="8">
        <f t="shared" si="5"/>
        <v>6.9999999999999929</v>
      </c>
      <c r="E39" s="14">
        <f t="shared" si="2"/>
        <v>0.83326118468996657</v>
      </c>
      <c r="F39" s="14">
        <f t="shared" si="3"/>
        <v>0.83354041832100811</v>
      </c>
      <c r="G39" s="14">
        <f t="shared" si="4"/>
        <v>0.83354041832100789</v>
      </c>
    </row>
    <row r="40" spans="2:7" x14ac:dyDescent="0.2">
      <c r="B40" s="14">
        <f t="shared" si="0"/>
        <v>3.8942926103173607</v>
      </c>
      <c r="C40" s="14">
        <f t="shared" si="1"/>
        <v>11.105707389682639</v>
      </c>
      <c r="D40" s="8">
        <f t="shared" si="5"/>
        <v>7.0999999999999925</v>
      </c>
      <c r="E40" s="14">
        <f t="shared" si="2"/>
        <v>0.86321186065674449</v>
      </c>
      <c r="F40" s="14">
        <f t="shared" si="3"/>
        <v>0.8634896861556447</v>
      </c>
      <c r="G40" s="14">
        <f t="shared" si="4"/>
        <v>0.86348968615564459</v>
      </c>
    </row>
    <row r="41" spans="2:7" x14ac:dyDescent="0.2">
      <c r="B41" s="14">
        <f t="shared" si="0"/>
        <v>4.0081151250145357</v>
      </c>
      <c r="C41" s="14">
        <f t="shared" si="1"/>
        <v>10.991884874985464</v>
      </c>
      <c r="D41" s="8">
        <f t="shared" si="5"/>
        <v>7.1999999999999922</v>
      </c>
      <c r="E41" s="14">
        <f t="shared" si="2"/>
        <v>0.89360396336014392</v>
      </c>
      <c r="F41" s="14">
        <f t="shared" si="3"/>
        <v>0.89388039718219137</v>
      </c>
      <c r="G41" s="14">
        <f t="shared" si="4"/>
        <v>0.89388039718219092</v>
      </c>
    </row>
    <row r="42" spans="2:7" x14ac:dyDescent="0.2">
      <c r="B42" s="14">
        <f t="shared" si="0"/>
        <v>4.1181054045757435</v>
      </c>
      <c r="C42" s="14">
        <f t="shared" si="1"/>
        <v>10.881894595424257</v>
      </c>
      <c r="D42" s="8">
        <f t="shared" si="5"/>
        <v>7.2999999999999918</v>
      </c>
      <c r="E42" s="14">
        <f t="shared" si="2"/>
        <v>0.92443395185315036</v>
      </c>
      <c r="F42" s="14">
        <f t="shared" si="3"/>
        <v>0.92470901022961582</v>
      </c>
      <c r="G42" s="14">
        <f t="shared" si="4"/>
        <v>0.92470901022961594</v>
      </c>
    </row>
    <row r="43" spans="2:7" x14ac:dyDescent="0.2">
      <c r="B43" s="14">
        <f t="shared" si="0"/>
        <v>4.2244637344517733</v>
      </c>
      <c r="C43" s="14">
        <f t="shared" si="1"/>
        <v>10.775536265548226</v>
      </c>
      <c r="D43" s="8">
        <f t="shared" si="5"/>
        <v>7.3999999999999915</v>
      </c>
      <c r="E43" s="14">
        <f t="shared" si="2"/>
        <v>0.95569834697254452</v>
      </c>
      <c r="F43" s="14">
        <f t="shared" si="3"/>
        <v>0.95597204590898088</v>
      </c>
      <c r="G43" s="14">
        <f t="shared" si="4"/>
        <v>0.95597204590898044</v>
      </c>
    </row>
    <row r="44" spans="2:7" x14ac:dyDescent="0.2">
      <c r="B44" s="14">
        <f t="shared" si="0"/>
        <v>4.3273764581812646</v>
      </c>
      <c r="C44" s="14">
        <f t="shared" si="1"/>
        <v>10.672623541818735</v>
      </c>
      <c r="D44" s="8">
        <f t="shared" si="5"/>
        <v>7.4999999999999911</v>
      </c>
      <c r="E44" s="14">
        <f t="shared" si="2"/>
        <v>0.98739372977958018</v>
      </c>
      <c r="F44" s="14">
        <f t="shared" si="3"/>
        <v>0.98766608505474474</v>
      </c>
      <c r="G44" s="14">
        <f t="shared" si="4"/>
        <v>0.9876660850547444</v>
      </c>
    </row>
    <row r="45" spans="2:7" x14ac:dyDescent="0.2">
      <c r="B45" s="14">
        <f t="shared" si="0"/>
        <v>4.4270171778938803</v>
      </c>
      <c r="C45" s="14">
        <f t="shared" si="1"/>
        <v>10.57298282210612</v>
      </c>
      <c r="D45" s="8">
        <f t="shared" si="5"/>
        <v>7.5999999999999908</v>
      </c>
      <c r="E45" s="14">
        <f t="shared" si="2"/>
        <v>1.0195167400461782</v>
      </c>
      <c r="F45" s="14">
        <f t="shared" si="3"/>
        <v>1.0197877672115985</v>
      </c>
      <c r="G45" s="14">
        <f t="shared" si="4"/>
        <v>1.019787767211598</v>
      </c>
    </row>
    <row r="46" spans="2:7" x14ac:dyDescent="0.2">
      <c r="B46" s="14">
        <f t="shared" si="0"/>
        <v>4.5235478324648692</v>
      </c>
      <c r="C46" s="14">
        <f t="shared" si="1"/>
        <v>10.476452167535131</v>
      </c>
      <c r="D46" s="8">
        <f t="shared" si="5"/>
        <v>7.6999999999999904</v>
      </c>
      <c r="E46" s="14">
        <f t="shared" si="2"/>
        <v>1.052064074785735</v>
      </c>
      <c r="F46" s="14">
        <f t="shared" si="3"/>
        <v>1.0523337891658111</v>
      </c>
      <c r="G46" s="14">
        <f t="shared" si="4"/>
        <v>1.0523337891658107</v>
      </c>
    </row>
    <row r="47" spans="2:7" x14ac:dyDescent="0.2">
      <c r="B47" s="14">
        <f t="shared" si="0"/>
        <v>4.6171196676502495</v>
      </c>
      <c r="C47" s="14">
        <f t="shared" si="1"/>
        <v>10.38288033234975</v>
      </c>
      <c r="D47" s="8">
        <f t="shared" si="5"/>
        <v>7.7999999999999901</v>
      </c>
      <c r="E47" s="14">
        <f t="shared" si="2"/>
        <v>1.0850324868275305</v>
      </c>
      <c r="F47" s="14">
        <f t="shared" si="3"/>
        <v>1.0853009035200032</v>
      </c>
      <c r="G47" s="14">
        <f t="shared" si="4"/>
        <v>1.0853009035200027</v>
      </c>
    </row>
    <row r="48" spans="2:7" x14ac:dyDescent="0.2">
      <c r="B48" s="14">
        <f t="shared" si="0"/>
        <v>4.7078741106436626</v>
      </c>
      <c r="C48" s="14">
        <f t="shared" si="1"/>
        <v>10.292125889356338</v>
      </c>
      <c r="D48" s="8">
        <f t="shared" si="5"/>
        <v>7.8999999999999897</v>
      </c>
      <c r="E48" s="14">
        <f t="shared" si="2"/>
        <v>1.1184187834333763</v>
      </c>
      <c r="F48" s="14">
        <f t="shared" si="3"/>
        <v>1.1186859173102426</v>
      </c>
      <c r="G48" s="14">
        <f t="shared" si="4"/>
        <v>1.1186859173102424</v>
      </c>
    </row>
    <row r="49" spans="2:7" x14ac:dyDescent="0.2">
      <c r="B49" s="14">
        <f t="shared" si="0"/>
        <v>4.7959435598832014</v>
      </c>
      <c r="C49" s="14">
        <f t="shared" si="1"/>
        <v>10.204056440116798</v>
      </c>
      <c r="D49" s="8">
        <f t="shared" si="5"/>
        <v>7.9999999999999893</v>
      </c>
      <c r="E49" s="14">
        <f t="shared" si="2"/>
        <v>1.1522198249554405</v>
      </c>
      <c r="F49" s="14">
        <f t="shared" si="3"/>
        <v>1.1524856906643346</v>
      </c>
      <c r="G49" s="14">
        <f t="shared" si="4"/>
        <v>1.1524856906643346</v>
      </c>
    </row>
    <row r="50" spans="2:7" x14ac:dyDescent="0.2">
      <c r="B50" s="14">
        <f t="shared" si="0"/>
        <v>4.8814520995553998</v>
      </c>
      <c r="C50" s="14">
        <f t="shared" si="1"/>
        <v>10.1185479004446</v>
      </c>
      <c r="D50" s="8">
        <f t="shared" si="5"/>
        <v>8.099999999999989</v>
      </c>
      <c r="E50" s="14">
        <f t="shared" si="2"/>
        <v>1.186432523534467</v>
      </c>
      <c r="F50" s="14">
        <f t="shared" si="3"/>
        <v>1.1866971355001579</v>
      </c>
      <c r="G50" s="14">
        <f t="shared" si="4"/>
        <v>1.1866971355001579</v>
      </c>
    </row>
    <row r="51" spans="2:7" x14ac:dyDescent="0.2">
      <c r="B51" s="14">
        <f t="shared" si="0"/>
        <v>4.9645161470575525</v>
      </c>
      <c r="C51" s="14">
        <f t="shared" si="1"/>
        <v>10.035483852942448</v>
      </c>
      <c r="D51" s="8">
        <f t="shared" si="5"/>
        <v>8.1999999999999886</v>
      </c>
      <c r="E51" s="14">
        <f t="shared" si="2"/>
        <v>1.2210538418366996</v>
      </c>
      <c r="F51" s="14">
        <f t="shared" si="3"/>
        <v>1.2213172142629065</v>
      </c>
      <c r="G51" s="14">
        <f t="shared" si="4"/>
        <v>1.2213172142629063</v>
      </c>
    </row>
    <row r="52" spans="2:7" x14ac:dyDescent="0.2">
      <c r="B52" s="14">
        <f t="shared" si="0"/>
        <v>5.0452450406587674</v>
      </c>
      <c r="C52" s="14">
        <f t="shared" si="1"/>
        <v>9.9547549593412334</v>
      </c>
      <c r="D52" s="8">
        <f t="shared" si="5"/>
        <v>8.2999999999999883</v>
      </c>
      <c r="E52" s="14">
        <f t="shared" si="2"/>
        <v>1.2560807918285359</v>
      </c>
      <c r="F52" s="14">
        <f t="shared" si="3"/>
        <v>1.2563429387000964</v>
      </c>
      <c r="G52" s="14">
        <f t="shared" si="4"/>
        <v>1.2563429387000962</v>
      </c>
    </row>
    <row r="53" spans="2:7" x14ac:dyDescent="0.2">
      <c r="B53" s="14">
        <f t="shared" si="0"/>
        <v>5.1237415737188821</v>
      </c>
      <c r="C53" s="14">
        <f t="shared" si="1"/>
        <v>9.8762584262811188</v>
      </c>
      <c r="D53" s="8">
        <f t="shared" si="5"/>
        <v>8.3999999999999879</v>
      </c>
      <c r="E53" s="14">
        <f t="shared" si="2"/>
        <v>1.2915104335881193</v>
      </c>
      <c r="F53" s="14">
        <f t="shared" si="3"/>
        <v>1.2917713686731991</v>
      </c>
      <c r="G53" s="14">
        <f t="shared" si="4"/>
        <v>1.2917713686731991</v>
      </c>
    </row>
    <row r="54" spans="2:7" x14ac:dyDescent="0.2">
      <c r="B54" s="14">
        <f t="shared" si="0"/>
        <v>5.2001024810623671</v>
      </c>
      <c r="C54" s="14">
        <f t="shared" si="1"/>
        <v>9.7998975189376338</v>
      </c>
      <c r="D54" s="8">
        <f t="shared" si="5"/>
        <v>8.4999999999999876</v>
      </c>
      <c r="E54" s="14">
        <f t="shared" si="2"/>
        <v>1.3273398741522522</v>
      </c>
      <c r="F54" s="14">
        <f t="shared" si="3"/>
        <v>1.327599611004791</v>
      </c>
      <c r="G54" s="14">
        <f t="shared" si="4"/>
        <v>1.3275996110047905</v>
      </c>
    </row>
    <row r="55" spans="2:7" x14ac:dyDescent="0.2">
      <c r="B55" s="14">
        <f t="shared" si="0"/>
        <v>5.2744188824433982</v>
      </c>
      <c r="C55" s="14">
        <f t="shared" si="1"/>
        <v>9.7255811175566009</v>
      </c>
      <c r="D55" s="8">
        <f t="shared" si="5"/>
        <v>8.5999999999999872</v>
      </c>
      <c r="E55" s="14">
        <f t="shared" si="2"/>
        <v>1.3635662663977792</v>
      </c>
      <c r="F55" s="14">
        <f t="shared" si="3"/>
        <v>1.3638248183601029</v>
      </c>
      <c r="G55" s="14">
        <f t="shared" si="4"/>
        <v>1.3638248183601029</v>
      </c>
    </row>
    <row r="56" spans="2:7" x14ac:dyDescent="0.2">
      <c r="B56" s="14">
        <f t="shared" si="0"/>
        <v>5.3467766874640494</v>
      </c>
      <c r="C56" s="14">
        <f t="shared" si="1"/>
        <v>9.6532233125359497</v>
      </c>
      <c r="D56" s="8">
        <f t="shared" si="5"/>
        <v>8.6999999999999869</v>
      </c>
      <c r="E56" s="14">
        <f t="shared" si="2"/>
        <v>1.4001868079564204</v>
      </c>
      <c r="F56" s="14">
        <f t="shared" si="3"/>
        <v>1.4004441881619043</v>
      </c>
      <c r="G56" s="14">
        <f t="shared" si="4"/>
        <v>1.4004441881619034</v>
      </c>
    </row>
    <row r="57" spans="2:7" x14ac:dyDescent="0.2">
      <c r="B57" s="14">
        <f t="shared" si="0"/>
        <v>5.4172569658073604</v>
      </c>
      <c r="C57" s="14">
        <f t="shared" si="1"/>
        <v>9.5827430341926387</v>
      </c>
      <c r="D57" s="8">
        <f t="shared" si="5"/>
        <v>8.7999999999999865</v>
      </c>
      <c r="E57" s="14">
        <f t="shared" si="2"/>
        <v>1.4371987401617889</v>
      </c>
      <c r="F57" s="14">
        <f t="shared" si="3"/>
        <v>1.4374549615376435</v>
      </c>
      <c r="G57" s="14">
        <f t="shared" si="4"/>
        <v>1.4374549615376431</v>
      </c>
    </row>
    <row r="58" spans="2:7" x14ac:dyDescent="0.2">
      <c r="B58" s="14">
        <f t="shared" si="0"/>
        <v>5.4859362862106256</v>
      </c>
      <c r="C58" s="14">
        <f t="shared" si="1"/>
        <v>9.5140637137893744</v>
      </c>
      <c r="D58" s="8">
        <f t="shared" si="5"/>
        <v>8.8999999999999861</v>
      </c>
      <c r="E58" s="14">
        <f t="shared" si="2"/>
        <v>1.4745993470275889</v>
      </c>
      <c r="F58" s="14">
        <f t="shared" si="3"/>
        <v>1.474854422297823</v>
      </c>
      <c r="G58" s="14">
        <f t="shared" si="4"/>
        <v>1.474854422297823</v>
      </c>
    </row>
    <row r="59" spans="2:7" x14ac:dyDescent="0.2">
      <c r="B59" s="14">
        <f t="shared" si="0"/>
        <v>5.5528870272224475</v>
      </c>
      <c r="C59" s="14">
        <f t="shared" si="1"/>
        <v>9.4471129727775534</v>
      </c>
      <c r="D59" s="8">
        <f t="shared" si="5"/>
        <v>8.9999999999999858</v>
      </c>
      <c r="E59" s="14">
        <f t="shared" si="2"/>
        <v>1.5123859542563158</v>
      </c>
      <c r="F59" s="14">
        <f t="shared" si="3"/>
        <v>1.512639895944591</v>
      </c>
      <c r="G59" s="14">
        <f t="shared" si="4"/>
        <v>1.5126398959445908</v>
      </c>
    </row>
    <row r="60" spans="2:7" x14ac:dyDescent="0.2">
      <c r="B60" s="14">
        <f t="shared" si="0"/>
        <v>5.6181776624526742</v>
      </c>
      <c r="C60" s="14">
        <f t="shared" si="1"/>
        <v>9.3818223375473266</v>
      </c>
      <c r="D60" s="8">
        <f t="shared" si="5"/>
        <v>9.0999999999999854</v>
      </c>
      <c r="E60" s="14">
        <f t="shared" si="2"/>
        <v>1.550555928276939</v>
      </c>
      <c r="F60" s="14">
        <f t="shared" si="3"/>
        <v>1.5508087487095599</v>
      </c>
      <c r="G60" s="14">
        <f t="shared" si="4"/>
        <v>1.5508087487095599</v>
      </c>
    </row>
    <row r="61" spans="2:7" x14ac:dyDescent="0.2">
      <c r="B61" s="14">
        <f t="shared" si="0"/>
        <v>5.6818730227306844</v>
      </c>
      <c r="C61" s="14">
        <f t="shared" si="1"/>
        <v>9.3181269772693156</v>
      </c>
      <c r="D61" s="8">
        <f t="shared" si="5"/>
        <v>9.1999999999999851</v>
      </c>
      <c r="E61" s="14">
        <f t="shared" si="2"/>
        <v>1.5891066753108227</v>
      </c>
      <c r="F61" s="14">
        <f t="shared" si="3"/>
        <v>1.5893583866199068</v>
      </c>
      <c r="G61" s="14">
        <f t="shared" si="4"/>
        <v>1.5893583866199068</v>
      </c>
    </row>
    <row r="62" spans="2:7" x14ac:dyDescent="0.2">
      <c r="B62" s="14">
        <f t="shared" si="0"/>
        <v>5.7440345373291706</v>
      </c>
      <c r="C62" s="14">
        <f t="shared" si="1"/>
        <v>9.2559654626708294</v>
      </c>
      <c r="D62" s="8">
        <f t="shared" si="5"/>
        <v>9.2999999999999847</v>
      </c>
      <c r="E62" s="14">
        <f t="shared" si="2"/>
        <v>1.6280356404653744</v>
      </c>
      <c r="F62" s="14">
        <f t="shared" si="3"/>
        <v>1.6282862545918151</v>
      </c>
      <c r="G62" s="14">
        <f t="shared" si="4"/>
        <v>1.6282862545918146</v>
      </c>
    </row>
    <row r="63" spans="2:7" x14ac:dyDescent="0.2">
      <c r="B63" s="14">
        <f t="shared" si="0"/>
        <v>5.8047204561829577</v>
      </c>
      <c r="C63" s="14">
        <f t="shared" si="1"/>
        <v>9.1952795438170423</v>
      </c>
      <c r="D63" s="8">
        <f t="shared" si="5"/>
        <v>9.3999999999999844</v>
      </c>
      <c r="E63" s="14">
        <f t="shared" si="2"/>
        <v>1.6673403068538422</v>
      </c>
      <c r="F63" s="14">
        <f t="shared" si="3"/>
        <v>1.6675898355503571</v>
      </c>
      <c r="G63" s="14">
        <f t="shared" si="4"/>
        <v>1.6675898355503567</v>
      </c>
    </row>
    <row r="64" spans="2:7" x14ac:dyDescent="0.2">
      <c r="B64" s="14">
        <f t="shared" si="0"/>
        <v>5.8639860548315488</v>
      </c>
      <c r="C64" s="14">
        <f t="shared" si="1"/>
        <v>9.1360139451684503</v>
      </c>
      <c r="D64" s="8">
        <f t="shared" si="5"/>
        <v>9.499999999999984</v>
      </c>
      <c r="E64" s="14">
        <f t="shared" si="2"/>
        <v>1.707018194740656</v>
      </c>
      <c r="F64" s="14">
        <f t="shared" si="3"/>
        <v>1.7072666495749447</v>
      </c>
      <c r="G64" s="14">
        <f t="shared" si="4"/>
        <v>1.7072666495749436</v>
      </c>
    </row>
    <row r="65" spans="2:7" x14ac:dyDescent="0.2">
      <c r="B65" s="14">
        <f t="shared" si="0"/>
        <v>5.9218838236363345</v>
      </c>
      <c r="C65" s="14">
        <f t="shared" si="1"/>
        <v>9.0781161763636646</v>
      </c>
      <c r="D65" s="8">
        <f t="shared" si="5"/>
        <v>9.5999999999999837</v>
      </c>
      <c r="E65" s="14">
        <f t="shared" si="2"/>
        <v>1.7470668607116537</v>
      </c>
      <c r="F65" s="14">
        <f t="shared" si="3"/>
        <v>1.7473142530694958</v>
      </c>
      <c r="G65" s="14">
        <f t="shared" si="4"/>
        <v>1.7473142530694949</v>
      </c>
    </row>
    <row r="66" spans="2:7" x14ac:dyDescent="0.2">
      <c r="B66" s="14">
        <f t="shared" si="0"/>
        <v>5.9784636426661271</v>
      </c>
      <c r="C66" s="14">
        <f t="shared" si="1"/>
        <v>9.021536357333872</v>
      </c>
      <c r="D66" s="8">
        <f t="shared" si="5"/>
        <v>9.6999999999999833</v>
      </c>
      <c r="E66" s="14">
        <f t="shared" si="2"/>
        <v>1.7874838968682307</v>
      </c>
      <c r="F66" s="14">
        <f t="shared" si="3"/>
        <v>1.7877302379565065</v>
      </c>
      <c r="G66" s="14">
        <f t="shared" si="4"/>
        <v>1.7877302379565057</v>
      </c>
    </row>
    <row r="67" spans="2:7" x14ac:dyDescent="0.2">
      <c r="B67" s="14">
        <f t="shared" si="0"/>
        <v>6.0337729435050003</v>
      </c>
      <c r="C67" s="14">
        <f t="shared" si="1"/>
        <v>8.9662270564950006</v>
      </c>
      <c r="D67" s="8">
        <f t="shared" si="5"/>
        <v>9.7999999999999829</v>
      </c>
      <c r="E67" s="14">
        <f t="shared" si="2"/>
        <v>1.8282669300444103</v>
      </c>
      <c r="F67" s="14">
        <f t="shared" si="3"/>
        <v>1.828512230894213</v>
      </c>
      <c r="G67" s="14">
        <f t="shared" si="4"/>
        <v>1.8285122308942132</v>
      </c>
    </row>
    <row r="68" spans="2:7" x14ac:dyDescent="0.2">
      <c r="B68" s="14">
        <f t="shared" si="0"/>
        <v>6.0878568591124482</v>
      </c>
      <c r="C68" s="14">
        <f t="shared" si="1"/>
        <v>8.9121431408875509</v>
      </c>
      <c r="D68" s="8">
        <f t="shared" si="5"/>
        <v>9.8999999999999826</v>
      </c>
      <c r="E68" s="14">
        <f t="shared" si="2"/>
        <v>1.8694136210463128</v>
      </c>
      <c r="F68" s="14">
        <f t="shared" si="3"/>
        <v>1.8696578925161129</v>
      </c>
      <c r="G68" s="14">
        <f t="shared" si="4"/>
        <v>1.8696578925161123</v>
      </c>
    </row>
    <row r="69" spans="2:7" x14ac:dyDescent="0.2">
      <c r="B69" s="14">
        <f t="shared" si="0"/>
        <v>6.1407583627553741</v>
      </c>
      <c r="C69" s="14">
        <f t="shared" si="1"/>
        <v>8.8592416372446259</v>
      </c>
      <c r="D69" s="8">
        <f t="shared" si="5"/>
        <v>9.9999999999999822</v>
      </c>
      <c r="E69" s="14">
        <f t="shared" si="2"/>
        <v>1.9109216639136244</v>
      </c>
      <c r="F69" s="14">
        <f t="shared" si="3"/>
        <v>1.911164916692055</v>
      </c>
      <c r="G69" s="14">
        <f t="shared" si="4"/>
        <v>1.9111649166920543</v>
      </c>
    </row>
    <row r="70" spans="2:7" x14ac:dyDescent="0.2">
      <c r="B70" s="14">
        <f t="shared" si="0"/>
        <v>6.1925183969331004</v>
      </c>
      <c r="C70" s="14">
        <f t="shared" si="1"/>
        <v>8.8074816030669005</v>
      </c>
      <c r="D70" s="8">
        <f t="shared" si="5"/>
        <v>10.099999999999982</v>
      </c>
      <c r="E70" s="14">
        <f t="shared" si="2"/>
        <v>1.9527887852011645</v>
      </c>
      <c r="F70" s="14">
        <f t="shared" si="3"/>
        <v>1.9530310298102287</v>
      </c>
      <c r="G70" s="14">
        <f t="shared" si="4"/>
        <v>1.9530310298102291</v>
      </c>
    </row>
    <row r="71" spans="2:7" x14ac:dyDescent="0.2">
      <c r="B71" s="14">
        <f t="shared" si="0"/>
        <v>6.2431759931287463</v>
      </c>
      <c r="C71" s="14">
        <f t="shared" si="1"/>
        <v>8.7568240068712537</v>
      </c>
      <c r="D71" s="8">
        <f t="shared" si="5"/>
        <v>10.199999999999982</v>
      </c>
      <c r="E71" s="14">
        <f t="shared" si="2"/>
        <v>1.9950127432812168</v>
      </c>
      <c r="F71" s="14">
        <f t="shared" si="3"/>
        <v>1.99525399007934</v>
      </c>
      <c r="G71" s="14">
        <f t="shared" si="4"/>
        <v>1.9952539900793407</v>
      </c>
    </row>
    <row r="72" spans="2:7" x14ac:dyDescent="0.2">
      <c r="B72" s="14">
        <f t="shared" si="0"/>
        <v>6.2927683831417385</v>
      </c>
      <c r="C72" s="14">
        <f t="shared" si="1"/>
        <v>8.7072316168582624</v>
      </c>
      <c r="D72" s="8">
        <f t="shared" si="5"/>
        <v>10.299999999999981</v>
      </c>
      <c r="E72" s="14">
        <f t="shared" si="2"/>
        <v>2.0375913276655346</v>
      </c>
      <c r="F72" s="14">
        <f t="shared" si="3"/>
        <v>2.0378315868502903</v>
      </c>
      <c r="G72" s="14">
        <f t="shared" si="4"/>
        <v>2.0378315868502903</v>
      </c>
    </row>
    <row r="73" spans="2:7" x14ac:dyDescent="0.2">
      <c r="B73" s="14">
        <f t="shared" si="0"/>
        <v>6.3413311026860386</v>
      </c>
      <c r="C73" s="14">
        <f t="shared" si="1"/>
        <v>8.6586688973139623</v>
      </c>
      <c r="D73" s="8">
        <f t="shared" si="5"/>
        <v>10.399999999999981</v>
      </c>
      <c r="E73" s="14">
        <f t="shared" si="2"/>
        <v>2.0805223583456969</v>
      </c>
      <c r="F73" s="14">
        <f t="shared" si="3"/>
        <v>2.0807616399567501</v>
      </c>
      <c r="G73" s="14">
        <f t="shared" si="4"/>
        <v>2.0807616399567497</v>
      </c>
    </row>
    <row r="74" spans="2:7" x14ac:dyDescent="0.2">
      <c r="B74" s="14">
        <f t="shared" si="0"/>
        <v>6.3888980878756145</v>
      </c>
      <c r="C74" s="14">
        <f t="shared" si="1"/>
        <v>8.6111019121243864</v>
      </c>
      <c r="D74" s="8">
        <f t="shared" si="5"/>
        <v>10.49999999999998</v>
      </c>
      <c r="E74" s="14">
        <f t="shared" si="2"/>
        <v>2.1238036851518047</v>
      </c>
      <c r="F74" s="14">
        <f t="shared" si="3"/>
        <v>2.1240419990739747</v>
      </c>
      <c r="G74" s="14">
        <f t="shared" si="4"/>
        <v>2.1240419990739747</v>
      </c>
    </row>
    <row r="75" spans="2:7" x14ac:dyDescent="0.2">
      <c r="B75" s="14">
        <f t="shared" si="0"/>
        <v>6.4355017651621722</v>
      </c>
      <c r="C75" s="14">
        <f t="shared" si="1"/>
        <v>8.5644982348378278</v>
      </c>
      <c r="D75" s="8">
        <f t="shared" si="5"/>
        <v>10.59999999999998</v>
      </c>
      <c r="E75" s="14">
        <f t="shared" si="2"/>
        <v>2.1674331871293053</v>
      </c>
      <c r="F75" s="14">
        <f t="shared" si="3"/>
        <v>2.1676705430952836</v>
      </c>
      <c r="G75" s="14">
        <f t="shared" si="4"/>
        <v>2.1676705430952832</v>
      </c>
    </row>
    <row r="76" spans="2:7" x14ac:dyDescent="0.2">
      <c r="B76" s="14">
        <f t="shared" si="0"/>
        <v>6.4811731352393087</v>
      </c>
      <c r="C76" s="14">
        <f t="shared" si="1"/>
        <v>8.5188268647606904</v>
      </c>
      <c r="D76" s="8">
        <f t="shared" si="5"/>
        <v>10.69999999999998</v>
      </c>
      <c r="E76" s="14">
        <f t="shared" si="2"/>
        <v>2.2114087719324433</v>
      </c>
      <c r="F76" s="14">
        <f t="shared" si="3"/>
        <v>2.2116451795256018</v>
      </c>
      <c r="G76" s="14">
        <f t="shared" si="4"/>
        <v>2.2116451795256018</v>
      </c>
    </row>
    <row r="77" spans="2:7" x14ac:dyDescent="0.2">
      <c r="B77" s="14">
        <f t="shared" si="0"/>
        <v>6.5259418513816136</v>
      </c>
      <c r="C77" s="14">
        <f t="shared" si="1"/>
        <v>8.4740581486183864</v>
      </c>
      <c r="D77" s="8">
        <f t="shared" si="5"/>
        <v>10.799999999999979</v>
      </c>
      <c r="E77" s="14">
        <f t="shared" si="2"/>
        <v>2.2557283752343911</v>
      </c>
      <c r="F77" s="14">
        <f t="shared" si="3"/>
        <v>2.2559638438915375</v>
      </c>
      <c r="G77" s="14">
        <f t="shared" si="4"/>
        <v>2.255963843891537</v>
      </c>
    </row>
    <row r="78" spans="2:7" x14ac:dyDescent="0.2">
      <c r="B78" s="14">
        <f t="shared" si="0"/>
        <v>6.5698362926459346</v>
      </c>
      <c r="C78" s="14">
        <f t="shared" si="1"/>
        <v>8.4301637073540654</v>
      </c>
      <c r="D78" s="8">
        <f t="shared" si="5"/>
        <v>10.899999999999979</v>
      </c>
      <c r="E78" s="14">
        <f t="shared" si="2"/>
        <v>2.300389960153431</v>
      </c>
      <c r="F78" s="14">
        <f t="shared" si="3"/>
        <v>2.3006244991674212</v>
      </c>
      <c r="G78" s="14">
        <f t="shared" si="4"/>
        <v>2.3006244991674207</v>
      </c>
    </row>
    <row r="79" spans="2:7" x14ac:dyDescent="0.2">
      <c r="B79" s="14">
        <f t="shared" si="0"/>
        <v>6.6128836323249889</v>
      </c>
      <c r="C79" s="13">
        <f t="shared" si="1"/>
        <v>8.3871163676750111</v>
      </c>
      <c r="D79" s="8">
        <f t="shared" si="5"/>
        <v>10.999999999999979</v>
      </c>
      <c r="E79" s="14">
        <f t="shared" si="2"/>
        <v>2.3453915166941175</v>
      </c>
      <c r="F79" s="14">
        <f t="shared" si="3"/>
        <v>2.3456251352168214</v>
      </c>
      <c r="G79" s="14">
        <f t="shared" si="4"/>
        <v>2.3456251352168218</v>
      </c>
    </row>
    <row r="80" spans="2:7" x14ac:dyDescent="0.2">
      <c r="B80" s="14">
        <f t="shared" si="0"/>
        <v>6.6551099020098432</v>
      </c>
      <c r="C80" s="13">
        <f t="shared" si="1"/>
        <v>8.3448900979901559</v>
      </c>
      <c r="D80" s="8">
        <f t="shared" si="5"/>
        <v>11.099999999999978</v>
      </c>
      <c r="E80" s="14">
        <f t="shared" si="2"/>
        <v>2.3907310612043848</v>
      </c>
      <c r="F80" s="14">
        <f t="shared" si="3"/>
        <v>2.3909637682490148</v>
      </c>
      <c r="G80" s="14">
        <f t="shared" si="4"/>
        <v>2.3909637682490135</v>
      </c>
    </row>
    <row r="81" spans="2:7" x14ac:dyDescent="0.2">
      <c r="B81" s="14">
        <f t="shared" si="0"/>
        <v>6.6965400515874904</v>
      </c>
      <c r="C81" s="14">
        <f t="shared" si="1"/>
        <v>8.3034599484125096</v>
      </c>
      <c r="D81" s="8">
        <f t="shared" si="5"/>
        <v>11.199999999999978</v>
      </c>
      <c r="E81" s="14">
        <f t="shared" si="2"/>
        <v>2.4364066358461822</v>
      </c>
      <c r="F81" s="14">
        <f t="shared" si="3"/>
        <v>2.4366384402899302</v>
      </c>
      <c r="G81" s="14">
        <f t="shared" si="4"/>
        <v>2.4366384402899306</v>
      </c>
    </row>
    <row r="82" spans="2:7" x14ac:dyDescent="0.2">
      <c r="B82" s="14">
        <f t="shared" si="0"/>
        <v>6.7371980054723171</v>
      </c>
      <c r="C82" s="14">
        <f t="shared" si="1"/>
        <v>8.2628019945276829</v>
      </c>
      <c r="D82" s="8">
        <f t="shared" si="5"/>
        <v>11.299999999999978</v>
      </c>
      <c r="E82" s="14">
        <f t="shared" si="2"/>
        <v>2.4824163080803165</v>
      </c>
      <c r="F82" s="14">
        <f t="shared" si="3"/>
        <v>2.4826472186671258</v>
      </c>
      <c r="G82" s="14">
        <f t="shared" si="4"/>
        <v>2.4826472186671258</v>
      </c>
    </row>
    <row r="83" spans="2:7" x14ac:dyDescent="0.2">
      <c r="B83" s="14">
        <f t="shared" si="0"/>
        <v>6.7771067153452957</v>
      </c>
      <c r="C83" s="14">
        <f t="shared" ref="C83:C146" si="6">$C$14-B83</f>
        <v>8.2228932846547043</v>
      </c>
      <c r="D83" s="8">
        <f t="shared" si="5"/>
        <v>11.399999999999977</v>
      </c>
      <c r="E83" s="14">
        <f t="shared" si="2"/>
        <v>2.5287581701655921</v>
      </c>
      <c r="F83" s="14">
        <f t="shared" si="3"/>
        <v>2.5289881955083127</v>
      </c>
      <c r="G83" s="14">
        <f t="shared" si="4"/>
        <v>2.5289881955083122</v>
      </c>
    </row>
    <row r="84" spans="2:7" x14ac:dyDescent="0.2">
      <c r="B84" s="14">
        <f t="shared" ref="B84:B147" si="7">$C$14*(LN(D84)-LN($F$14))/(1+LN(D84)-LN($F$14))</f>
        <v>6.8162882096522219</v>
      </c>
      <c r="C84" s="14">
        <f t="shared" si="6"/>
        <v>8.183711790347779</v>
      </c>
      <c r="D84" s="8">
        <f t="shared" si="5"/>
        <v>11.499999999999977</v>
      </c>
      <c r="E84" s="14">
        <f t="shared" ref="E84:E147" si="8">(D85-D83)/(B85-B83)</f>
        <v>2.5754303386700563</v>
      </c>
      <c r="F84" s="14">
        <f t="shared" ref="F84:F147" si="9">D84*$C$14/(C84*C84)</f>
        <v>2.5756594872530174</v>
      </c>
      <c r="G84" s="14">
        <f t="shared" ref="G84:G147" si="10">D84*(1+LN(D84/$F$14))*(1+LN(D84/$F$14))/$C$14</f>
        <v>2.5756594872530174</v>
      </c>
    </row>
    <row r="85" spans="2:7" x14ac:dyDescent="0.2">
      <c r="B85" s="14">
        <f t="shared" si="7"/>
        <v>6.8547636400918135</v>
      </c>
      <c r="C85" s="14">
        <f t="shared" si="6"/>
        <v>8.1452363599081856</v>
      </c>
      <c r="D85" s="8">
        <f t="shared" ref="D85:D148" si="11">D84+0.1</f>
        <v>11.599999999999977</v>
      </c>
      <c r="E85" s="14">
        <f t="shared" si="8"/>
        <v>2.6224309539954249</v>
      </c>
      <c r="F85" s="14">
        <f t="shared" si="9"/>
        <v>2.6226592341769774</v>
      </c>
      <c r="G85" s="14">
        <f t="shared" si="10"/>
        <v>2.6226592341769774</v>
      </c>
    </row>
    <row r="86" spans="2:7" x14ac:dyDescent="0.2">
      <c r="B86" s="14">
        <f t="shared" si="7"/>
        <v>6.8925533253058058</v>
      </c>
      <c r="C86" s="14">
        <f t="shared" si="6"/>
        <v>8.1074466746941951</v>
      </c>
      <c r="D86" s="8">
        <f t="shared" si="11"/>
        <v>11.699999999999976</v>
      </c>
      <c r="E86" s="14">
        <f t="shared" si="8"/>
        <v>2.6697581799140395</v>
      </c>
      <c r="F86" s="14">
        <f t="shared" si="9"/>
        <v>2.6699855999288284</v>
      </c>
      <c r="G86" s="14">
        <f t="shared" si="10"/>
        <v>2.6699855999288298</v>
      </c>
    </row>
    <row r="87" spans="2:7" x14ac:dyDescent="0.2">
      <c r="B87" s="14">
        <f t="shared" si="7"/>
        <v>6.9296767919662798</v>
      </c>
      <c r="C87" s="14">
        <f t="shared" si="6"/>
        <v>8.0703232080337202</v>
      </c>
      <c r="D87" s="8">
        <f t="shared" si="11"/>
        <v>11.799999999999976</v>
      </c>
      <c r="E87" s="14">
        <f t="shared" si="8"/>
        <v>2.7174102031175877</v>
      </c>
      <c r="F87" s="14">
        <f t="shared" si="9"/>
        <v>2.717636771078749</v>
      </c>
      <c r="G87" s="14">
        <f t="shared" si="10"/>
        <v>2.717636771078749</v>
      </c>
    </row>
    <row r="88" spans="2:7" x14ac:dyDescent="0.2">
      <c r="B88" s="14">
        <f t="shared" si="7"/>
        <v>6.9661528134399662</v>
      </c>
      <c r="C88" s="14">
        <f t="shared" si="6"/>
        <v>8.0338471865600347</v>
      </c>
      <c r="D88" s="8">
        <f t="shared" si="11"/>
        <v>11.899999999999975</v>
      </c>
      <c r="E88" s="14">
        <f t="shared" si="8"/>
        <v>2.7653852327771644</v>
      </c>
      <c r="F88" s="14">
        <f t="shared" si="9"/>
        <v>2.7656109566786262</v>
      </c>
      <c r="G88" s="14">
        <f t="shared" si="10"/>
        <v>2.7656109566786271</v>
      </c>
    </row>
    <row r="89" spans="2:7" x14ac:dyDescent="0.2">
      <c r="B89" s="14">
        <f t="shared" si="7"/>
        <v>7.0019994461952342</v>
      </c>
      <c r="C89" s="14">
        <f t="shared" si="6"/>
        <v>7.9980005538047658</v>
      </c>
      <c r="D89" s="8">
        <f t="shared" si="11"/>
        <v>11.999999999999975</v>
      </c>
      <c r="E89" s="14">
        <f t="shared" si="8"/>
        <v>2.8136815001145861</v>
      </c>
      <c r="F89" s="14">
        <f t="shared" si="9"/>
        <v>2.8139063878334536</v>
      </c>
      <c r="G89" s="14">
        <f t="shared" si="10"/>
        <v>2.8139063878334536</v>
      </c>
    </row>
    <row r="90" spans="2:7" x14ac:dyDescent="0.2">
      <c r="B90" s="14">
        <f t="shared" si="7"/>
        <v>7.0372340641045685</v>
      </c>
      <c r="C90" s="14">
        <f t="shared" si="6"/>
        <v>7.9627659358954315</v>
      </c>
      <c r="D90" s="8">
        <f t="shared" si="11"/>
        <v>12.099999999999975</v>
      </c>
      <c r="E90" s="14">
        <f t="shared" si="8"/>
        <v>2.8622972579849097</v>
      </c>
      <c r="F90" s="14">
        <f t="shared" si="9"/>
        <v>2.8625213172835449</v>
      </c>
      <c r="G90" s="14">
        <f t="shared" si="10"/>
        <v>2.8625213172835444</v>
      </c>
    </row>
    <row r="91" spans="2:7" x14ac:dyDescent="0.2">
      <c r="B91" s="14">
        <f t="shared" si="7"/>
        <v>7.0718733907836455</v>
      </c>
      <c r="C91" s="14">
        <f t="shared" si="6"/>
        <v>7.9281266092163545</v>
      </c>
      <c r="D91" s="8">
        <f t="shared" si="11"/>
        <v>12.199999999999974</v>
      </c>
      <c r="E91" s="14">
        <f t="shared" si="8"/>
        <v>2.9112307804691313</v>
      </c>
      <c r="F91" s="14">
        <f t="shared" si="9"/>
        <v>2.9114540189972851</v>
      </c>
      <c r="G91" s="14">
        <f t="shared" si="10"/>
        <v>2.9114540189972855</v>
      </c>
    </row>
    <row r="92" spans="2:7" x14ac:dyDescent="0.2">
      <c r="B92" s="14">
        <f t="shared" si="7"/>
        <v>7.1059335300973574</v>
      </c>
      <c r="C92" s="14">
        <f t="shared" si="6"/>
        <v>7.8940664699026426</v>
      </c>
      <c r="D92" s="8">
        <f t="shared" si="11"/>
        <v>12.299999999999974</v>
      </c>
      <c r="E92" s="14">
        <f t="shared" si="8"/>
        <v>2.9604803624773144</v>
      </c>
      <c r="F92" s="14">
        <f t="shared" si="9"/>
        <v>2.9607027877740575</v>
      </c>
      <c r="G92" s="14">
        <f t="shared" si="10"/>
        <v>2.9607027877740566</v>
      </c>
    </row>
    <row r="93" spans="2:7" x14ac:dyDescent="0.2">
      <c r="B93" s="14">
        <f t="shared" si="7"/>
        <v>7.1394299949533284</v>
      </c>
      <c r="C93" s="14">
        <f t="shared" si="6"/>
        <v>7.8605700050466716</v>
      </c>
      <c r="D93" s="8">
        <f t="shared" si="11"/>
        <v>12.399999999999974</v>
      </c>
      <c r="E93" s="14">
        <f t="shared" si="8"/>
        <v>3.010044319360913</v>
      </c>
      <c r="F93" s="14">
        <f t="shared" si="9"/>
        <v>3.0102659388570481</v>
      </c>
      <c r="G93" s="14">
        <f t="shared" si="10"/>
        <v>3.0102659388570476</v>
      </c>
    </row>
    <row r="94" spans="2:7" x14ac:dyDescent="0.2">
      <c r="B94" s="14">
        <f t="shared" si="7"/>
        <v>7.172377734494475</v>
      </c>
      <c r="C94" s="14">
        <f t="shared" si="6"/>
        <v>7.827622265505525</v>
      </c>
      <c r="D94" s="8">
        <f t="shared" si="11"/>
        <v>12.499999999999973</v>
      </c>
      <c r="E94" s="14">
        <f t="shared" si="8"/>
        <v>3.0599209865358521</v>
      </c>
      <c r="F94" s="14">
        <f t="shared" si="9"/>
        <v>3.0601418075556417</v>
      </c>
      <c r="G94" s="14">
        <f t="shared" si="10"/>
        <v>3.0601418075556404</v>
      </c>
    </row>
    <row r="95" spans="2:7" x14ac:dyDescent="0.2">
      <c r="B95" s="14">
        <f t="shared" si="7"/>
        <v>7.204791159793869</v>
      </c>
      <c r="C95" s="14">
        <f t="shared" si="6"/>
        <v>7.795208840206131</v>
      </c>
      <c r="D95" s="8">
        <f t="shared" si="11"/>
        <v>12.599999999999973</v>
      </c>
      <c r="E95" s="14">
        <f t="shared" si="8"/>
        <v>3.1101087191138941</v>
      </c>
      <c r="F95" s="14">
        <f t="shared" si="9"/>
        <v>3.1103287488770821</v>
      </c>
      <c r="G95" s="14">
        <f t="shared" si="10"/>
        <v>3.1103287488770812</v>
      </c>
    </row>
    <row r="96" spans="2:7" x14ac:dyDescent="0.2">
      <c r="B96" s="14">
        <f t="shared" si="7"/>
        <v>7.2366841681476952</v>
      </c>
      <c r="C96" s="14">
        <f t="shared" si="6"/>
        <v>7.7633158318523048</v>
      </c>
      <c r="D96" s="8">
        <f t="shared" si="11"/>
        <v>12.699999999999973</v>
      </c>
      <c r="E96" s="14">
        <f t="shared" si="8"/>
        <v>3.1606058915433337</v>
      </c>
      <c r="F96" s="14">
        <f t="shared" si="9"/>
        <v>3.1608251371671643</v>
      </c>
      <c r="G96" s="14">
        <f t="shared" si="10"/>
        <v>3.160825137167163</v>
      </c>
    </row>
    <row r="97" spans="2:7" x14ac:dyDescent="0.2">
      <c r="B97" s="14">
        <f t="shared" si="7"/>
        <v>7.2680701660550193</v>
      </c>
      <c r="C97" s="14">
        <f t="shared" si="6"/>
        <v>7.7319298339449807</v>
      </c>
      <c r="D97" s="8">
        <f t="shared" si="11"/>
        <v>12.799999999999972</v>
      </c>
      <c r="E97" s="14">
        <f t="shared" si="8"/>
        <v>3.2114108972585962</v>
      </c>
      <c r="F97" s="14">
        <f t="shared" si="9"/>
        <v>3.2116293657596384</v>
      </c>
      <c r="G97" s="14">
        <f t="shared" si="10"/>
        <v>3.2116293657596389</v>
      </c>
    </row>
    <row r="98" spans="2:7" x14ac:dyDescent="0.2">
      <c r="B98" s="14">
        <f t="shared" si="7"/>
        <v>7.29896209096683</v>
      </c>
      <c r="C98" s="14">
        <f t="shared" si="6"/>
        <v>7.70103790903317</v>
      </c>
      <c r="D98" s="8">
        <f t="shared" si="11"/>
        <v>12.899999999999972</v>
      </c>
      <c r="E98" s="14">
        <f t="shared" si="8"/>
        <v>3.262522148338046</v>
      </c>
      <c r="F98" s="14">
        <f t="shared" si="9"/>
        <v>3.2627398466341169</v>
      </c>
      <c r="G98" s="14">
        <f t="shared" si="10"/>
        <v>3.2627398466341164</v>
      </c>
    </row>
    <row r="99" spans="2:7" x14ac:dyDescent="0.2">
      <c r="B99" s="14">
        <f t="shared" si="7"/>
        <v>7.3293724318808255</v>
      </c>
      <c r="C99" s="14">
        <f t="shared" si="6"/>
        <v>7.6706275681191745</v>
      </c>
      <c r="D99" s="8">
        <f t="shared" si="11"/>
        <v>12.999999999999972</v>
      </c>
      <c r="E99" s="14">
        <f t="shared" si="8"/>
        <v>3.3139380751704124</v>
      </c>
      <c r="F99" s="14">
        <f t="shared" si="9"/>
        <v>3.3141550100821719</v>
      </c>
      <c r="G99" s="14">
        <f t="shared" si="10"/>
        <v>3.3141550100821719</v>
      </c>
    </row>
    <row r="100" spans="2:7" x14ac:dyDescent="0.2">
      <c r="B100" s="14">
        <f t="shared" si="7"/>
        <v>7.3593132488531205</v>
      </c>
      <c r="C100" s="14">
        <f t="shared" si="6"/>
        <v>7.6406867511468795</v>
      </c>
      <c r="D100" s="8">
        <f t="shared" si="11"/>
        <v>13.099999999999971</v>
      </c>
      <c r="E100" s="14">
        <f t="shared" si="8"/>
        <v>3.3656571261284376</v>
      </c>
      <c r="F100" s="14">
        <f t="shared" si="9"/>
        <v>3.3658733043814464</v>
      </c>
      <c r="G100" s="14">
        <f t="shared" si="10"/>
        <v>3.3658733043814468</v>
      </c>
    </row>
    <row r="101" spans="2:7" x14ac:dyDescent="0.2">
      <c r="B101" s="14">
        <f t="shared" si="7"/>
        <v>7.3887961914929825</v>
      </c>
      <c r="C101" s="14">
        <f t="shared" si="6"/>
        <v>7.6112038085070175</v>
      </c>
      <c r="D101" s="8">
        <f t="shared" si="11"/>
        <v>13.199999999999971</v>
      </c>
      <c r="E101" s="14">
        <f t="shared" si="8"/>
        <v>3.4176777672511554</v>
      </c>
      <c r="F101" s="14">
        <f t="shared" si="9"/>
        <v>3.4178931954774887</v>
      </c>
      <c r="G101" s="14">
        <f t="shared" si="10"/>
        <v>3.4178931954774887</v>
      </c>
    </row>
    <row r="102" spans="2:7" x14ac:dyDescent="0.2">
      <c r="B102" s="14">
        <f t="shared" si="7"/>
        <v>7.4178325165021768</v>
      </c>
      <c r="C102" s="14">
        <f t="shared" si="6"/>
        <v>7.5821674834978232</v>
      </c>
      <c r="D102" s="8">
        <f t="shared" si="11"/>
        <v>13.299999999999971</v>
      </c>
      <c r="E102" s="14">
        <f t="shared" si="8"/>
        <v>3.4699984819333838</v>
      </c>
      <c r="F102" s="14">
        <f t="shared" si="9"/>
        <v>3.4702131666731142</v>
      </c>
      <c r="G102" s="14">
        <f t="shared" si="10"/>
        <v>3.4702131666731133</v>
      </c>
    </row>
    <row r="103" spans="2:7" x14ac:dyDescent="0.2">
      <c r="B103" s="14">
        <f t="shared" si="7"/>
        <v>7.4464331043162311</v>
      </c>
      <c r="C103" s="14">
        <f t="shared" si="6"/>
        <v>7.5535668956837689</v>
      </c>
      <c r="D103" s="8">
        <f t="shared" si="11"/>
        <v>13.39999999999997</v>
      </c>
      <c r="E103" s="14">
        <f t="shared" si="8"/>
        <v>3.5226177706217592</v>
      </c>
      <c r="F103" s="14">
        <f t="shared" si="9"/>
        <v>3.522831718325063</v>
      </c>
      <c r="G103" s="14">
        <f t="shared" si="10"/>
        <v>3.522831718325063</v>
      </c>
    </row>
    <row r="104" spans="2:7" x14ac:dyDescent="0.2">
      <c r="B104" s="14">
        <f t="shared" si="7"/>
        <v>7.4746084749010633</v>
      </c>
      <c r="C104" s="14">
        <f t="shared" si="6"/>
        <v>7.5253915250989367</v>
      </c>
      <c r="D104" s="8">
        <f t="shared" si="11"/>
        <v>13.49999999999997</v>
      </c>
      <c r="E104" s="14">
        <f t="shared" si="8"/>
        <v>3.5755341505190841</v>
      </c>
      <c r="F104" s="14">
        <f t="shared" si="9"/>
        <v>3.5757473675477587</v>
      </c>
      <c r="G104" s="14">
        <f t="shared" si="10"/>
        <v>3.5757473675477573</v>
      </c>
    </row>
    <row r="105" spans="2:7" x14ac:dyDescent="0.2">
      <c r="B105" s="64">
        <f t="shared" si="7"/>
        <v>7.5023688027547326</v>
      </c>
      <c r="C105" s="14">
        <f t="shared" si="6"/>
        <v>7.4976311972452674</v>
      </c>
      <c r="D105" s="8">
        <f t="shared" si="11"/>
        <v>13.599999999999969</v>
      </c>
      <c r="E105" s="14">
        <f t="shared" si="8"/>
        <v>3.6287461552953397</v>
      </c>
      <c r="F105" s="14">
        <f t="shared" si="9"/>
        <v>3.628958647923926</v>
      </c>
      <c r="G105" s="14">
        <f t="shared" si="10"/>
        <v>3.6289586479239251</v>
      </c>
    </row>
    <row r="106" spans="2:7" x14ac:dyDescent="0.2">
      <c r="B106" s="14">
        <f t="shared" si="7"/>
        <v>7.5297239311608362</v>
      </c>
      <c r="C106" s="14">
        <f t="shared" si="6"/>
        <v>7.4702760688391638</v>
      </c>
      <c r="D106" s="8">
        <f t="shared" si="11"/>
        <v>13.699999999999969</v>
      </c>
      <c r="E106" s="14">
        <f t="shared" si="8"/>
        <v>3.6822523348039171</v>
      </c>
      <c r="F106" s="14">
        <f t="shared" si="9"/>
        <v>3.6824641092219172</v>
      </c>
      <c r="G106" s="14">
        <f t="shared" si="10"/>
        <v>3.6824641092219186</v>
      </c>
    </row>
    <row r="107" spans="2:7" x14ac:dyDescent="0.2">
      <c r="B107" s="14">
        <f t="shared" si="7"/>
        <v>7.5566833857369033</v>
      </c>
      <c r="C107" s="14">
        <f t="shared" si="6"/>
        <v>7.4433166142630967</v>
      </c>
      <c r="D107" s="8">
        <f t="shared" si="11"/>
        <v>13.799999999999969</v>
      </c>
      <c r="E107" s="14">
        <f t="shared" si="8"/>
        <v>3.7360512548063887</v>
      </c>
      <c r="F107" s="14">
        <f t="shared" si="9"/>
        <v>3.7362623171195279</v>
      </c>
      <c r="G107" s="14">
        <f t="shared" si="10"/>
        <v>3.7362623171195257</v>
      </c>
    </row>
    <row r="108" spans="2:7" x14ac:dyDescent="0.2">
      <c r="B108" s="14">
        <f t="shared" si="7"/>
        <v>7.5832563873183103</v>
      </c>
      <c r="C108" s="14">
        <f t="shared" si="6"/>
        <v>7.4167436126816897</v>
      </c>
      <c r="D108" s="8">
        <f t="shared" si="11"/>
        <v>13.899999999999968</v>
      </c>
      <c r="E108" s="14">
        <f t="shared" si="8"/>
        <v>3.790141496702752</v>
      </c>
      <c r="F108" s="14">
        <f t="shared" si="9"/>
        <v>3.7903518529341138</v>
      </c>
      <c r="G108" s="14">
        <f t="shared" si="10"/>
        <v>3.7903518529341116</v>
      </c>
    </row>
    <row r="109" spans="2:7" x14ac:dyDescent="0.2">
      <c r="B109" s="14">
        <f t="shared" si="7"/>
        <v>7.6094518642156066</v>
      </c>
      <c r="C109" s="14">
        <f t="shared" si="6"/>
        <v>7.3905481357843934</v>
      </c>
      <c r="D109" s="8">
        <f t="shared" si="11"/>
        <v>13.999999999999968</v>
      </c>
      <c r="E109" s="14">
        <f t="shared" si="8"/>
        <v>3.8445216572668177</v>
      </c>
      <c r="F109" s="14">
        <f t="shared" si="9"/>
        <v>3.8447313133588485</v>
      </c>
      <c r="G109" s="14">
        <f t="shared" si="10"/>
        <v>3.8447313133588472</v>
      </c>
    </row>
    <row r="110" spans="2:7" x14ac:dyDescent="0.2">
      <c r="B110" s="14">
        <f t="shared" si="7"/>
        <v>7.6352784638806739</v>
      </c>
      <c r="C110" s="14">
        <f t="shared" si="6"/>
        <v>7.3647215361193261</v>
      </c>
      <c r="D110" s="8">
        <f t="shared" si="11"/>
        <v>14.099999999999968</v>
      </c>
      <c r="E110" s="14">
        <f t="shared" si="8"/>
        <v>3.8991903483888386</v>
      </c>
      <c r="F110" s="14">
        <f t="shared" si="9"/>
        <v>3.899399310204946</v>
      </c>
      <c r="G110" s="14">
        <f t="shared" si="10"/>
        <v>3.8993993102049487</v>
      </c>
    </row>
    <row r="111" spans="2:7" x14ac:dyDescent="0.2">
      <c r="B111" s="14">
        <f t="shared" si="7"/>
        <v>7.6607445640148457</v>
      </c>
      <c r="C111" s="14">
        <f t="shared" si="6"/>
        <v>7.3392554359851543</v>
      </c>
      <c r="D111" s="8">
        <f t="shared" si="11"/>
        <v>14.199999999999967</v>
      </c>
      <c r="E111" s="14">
        <f t="shared" si="8"/>
        <v>3.9541461968242233</v>
      </c>
      <c r="F111" s="14">
        <f t="shared" si="9"/>
        <v>3.9543544701496653</v>
      </c>
      <c r="G111" s="14">
        <f t="shared" si="10"/>
        <v>3.9543544701496671</v>
      </c>
    </row>
    <row r="112" spans="2:7" x14ac:dyDescent="0.2">
      <c r="B112" s="14">
        <f t="shared" si="7"/>
        <v>7.6858582831500346</v>
      </c>
      <c r="C112" s="14">
        <f t="shared" si="6"/>
        <v>7.3141417168499654</v>
      </c>
      <c r="D112" s="8">
        <f t="shared" si="11"/>
        <v>14.299999999999967</v>
      </c>
      <c r="E112" s="14">
        <f t="shared" si="8"/>
        <v>4.0093878439470689</v>
      </c>
      <c r="F112" s="14">
        <f t="shared" si="9"/>
        <v>4.009595434489948</v>
      </c>
      <c r="G112" s="14">
        <f t="shared" si="10"/>
        <v>4.0095954344899463</v>
      </c>
    </row>
    <row r="113" spans="2:7" x14ac:dyDescent="0.2">
      <c r="B113" s="14">
        <f t="shared" si="7"/>
        <v>7.7106274907319348</v>
      </c>
      <c r="C113" s="14">
        <f t="shared" si="6"/>
        <v>7.2893725092680652</v>
      </c>
      <c r="D113" s="8">
        <f t="shared" si="11"/>
        <v>14.399999999999967</v>
      </c>
      <c r="E113" s="14">
        <f t="shared" si="8"/>
        <v>4.064913945507838</v>
      </c>
      <c r="F113" s="14">
        <f t="shared" si="9"/>
        <v>4.0651208589015306</v>
      </c>
      <c r="G113" s="14">
        <f t="shared" si="10"/>
        <v>4.0651208589015315</v>
      </c>
    </row>
    <row r="114" spans="2:7" x14ac:dyDescent="0.2">
      <c r="B114" s="14">
        <f t="shared" si="7"/>
        <v>7.7350598167325648</v>
      </c>
      <c r="C114" s="14">
        <f t="shared" si="6"/>
        <v>7.2649401832674352</v>
      </c>
      <c r="D114" s="8">
        <f t="shared" si="11"/>
        <v>14.499999999999966</v>
      </c>
      <c r="E114" s="14">
        <f t="shared" si="8"/>
        <v>4.1207231713995993</v>
      </c>
      <c r="F114" s="14">
        <f t="shared" si="9"/>
        <v>4.1209294132034051</v>
      </c>
      <c r="G114" s="14">
        <f t="shared" si="10"/>
        <v>4.1209294132034042</v>
      </c>
    </row>
    <row r="115" spans="2:7" x14ac:dyDescent="0.2">
      <c r="B115" s="14">
        <f t="shared" si="7"/>
        <v>7.7591626608176432</v>
      </c>
      <c r="C115" s="14">
        <f t="shared" si="6"/>
        <v>7.2408373391823568</v>
      </c>
      <c r="D115" s="8">
        <f t="shared" si="11"/>
        <v>14.599999999999966</v>
      </c>
      <c r="E115" s="14">
        <f t="shared" si="8"/>
        <v>4.1768142054267043</v>
      </c>
      <c r="F115" s="14">
        <f t="shared" si="9"/>
        <v>4.1770197811274103</v>
      </c>
      <c r="G115" s="14">
        <f t="shared" si="10"/>
        <v>4.1770197811274121</v>
      </c>
    </row>
    <row r="116" spans="2:7" x14ac:dyDescent="0.2">
      <c r="B116" s="14">
        <f t="shared" si="7"/>
        <v>7.7829432010928628</v>
      </c>
      <c r="C116" s="14">
        <f t="shared" si="6"/>
        <v>7.2170567989071372</v>
      </c>
      <c r="D116" s="8">
        <f t="shared" si="11"/>
        <v>14.699999999999966</v>
      </c>
      <c r="E116" s="14">
        <f t="shared" si="8"/>
        <v>4.2331857450798607</v>
      </c>
      <c r="F116" s="14">
        <f t="shared" si="9"/>
        <v>4.2333906600929199</v>
      </c>
      <c r="G116" s="14">
        <f t="shared" si="10"/>
        <v>4.2333906600929181</v>
      </c>
    </row>
    <row r="117" spans="2:7" x14ac:dyDescent="0.2">
      <c r="B117" s="14">
        <f t="shared" si="7"/>
        <v>7.8064084024514599</v>
      </c>
      <c r="C117" s="14">
        <f t="shared" si="6"/>
        <v>7.1935915975485401</v>
      </c>
      <c r="D117" s="8">
        <f t="shared" si="11"/>
        <v>14.799999999999965</v>
      </c>
      <c r="E117" s="14">
        <f t="shared" si="8"/>
        <v>4.2898365013163469</v>
      </c>
      <c r="F117" s="14">
        <f t="shared" si="9"/>
        <v>4.2900407609863622</v>
      </c>
      <c r="G117" s="14">
        <f t="shared" si="10"/>
        <v>4.2900407609863596</v>
      </c>
    </row>
    <row r="118" spans="2:7" x14ac:dyDescent="0.2">
      <c r="B118" s="14">
        <f t="shared" si="7"/>
        <v>7.8295650245443227</v>
      </c>
      <c r="C118" s="14">
        <f t="shared" si="6"/>
        <v>7.1704349754556773</v>
      </c>
      <c r="D118" s="8">
        <f t="shared" si="11"/>
        <v>14.899999999999965</v>
      </c>
      <c r="E118" s="14">
        <f t="shared" si="8"/>
        <v>4.3467651983417062</v>
      </c>
      <c r="F118" s="14">
        <f t="shared" si="9"/>
        <v>4.3469688079455784</v>
      </c>
      <c r="G118" s="14">
        <f t="shared" si="10"/>
        <v>4.3469688079455819</v>
      </c>
    </row>
    <row r="119" spans="2:7" x14ac:dyDescent="0.2">
      <c r="B119" s="14">
        <f t="shared" si="7"/>
        <v>7.8524196293924273</v>
      </c>
      <c r="C119" s="14">
        <f t="shared" si="6"/>
        <v>7.1475803706075727</v>
      </c>
      <c r="D119" s="8">
        <f t="shared" si="11"/>
        <v>14.999999999999964</v>
      </c>
      <c r="E119" s="14">
        <f t="shared" si="8"/>
        <v>4.4039705734028223</v>
      </c>
      <c r="F119" s="14">
        <f t="shared" si="9"/>
        <v>4.4041735381487825</v>
      </c>
      <c r="G119" s="14">
        <f t="shared" si="10"/>
        <v>4.4041735381487808</v>
      </c>
    </row>
    <row r="120" spans="2:7" x14ac:dyDescent="0.2">
      <c r="B120" s="14">
        <f t="shared" si="7"/>
        <v>7.8749785886602757</v>
      </c>
      <c r="C120" s="14">
        <f t="shared" si="6"/>
        <v>7.1250214113397243</v>
      </c>
      <c r="D120" s="8">
        <f t="shared" si="11"/>
        <v>15.099999999999964</v>
      </c>
      <c r="E120" s="14">
        <f t="shared" si="8"/>
        <v>4.4614513765781343</v>
      </c>
      <c r="F120" s="14">
        <f t="shared" si="9"/>
        <v>4.4616537016080136</v>
      </c>
      <c r="G120" s="14">
        <f t="shared" si="10"/>
        <v>4.4616537016080162</v>
      </c>
    </row>
    <row r="121" spans="2:7" x14ac:dyDescent="0.2">
      <c r="B121" s="14">
        <f t="shared" si="7"/>
        <v>7.8972480906079783</v>
      </c>
      <c r="C121" s="14">
        <f t="shared" si="6"/>
        <v>7.1027519093920217</v>
      </c>
      <c r="D121" s="8">
        <f t="shared" si="11"/>
        <v>15.199999999999964</v>
      </c>
      <c r="E121" s="14">
        <f t="shared" si="8"/>
        <v>4.5192063705762253</v>
      </c>
      <c r="F121" s="14">
        <f t="shared" si="9"/>
        <v>4.5194080609670584</v>
      </c>
      <c r="G121" s="14">
        <f t="shared" si="10"/>
        <v>4.5194080609670602</v>
      </c>
    </row>
    <row r="122" spans="2:7" x14ac:dyDescent="0.2">
      <c r="B122" s="14">
        <f t="shared" si="7"/>
        <v>7.9192341467383853</v>
      </c>
      <c r="C122" s="14">
        <f t="shared" si="6"/>
        <v>7.0807658532616147</v>
      </c>
      <c r="D122" s="8">
        <f t="shared" si="11"/>
        <v>15.299999999999963</v>
      </c>
      <c r="E122" s="14">
        <f t="shared" si="8"/>
        <v>4.5772343305402092</v>
      </c>
      <c r="F122" s="14">
        <f t="shared" si="9"/>
        <v>4.5774353913035686</v>
      </c>
      <c r="G122" s="14">
        <f t="shared" si="10"/>
        <v>4.5774353913035659</v>
      </c>
    </row>
    <row r="123" spans="2:7" x14ac:dyDescent="0.2">
      <c r="B123" s="14">
        <f t="shared" si="7"/>
        <v>7.9409425981549395</v>
      </c>
      <c r="C123" s="14">
        <f t="shared" si="6"/>
        <v>7.0590574018450605</v>
      </c>
      <c r="D123" s="8">
        <f t="shared" si="11"/>
        <v>15.399999999999963</v>
      </c>
      <c r="E123" s="14">
        <f t="shared" si="8"/>
        <v>4.6355340438504582</v>
      </c>
      <c r="F123" s="14">
        <f t="shared" si="9"/>
        <v>4.6357344799353966</v>
      </c>
      <c r="G123" s="14">
        <f t="shared" si="10"/>
        <v>4.6357344799353948</v>
      </c>
    </row>
    <row r="124" spans="2:7" x14ac:dyDescent="0.2">
      <c r="B124" s="14">
        <f t="shared" si="7"/>
        <v>7.9623791216448518</v>
      </c>
      <c r="C124" s="14">
        <f t="shared" si="6"/>
        <v>7.0376208783551482</v>
      </c>
      <c r="D124" s="8">
        <f t="shared" si="11"/>
        <v>15.499999999999963</v>
      </c>
      <c r="E124" s="14">
        <f t="shared" si="8"/>
        <v>4.6941043099373765</v>
      </c>
      <c r="F124" s="14">
        <f t="shared" si="9"/>
        <v>4.6943041262309908</v>
      </c>
      <c r="G124" s="14">
        <f t="shared" si="10"/>
        <v>4.6943041262309908</v>
      </c>
    </row>
    <row r="125" spans="2:7" x14ac:dyDescent="0.2">
      <c r="B125" s="14">
        <f t="shared" si="7"/>
        <v>7.9835492355014086</v>
      </c>
      <c r="C125" s="14">
        <f t="shared" si="6"/>
        <v>7.0164507644985914</v>
      </c>
      <c r="D125" s="8">
        <f t="shared" si="11"/>
        <v>15.599999999999962</v>
      </c>
      <c r="E125" s="14">
        <f t="shared" si="8"/>
        <v>4.7529439400956432</v>
      </c>
      <c r="F125" s="14">
        <f t="shared" si="9"/>
        <v>4.7531431414237035</v>
      </c>
      <c r="G125" s="14">
        <f t="shared" si="10"/>
        <v>4.7531431414237053</v>
      </c>
    </row>
    <row r="126" spans="2:7" x14ac:dyDescent="0.2">
      <c r="B126" s="14">
        <f t="shared" si="7"/>
        <v>8.0044583050984599</v>
      </c>
      <c r="C126" s="14">
        <f t="shared" si="6"/>
        <v>6.9955416949015401</v>
      </c>
      <c r="D126" s="8">
        <f t="shared" si="11"/>
        <v>15.699999999999962</v>
      </c>
      <c r="E126" s="14">
        <f t="shared" si="8"/>
        <v>4.8120517573021075</v>
      </c>
      <c r="F126" s="14">
        <f t="shared" si="9"/>
        <v>4.812250348429985</v>
      </c>
      <c r="G126" s="14">
        <f t="shared" si="10"/>
        <v>4.8122503484299841</v>
      </c>
    </row>
    <row r="127" spans="2:7" x14ac:dyDescent="0.2">
      <c r="B127" s="14">
        <f t="shared" si="7"/>
        <v>8.0251115482293436</v>
      </c>
      <c r="C127" s="14">
        <f t="shared" si="6"/>
        <v>6.9748884517706564</v>
      </c>
      <c r="D127" s="8">
        <f t="shared" si="11"/>
        <v>15.799999999999962</v>
      </c>
      <c r="E127" s="14">
        <f t="shared" si="8"/>
        <v>4.8714265960367573</v>
      </c>
      <c r="F127" s="14">
        <f t="shared" si="9"/>
        <v>4.8716245816713055</v>
      </c>
      <c r="G127" s="14">
        <f t="shared" si="10"/>
        <v>4.8716245816713073</v>
      </c>
    </row>
    <row r="128" spans="2:7" x14ac:dyDescent="0.2">
      <c r="B128" s="14">
        <f t="shared" si="7"/>
        <v>8.0455140402218657</v>
      </c>
      <c r="C128" s="14">
        <f t="shared" si="6"/>
        <v>6.9544859597781343</v>
      </c>
      <c r="D128" s="8">
        <f t="shared" si="11"/>
        <v>15.899999999999961</v>
      </c>
      <c r="E128" s="14">
        <f t="shared" si="8"/>
        <v>4.9310673021096925</v>
      </c>
      <c r="F128" s="14">
        <f t="shared" si="9"/>
        <v>4.9312646868997518</v>
      </c>
      <c r="G128" s="14">
        <f t="shared" si="10"/>
        <v>4.9312646868997509</v>
      </c>
    </row>
    <row r="129" spans="2:7" x14ac:dyDescent="0.2">
      <c r="B129" s="14">
        <f t="shared" si="7"/>
        <v>8.0656707188402237</v>
      </c>
      <c r="C129" s="14">
        <f t="shared" si="6"/>
        <v>6.9343292811597763</v>
      </c>
      <c r="D129" s="8">
        <f t="shared" si="11"/>
        <v>15.999999999999961</v>
      </c>
      <c r="E129" s="14">
        <f t="shared" si="8"/>
        <v>4.9909727324909738</v>
      </c>
      <c r="F129" s="14">
        <f t="shared" si="9"/>
        <v>4.9911695210271487</v>
      </c>
      <c r="G129" s="14">
        <f t="shared" si="10"/>
        <v>4.9911695210271478</v>
      </c>
    </row>
    <row r="130" spans="2:7" x14ac:dyDescent="0.2">
      <c r="B130" s="14">
        <f t="shared" si="7"/>
        <v>8.0855863889842645</v>
      </c>
      <c r="C130" s="14">
        <f t="shared" si="6"/>
        <v>6.9144136110157355</v>
      </c>
      <c r="D130" s="8">
        <f t="shared" si="11"/>
        <v>16.099999999999962</v>
      </c>
      <c r="E130" s="14">
        <f t="shared" si="8"/>
        <v>5.0511417551397617</v>
      </c>
      <c r="F130" s="14">
        <f t="shared" si="9"/>
        <v>5.0513379519576871</v>
      </c>
      <c r="G130" s="14">
        <f t="shared" si="10"/>
        <v>5.0513379519576906</v>
      </c>
    </row>
    <row r="131" spans="2:7" x14ac:dyDescent="0.2">
      <c r="B131" s="14">
        <f t="shared" si="7"/>
        <v>8.1052657271958086</v>
      </c>
      <c r="C131" s="14">
        <f t="shared" si="6"/>
        <v>6.8947342728041914</v>
      </c>
      <c r="D131" s="8">
        <f t="shared" si="11"/>
        <v>16.199999999999964</v>
      </c>
      <c r="E131" s="14">
        <f t="shared" si="8"/>
        <v>5.1115732488436603</v>
      </c>
      <c r="F131" s="14">
        <f t="shared" si="9"/>
        <v>5.1117688584239174</v>
      </c>
      <c r="G131" s="14">
        <f t="shared" si="10"/>
        <v>5.1117688584239165</v>
      </c>
    </row>
    <row r="132" spans="2:7" x14ac:dyDescent="0.2">
      <c r="B132" s="14">
        <f t="shared" si="7"/>
        <v>8.1247132859812403</v>
      </c>
      <c r="C132" s="14">
        <f t="shared" si="6"/>
        <v>6.8752867140187597</v>
      </c>
      <c r="D132" s="8">
        <f t="shared" si="11"/>
        <v>16.299999999999965</v>
      </c>
      <c r="E132" s="14">
        <f t="shared" si="8"/>
        <v>5.1722661030587389</v>
      </c>
      <c r="F132" s="14">
        <f t="shared" si="9"/>
        <v>5.1724611298260266</v>
      </c>
      <c r="G132" s="14">
        <f t="shared" si="10"/>
        <v>5.172461129826023</v>
      </c>
    </row>
    <row r="133" spans="2:7" x14ac:dyDescent="0.2">
      <c r="B133" s="14">
        <f t="shared" si="7"/>
        <v>8.1439334979591358</v>
      </c>
      <c r="C133" s="14">
        <f t="shared" si="6"/>
        <v>6.8560665020408642</v>
      </c>
      <c r="D133" s="8">
        <f t="shared" si="11"/>
        <v>16.399999999999967</v>
      </c>
      <c r="E133" s="14">
        <f t="shared" si="8"/>
        <v>5.2332192177476591</v>
      </c>
      <c r="F133" s="14">
        <f t="shared" si="9"/>
        <v>5.2334136660743384</v>
      </c>
      <c r="G133" s="14">
        <f t="shared" si="10"/>
        <v>5.2334136660743411</v>
      </c>
    </row>
    <row r="134" spans="2:7" x14ac:dyDescent="0.2">
      <c r="B134" s="14">
        <f t="shared" si="7"/>
        <v>8.1629306798411676</v>
      </c>
      <c r="C134" s="14">
        <f t="shared" si="6"/>
        <v>6.8370693201588324</v>
      </c>
      <c r="D134" s="8">
        <f t="shared" si="11"/>
        <v>16.499999999999968</v>
      </c>
      <c r="E134" s="14">
        <f t="shared" si="8"/>
        <v>5.2944315032285871</v>
      </c>
      <c r="F134" s="14">
        <f t="shared" si="9"/>
        <v>5.2946253774349774</v>
      </c>
      <c r="G134" s="14">
        <f t="shared" si="10"/>
        <v>5.2946253774349792</v>
      </c>
    </row>
    <row r="135" spans="2:7" x14ac:dyDescent="0.2">
      <c r="B135" s="14">
        <f t="shared" si="7"/>
        <v>8.1817090362540483</v>
      </c>
      <c r="C135" s="14">
        <f t="shared" si="6"/>
        <v>6.8182909637459517</v>
      </c>
      <c r="D135" s="8">
        <f t="shared" si="11"/>
        <v>16.599999999999969</v>
      </c>
      <c r="E135" s="14">
        <f t="shared" si="8"/>
        <v>5.3559018800244411</v>
      </c>
      <c r="F135" s="14">
        <f t="shared" si="9"/>
        <v>5.3560951843785229</v>
      </c>
      <c r="G135" s="14">
        <f t="shared" si="10"/>
        <v>5.3560951843785256</v>
      </c>
    </row>
    <row r="136" spans="2:7" x14ac:dyDescent="0.2">
      <c r="B136" s="14">
        <f t="shared" si="7"/>
        <v>8.2002726634099723</v>
      </c>
      <c r="C136" s="14">
        <f t="shared" si="6"/>
        <v>6.7997273365900277</v>
      </c>
      <c r="D136" s="8">
        <f t="shared" si="11"/>
        <v>16.699999999999971</v>
      </c>
      <c r="E136" s="14">
        <f t="shared" si="8"/>
        <v>5.4176292787135303</v>
      </c>
      <c r="F136" s="14">
        <f t="shared" si="9"/>
        <v>5.4178220174317033</v>
      </c>
      <c r="G136" s="14">
        <f t="shared" si="10"/>
        <v>5.4178220174317007</v>
      </c>
    </row>
    <row r="137" spans="2:7" x14ac:dyDescent="0.2">
      <c r="B137" s="14">
        <f t="shared" si="7"/>
        <v>8.2186255526324992</v>
      </c>
      <c r="C137" s="14">
        <f t="shared" si="6"/>
        <v>6.7813744473675008</v>
      </c>
      <c r="D137" s="8">
        <f t="shared" si="11"/>
        <v>16.799999999999972</v>
      </c>
      <c r="E137" s="14">
        <f t="shared" si="8"/>
        <v>5.4796126397826397</v>
      </c>
      <c r="F137" s="14">
        <f t="shared" si="9"/>
        <v>5.4798048170319493</v>
      </c>
      <c r="G137" s="14">
        <f t="shared" si="10"/>
        <v>5.4798048170319511</v>
      </c>
    </row>
    <row r="138" spans="2:7" x14ac:dyDescent="0.2">
      <c r="B138" s="14">
        <f t="shared" si="7"/>
        <v>8.2367715937445691</v>
      </c>
      <c r="C138" s="14">
        <f t="shared" si="6"/>
        <v>6.7632284062554309</v>
      </c>
      <c r="D138" s="8">
        <f t="shared" si="11"/>
        <v>16.899999999999974</v>
      </c>
      <c r="E138" s="14">
        <f t="shared" si="8"/>
        <v>5.541850913486094</v>
      </c>
      <c r="F138" s="14">
        <f t="shared" si="9"/>
        <v>5.5420425333848442</v>
      </c>
      <c r="G138" s="14">
        <f t="shared" si="10"/>
        <v>5.5420425333848433</v>
      </c>
    </row>
    <row r="139" spans="2:7" x14ac:dyDescent="0.2">
      <c r="B139" s="14">
        <f t="shared" si="7"/>
        <v>8.2547145783248546</v>
      </c>
      <c r="C139" s="14">
        <f t="shared" si="6"/>
        <v>6.7452854216751454</v>
      </c>
      <c r="D139" s="8">
        <f t="shared" si="11"/>
        <v>16.999999999999975</v>
      </c>
      <c r="E139" s="14">
        <f t="shared" si="8"/>
        <v>5.6043430597071113</v>
      </c>
      <c r="F139" s="14">
        <f t="shared" si="9"/>
        <v>5.6045341263242605</v>
      </c>
      <c r="G139" s="14">
        <f t="shared" si="10"/>
        <v>5.6045341263242623</v>
      </c>
    </row>
    <row r="140" spans="2:7" x14ac:dyDescent="0.2">
      <c r="B140" s="14">
        <f t="shared" si="7"/>
        <v>8.2724582028384912</v>
      </c>
      <c r="C140" s="14">
        <f t="shared" si="6"/>
        <v>6.7275417971615088</v>
      </c>
      <c r="D140" s="8">
        <f t="shared" si="11"/>
        <v>17.099999999999977</v>
      </c>
      <c r="E140" s="14">
        <f t="shared" si="8"/>
        <v>5.6670880478176437</v>
      </c>
      <c r="F140" s="14">
        <f t="shared" si="9"/>
        <v>5.6672785651752662</v>
      </c>
      <c r="G140" s="14">
        <f t="shared" si="10"/>
        <v>5.667278565175268</v>
      </c>
    </row>
    <row r="141" spans="2:7" x14ac:dyDescent="0.2">
      <c r="B141" s="14">
        <f t="shared" si="7"/>
        <v>8.2900060716477828</v>
      </c>
      <c r="C141" s="14">
        <f t="shared" si="6"/>
        <v>6.7099939283522172</v>
      </c>
      <c r="D141" s="8">
        <f t="shared" si="11"/>
        <v>17.199999999999978</v>
      </c>
      <c r="E141" s="14">
        <f t="shared" si="8"/>
        <v>5.7300848565473128</v>
      </c>
      <c r="F141" s="14">
        <f t="shared" si="9"/>
        <v>5.7302748286196232</v>
      </c>
      <c r="G141" s="14">
        <f t="shared" si="10"/>
        <v>5.7302748286196215</v>
      </c>
    </row>
    <row r="142" spans="2:7" x14ac:dyDescent="0.2">
      <c r="B142" s="14">
        <f t="shared" si="7"/>
        <v>8.307361699908256</v>
      </c>
      <c r="C142" s="14">
        <f t="shared" si="6"/>
        <v>6.692638300091744</v>
      </c>
      <c r="D142" s="8">
        <f t="shared" si="11"/>
        <v>17.299999999999979</v>
      </c>
      <c r="E142" s="14">
        <f t="shared" si="8"/>
        <v>5.7933324738482055</v>
      </c>
      <c r="F142" s="14">
        <f t="shared" si="9"/>
        <v>5.7935219045638648</v>
      </c>
      <c r="G142" s="14">
        <f t="shared" si="10"/>
        <v>5.7935219045638657</v>
      </c>
    </row>
    <row r="143" spans="2:7" x14ac:dyDescent="0.2">
      <c r="B143" s="14">
        <f t="shared" si="7"/>
        <v>8.3245285163551817</v>
      </c>
      <c r="C143" s="14">
        <f t="shared" si="6"/>
        <v>6.6754714836448183</v>
      </c>
      <c r="D143" s="8">
        <f t="shared" si="11"/>
        <v>17.399999999999981</v>
      </c>
      <c r="E143" s="14">
        <f t="shared" si="8"/>
        <v>5.8568298967679233</v>
      </c>
      <c r="F143" s="14">
        <f t="shared" si="9"/>
        <v>5.8570187900099064</v>
      </c>
      <c r="G143" s="14">
        <f t="shared" si="10"/>
        <v>5.8570187900099047</v>
      </c>
    </row>
    <row r="144" spans="2:7" x14ac:dyDescent="0.2">
      <c r="B144" s="14">
        <f t="shared" si="7"/>
        <v>8.34150986598533</v>
      </c>
      <c r="C144" s="14">
        <f t="shared" si="6"/>
        <v>6.65849013401467</v>
      </c>
      <c r="D144" s="8">
        <f t="shared" si="11"/>
        <v>17.499999999999982</v>
      </c>
      <c r="E144" s="14">
        <f t="shared" si="8"/>
        <v>5.9205761313216012</v>
      </c>
      <c r="F144" s="14">
        <f t="shared" si="9"/>
        <v>5.9207644909280592</v>
      </c>
      <c r="G144" s="14">
        <f t="shared" si="10"/>
        <v>5.9207644909280628</v>
      </c>
    </row>
    <row r="145" spans="2:7" x14ac:dyDescent="0.2">
      <c r="B145" s="14">
        <f t="shared" si="7"/>
        <v>8.3583090126386335</v>
      </c>
      <c r="C145" s="14">
        <f t="shared" si="6"/>
        <v>6.6416909873613665</v>
      </c>
      <c r="D145" s="8">
        <f t="shared" si="11"/>
        <v>17.599999999999984</v>
      </c>
      <c r="E145" s="14">
        <f t="shared" si="8"/>
        <v>5.9845701923668306</v>
      </c>
      <c r="F145" s="14">
        <f t="shared" si="9"/>
        <v>5.9847580221324979</v>
      </c>
      <c r="G145" s="14">
        <f t="shared" si="10"/>
        <v>5.9847580221324996</v>
      </c>
    </row>
    <row r="146" spans="2:7" x14ac:dyDescent="0.2">
      <c r="B146" s="14">
        <f t="shared" si="7"/>
        <v>8.3749291414840279</v>
      </c>
      <c r="C146" s="14">
        <f t="shared" si="6"/>
        <v>6.6250708585159721</v>
      </c>
      <c r="D146" s="8">
        <f t="shared" si="11"/>
        <v>17.699999999999985</v>
      </c>
      <c r="E146" s="14">
        <f t="shared" si="8"/>
        <v>6.0488111034832217</v>
      </c>
      <c r="F146" s="14">
        <f t="shared" si="9"/>
        <v>6.0489984071589866</v>
      </c>
      <c r="G146" s="14">
        <f t="shared" si="10"/>
        <v>6.0489984071589893</v>
      </c>
    </row>
    <row r="147" spans="2:7" x14ac:dyDescent="0.2">
      <c r="B147" s="14">
        <f t="shared" si="7"/>
        <v>8.3913733614136898</v>
      </c>
      <c r="C147" s="14">
        <f t="shared" ref="C147:C210" si="12">$C$14-B147</f>
        <v>6.6086266385863102</v>
      </c>
      <c r="D147" s="8">
        <f t="shared" si="11"/>
        <v>17.799999999999986</v>
      </c>
      <c r="E147" s="14">
        <f t="shared" si="8"/>
        <v>6.1132978968510079</v>
      </c>
      <c r="F147" s="14">
        <f t="shared" si="9"/>
        <v>6.1134846781449639</v>
      </c>
      <c r="G147" s="14">
        <f t="shared" si="10"/>
        <v>6.1134846781449665</v>
      </c>
    </row>
    <row r="148" spans="2:7" x14ac:dyDescent="0.2">
      <c r="B148" s="14">
        <f t="shared" ref="B148:B211" si="13">$C$14*(LN(D148)-LN($F$14))/(1+LN(D148)-LN($F$14))</f>
        <v>8.4076447073495526</v>
      </c>
      <c r="C148" s="14">
        <f t="shared" si="12"/>
        <v>6.5923552926504474</v>
      </c>
      <c r="D148" s="8">
        <f t="shared" si="11"/>
        <v>17.899999999999988</v>
      </c>
      <c r="E148" s="14">
        <f t="shared" ref="E148:E211" si="14">(D149-D147)/(B149-B147)</f>
        <v>6.1780296131336776</v>
      </c>
      <c r="F148" s="14">
        <f t="shared" ref="F148:F211" si="15">D148*$C$14/(C148*C148)</f>
        <v>6.1782158757117935</v>
      </c>
      <c r="G148" s="14">
        <f t="shared" ref="G148:G211" si="16">D148*(1+LN(D148/$F$14))*(1+LN(D148/$F$14))/$C$14</f>
        <v>6.1782158757117962</v>
      </c>
    </row>
    <row r="149" spans="2:7" x14ac:dyDescent="0.2">
      <c r="B149" s="14">
        <f t="shared" si="13"/>
        <v>8.4237461424658928</v>
      </c>
      <c r="C149" s="14">
        <f t="shared" si="12"/>
        <v>6.5762538575341072</v>
      </c>
      <c r="D149" s="8">
        <f t="shared" ref="D149:D212" si="17">D148+0.1</f>
        <v>17.999999999999989</v>
      </c>
      <c r="E149" s="14">
        <f t="shared" si="14"/>
        <v>6.2430053013616327</v>
      </c>
      <c r="F149" s="14">
        <f t="shared" si="15"/>
        <v>6.2431910488492237</v>
      </c>
      <c r="G149" s="14">
        <f t="shared" si="16"/>
        <v>6.2431910488492273</v>
      </c>
    </row>
    <row r="150" spans="2:7" x14ac:dyDescent="0.2">
      <c r="B150" s="14">
        <f t="shared" si="13"/>
        <v>8.4396805603315102</v>
      </c>
      <c r="C150" s="14">
        <f t="shared" si="12"/>
        <v>6.5603194396684898</v>
      </c>
      <c r="D150" s="8">
        <f t="shared" si="17"/>
        <v>18.099999999999991</v>
      </c>
      <c r="E150" s="14">
        <f t="shared" si="14"/>
        <v>6.3082240188209955</v>
      </c>
      <c r="F150" s="14">
        <f t="shared" si="15"/>
        <v>6.3084092548019699</v>
      </c>
      <c r="G150" s="14">
        <f t="shared" si="16"/>
        <v>6.3084092548019699</v>
      </c>
    </row>
    <row r="151" spans="2:7" x14ac:dyDescent="0.2">
      <c r="B151" s="14">
        <f t="shared" si="13"/>
        <v>8.4554507869749163</v>
      </c>
      <c r="C151" s="14">
        <f t="shared" si="12"/>
        <v>6.5445492130250837</v>
      </c>
      <c r="D151" s="8">
        <f t="shared" si="17"/>
        <v>18.199999999999992</v>
      </c>
      <c r="E151" s="14">
        <f t="shared" si="14"/>
        <v>6.3736848309404186</v>
      </c>
      <c r="F151" s="14">
        <f t="shared" si="15"/>
        <v>6.3738695589583481</v>
      </c>
      <c r="G151" s="14">
        <f t="shared" si="16"/>
        <v>6.3738695589583463</v>
      </c>
    </row>
    <row r="152" spans="2:7" x14ac:dyDescent="0.2">
      <c r="B152" s="14">
        <f t="shared" si="13"/>
        <v>8.4710595828757569</v>
      </c>
      <c r="C152" s="14">
        <f t="shared" si="12"/>
        <v>6.5289404171242431</v>
      </c>
      <c r="D152" s="8">
        <f t="shared" si="17"/>
        <v>18.299999999999994</v>
      </c>
      <c r="E152" s="14">
        <f t="shared" si="14"/>
        <v>6.4393868111812589</v>
      </c>
      <c r="F152" s="14">
        <f t="shared" si="15"/>
        <v>6.43957103474097</v>
      </c>
      <c r="G152" s="14">
        <f t="shared" si="16"/>
        <v>6.4395710347409709</v>
      </c>
    </row>
    <row r="153" spans="2:7" x14ac:dyDescent="0.2">
      <c r="B153" s="14">
        <f t="shared" si="13"/>
        <v>8.4865096448855368</v>
      </c>
      <c r="C153" s="14">
        <f t="shared" si="12"/>
        <v>6.5134903551144632</v>
      </c>
      <c r="D153" s="8">
        <f t="shared" si="17"/>
        <v>18.399999999999995</v>
      </c>
      <c r="E153" s="14">
        <f t="shared" si="14"/>
        <v>6.505329040932013</v>
      </c>
      <c r="F153" s="14">
        <f t="shared" si="15"/>
        <v>6.5055127634994081</v>
      </c>
      <c r="G153" s="14">
        <f t="shared" si="16"/>
        <v>6.5055127634994099</v>
      </c>
    </row>
    <row r="154" spans="2:7" x14ac:dyDescent="0.2">
      <c r="B154" s="14">
        <f t="shared" si="13"/>
        <v>8.5018036080805679</v>
      </c>
      <c r="C154" s="14">
        <f t="shared" si="12"/>
        <v>6.4981963919194321</v>
      </c>
      <c r="D154" s="8">
        <f t="shared" si="17"/>
        <v>18.499999999999996</v>
      </c>
      <c r="E154" s="14">
        <f t="shared" si="14"/>
        <v>6.5715106094026821</v>
      </c>
      <c r="F154" s="14">
        <f t="shared" si="15"/>
        <v>6.5716938344047762</v>
      </c>
      <c r="G154" s="14">
        <f t="shared" si="16"/>
        <v>6.5716938344047779</v>
      </c>
    </row>
    <row r="155" spans="2:7" x14ac:dyDescent="0.2">
      <c r="B155" s="14">
        <f t="shared" si="13"/>
        <v>8.5169440475499467</v>
      </c>
      <c r="C155" s="14">
        <f t="shared" si="12"/>
        <v>6.4830559524500533</v>
      </c>
      <c r="D155" s="8">
        <f t="shared" si="17"/>
        <v>18.599999999999998</v>
      </c>
      <c r="E155" s="14">
        <f t="shared" si="14"/>
        <v>6.6379306135200906</v>
      </c>
      <c r="F155" s="14">
        <f t="shared" si="15"/>
        <v>6.6381133443462392</v>
      </c>
      <c r="G155" s="14">
        <f t="shared" si="16"/>
        <v>6.6381133443462401</v>
      </c>
    </row>
    <row r="156" spans="2:7" x14ac:dyDescent="0.2">
      <c r="B156" s="14">
        <f t="shared" si="13"/>
        <v>8.5319334801212072</v>
      </c>
      <c r="C156" s="14">
        <f t="shared" si="12"/>
        <v>6.4680665198787928</v>
      </c>
      <c r="D156" s="8">
        <f t="shared" si="17"/>
        <v>18.7</v>
      </c>
      <c r="E156" s="14">
        <f t="shared" si="14"/>
        <v>6.7045881578265565</v>
      </c>
      <c r="F156" s="14">
        <f t="shared" si="15"/>
        <v>6.7047703978293516</v>
      </c>
      <c r="G156" s="14">
        <f t="shared" si="16"/>
        <v>6.7047703978293498</v>
      </c>
    </row>
    <row r="157" spans="2:7" x14ac:dyDescent="0.2">
      <c r="B157" s="14">
        <f t="shared" si="13"/>
        <v>8.5467743660261881</v>
      </c>
      <c r="C157" s="14">
        <f t="shared" si="12"/>
        <v>6.4532256339738119</v>
      </c>
      <c r="D157" s="8">
        <f t="shared" si="17"/>
        <v>18.8</v>
      </c>
      <c r="E157" s="14">
        <f t="shared" si="14"/>
        <v>6.7714823543812974</v>
      </c>
      <c r="F157" s="14">
        <f t="shared" si="15"/>
        <v>6.771664106876206</v>
      </c>
      <c r="G157" s="14">
        <f t="shared" si="16"/>
        <v>6.7716641068762042</v>
      </c>
    </row>
    <row r="158" spans="2:7" x14ac:dyDescent="0.2">
      <c r="B158" s="14">
        <f t="shared" si="13"/>
        <v>8.5614691105095222</v>
      </c>
      <c r="C158" s="14">
        <f t="shared" si="12"/>
        <v>6.4385308894904778</v>
      </c>
      <c r="D158" s="8">
        <f t="shared" si="17"/>
        <v>18.900000000000002</v>
      </c>
      <c r="E158" s="14">
        <f t="shared" si="14"/>
        <v>6.8386123226605351</v>
      </c>
      <c r="F158" s="14">
        <f t="shared" si="15"/>
        <v>6.8387935909273558</v>
      </c>
      <c r="G158" s="14">
        <f t="shared" si="16"/>
        <v>6.8387935909273549</v>
      </c>
    </row>
    <row r="159" spans="2:7" x14ac:dyDescent="0.2">
      <c r="B159" s="14">
        <f t="shared" si="13"/>
        <v>8.5760200653820764</v>
      </c>
      <c r="C159" s="14">
        <f t="shared" si="12"/>
        <v>6.4239799346179236</v>
      </c>
      <c r="D159" s="8">
        <f t="shared" si="17"/>
        <v>19.000000000000004</v>
      </c>
      <c r="E159" s="14">
        <f t="shared" si="14"/>
        <v>6.9059771894620976</v>
      </c>
      <c r="F159" s="14">
        <f t="shared" si="15"/>
        <v>6.9061579767454786</v>
      </c>
      <c r="G159" s="14">
        <f t="shared" si="16"/>
        <v>6.9061579767454795</v>
      </c>
    </row>
    <row r="160" spans="2:7" x14ac:dyDescent="0.2">
      <c r="B160" s="14">
        <f t="shared" si="13"/>
        <v>8.5904295305215062</v>
      </c>
      <c r="C160" s="14">
        <f t="shared" si="12"/>
        <v>6.4095704694784938</v>
      </c>
      <c r="D160" s="8">
        <f t="shared" si="17"/>
        <v>19.100000000000005</v>
      </c>
      <c r="E160" s="14">
        <f t="shared" si="14"/>
        <v>6.9735760888123126</v>
      </c>
      <c r="F160" s="14">
        <f t="shared" si="15"/>
        <v>6.9737563983206989</v>
      </c>
      <c r="G160" s="14">
        <f t="shared" si="16"/>
        <v>6.9737563983207016</v>
      </c>
    </row>
    <row r="161" spans="2:7" x14ac:dyDescent="0.2">
      <c r="B161" s="14">
        <f t="shared" si="13"/>
        <v>8.6046997553220574</v>
      </c>
      <c r="C161" s="14">
        <f t="shared" si="12"/>
        <v>6.3953002446779426</v>
      </c>
      <c r="D161" s="8">
        <f t="shared" si="17"/>
        <v>19.200000000000006</v>
      </c>
      <c r="E161" s="14">
        <f t="shared" si="14"/>
        <v>7.0414081618690885</v>
      </c>
      <c r="F161" s="14">
        <f t="shared" si="15"/>
        <v>7.0415879967775936</v>
      </c>
      <c r="G161" s="14">
        <f t="shared" si="16"/>
        <v>7.0415879967775989</v>
      </c>
    </row>
    <row r="162" spans="2:7" x14ac:dyDescent="0.2">
      <c r="B162" s="14">
        <f t="shared" si="13"/>
        <v>8.6188329400956096</v>
      </c>
      <c r="C162" s="14">
        <f t="shared" si="12"/>
        <v>6.3811670599043904</v>
      </c>
      <c r="D162" s="8">
        <f t="shared" si="17"/>
        <v>19.300000000000008</v>
      </c>
      <c r="E162" s="14">
        <f t="shared" si="14"/>
        <v>7.1094725568341355</v>
      </c>
      <c r="F162" s="14">
        <f t="shared" si="15"/>
        <v>7.1096519202838167</v>
      </c>
      <c r="G162" s="14">
        <f t="shared" si="16"/>
        <v>7.109651920283822</v>
      </c>
    </row>
    <row r="163" spans="2:7" x14ac:dyDescent="0.2">
      <c r="B163" s="14">
        <f t="shared" si="13"/>
        <v>8.6328312374258527</v>
      </c>
      <c r="C163" s="14">
        <f t="shared" si="12"/>
        <v>6.3671687625741473</v>
      </c>
      <c r="D163" s="8">
        <f t="shared" si="17"/>
        <v>19.400000000000009</v>
      </c>
      <c r="E163" s="14">
        <f t="shared" si="14"/>
        <v>7.1777684288620405</v>
      </c>
      <c r="F163" s="14">
        <f t="shared" si="15"/>
        <v>7.1779473239602751</v>
      </c>
      <c r="G163" s="14">
        <f t="shared" si="16"/>
        <v>7.1779473239602778</v>
      </c>
    </row>
    <row r="164" spans="2:7" x14ac:dyDescent="0.2">
      <c r="B164" s="14">
        <f t="shared" si="13"/>
        <v>8.6466967534774675</v>
      </c>
      <c r="C164" s="14">
        <f t="shared" si="12"/>
        <v>6.3533032465225325</v>
      </c>
      <c r="D164" s="8">
        <f t="shared" si="17"/>
        <v>19.500000000000011</v>
      </c>
      <c r="E164" s="14">
        <f t="shared" si="14"/>
        <v>7.2462949399733869</v>
      </c>
      <c r="F164" s="14">
        <f t="shared" si="15"/>
        <v>7.246473369792894</v>
      </c>
      <c r="G164" s="14">
        <f t="shared" si="16"/>
        <v>7.2464733697928887</v>
      </c>
    </row>
    <row r="165" spans="2:7" x14ac:dyDescent="0.2">
      <c r="B165" s="14">
        <f t="shared" si="13"/>
        <v>8.6604315492620056</v>
      </c>
      <c r="C165" s="14">
        <f t="shared" si="12"/>
        <v>6.3395684507379944</v>
      </c>
      <c r="D165" s="8">
        <f t="shared" si="17"/>
        <v>19.600000000000012</v>
      </c>
      <c r="E165" s="14">
        <f t="shared" si="14"/>
        <v>7.315051258963015</v>
      </c>
      <c r="F165" s="14">
        <f t="shared" si="15"/>
        <v>7.3152292265458412</v>
      </c>
      <c r="G165" s="14">
        <f t="shared" si="16"/>
        <v>7.3152292265458412</v>
      </c>
    </row>
    <row r="166" spans="2:7" x14ac:dyDescent="0.2">
      <c r="B166" s="14">
        <f t="shared" si="13"/>
        <v>8.6740376418622134</v>
      </c>
      <c r="C166" s="14">
        <f t="shared" si="12"/>
        <v>6.3259623581377866</v>
      </c>
      <c r="D166" s="8">
        <f t="shared" si="17"/>
        <v>19.700000000000014</v>
      </c>
      <c r="E166" s="14">
        <f t="shared" si="14"/>
        <v>7.3840365613195269</v>
      </c>
      <c r="F166" s="14">
        <f t="shared" si="15"/>
        <v>7.3842140696763376</v>
      </c>
      <c r="G166" s="14">
        <f t="shared" si="16"/>
        <v>7.3842140696763341</v>
      </c>
    </row>
    <row r="167" spans="2:7" x14ac:dyDescent="0.2">
      <c r="B167" s="14">
        <f t="shared" si="13"/>
        <v>8.6875170056162823</v>
      </c>
      <c r="C167" s="14">
        <f t="shared" si="12"/>
        <v>6.3124829943837177</v>
      </c>
      <c r="D167" s="8">
        <f t="shared" si="17"/>
        <v>19.800000000000015</v>
      </c>
      <c r="E167" s="14">
        <f t="shared" si="14"/>
        <v>7.4532500291431738</v>
      </c>
      <c r="F167" s="14">
        <f t="shared" si="15"/>
        <v>7.4534270812507701</v>
      </c>
      <c r="G167" s="14">
        <f t="shared" si="16"/>
        <v>7.4534270812507684</v>
      </c>
    </row>
    <row r="168" spans="2:7" x14ac:dyDescent="0.2">
      <c r="B168" s="14">
        <f t="shared" si="13"/>
        <v>8.7008715732636794</v>
      </c>
      <c r="C168" s="14">
        <f t="shared" si="12"/>
        <v>6.2991284267363206</v>
      </c>
      <c r="D168" s="8">
        <f t="shared" si="17"/>
        <v>19.900000000000016</v>
      </c>
      <c r="E168" s="14">
        <f t="shared" si="14"/>
        <v>7.5226908510562422</v>
      </c>
      <c r="F168" s="14">
        <f t="shared" si="15"/>
        <v>7.522867449862356</v>
      </c>
      <c r="G168" s="14">
        <f t="shared" si="16"/>
        <v>7.5228674498623596</v>
      </c>
    </row>
    <row r="169" spans="2:7" x14ac:dyDescent="0.2">
      <c r="B169" s="14">
        <f t="shared" si="13"/>
        <v>8.7141032370539229</v>
      </c>
      <c r="C169" s="14">
        <f t="shared" si="12"/>
        <v>6.2858967629460771</v>
      </c>
      <c r="D169" s="8">
        <f t="shared" si="17"/>
        <v>20.000000000000018</v>
      </c>
      <c r="E169" s="14">
        <f t="shared" si="14"/>
        <v>7.5923582221277943</v>
      </c>
      <c r="F169" s="14">
        <f t="shared" si="15"/>
        <v>7.5925343705501263</v>
      </c>
      <c r="G169" s="14">
        <f t="shared" si="16"/>
        <v>7.5925343705501289</v>
      </c>
    </row>
    <row r="170" spans="2:7" x14ac:dyDescent="0.2">
      <c r="B170" s="14">
        <f t="shared" si="13"/>
        <v>8.7272138498197442</v>
      </c>
      <c r="C170" s="14">
        <f t="shared" si="12"/>
        <v>6.2727861501802558</v>
      </c>
      <c r="D170" s="8">
        <f t="shared" si="17"/>
        <v>20.100000000000019</v>
      </c>
      <c r="E170" s="14">
        <f t="shared" si="14"/>
        <v>7.6622513437970374</v>
      </c>
      <c r="F170" s="14">
        <f t="shared" si="15"/>
        <v>7.6624270447192879</v>
      </c>
      <c r="G170" s="14">
        <f t="shared" si="16"/>
        <v>7.6624270447192799</v>
      </c>
    </row>
    <row r="171" spans="2:7" x14ac:dyDescent="0.2">
      <c r="B171" s="14">
        <f t="shared" si="13"/>
        <v>8.7402052260159415</v>
      </c>
      <c r="C171" s="14">
        <f t="shared" si="12"/>
        <v>6.2597947739840585</v>
      </c>
      <c r="D171" s="8">
        <f t="shared" si="17"/>
        <v>20.200000000000021</v>
      </c>
      <c r="E171" s="14">
        <f t="shared" si="14"/>
        <v>7.7323694237858431</v>
      </c>
      <c r="F171" s="14">
        <f t="shared" si="15"/>
        <v>7.7325446800628805</v>
      </c>
      <c r="G171" s="14">
        <f t="shared" si="16"/>
        <v>7.7325446800628788</v>
      </c>
    </row>
    <row r="172" spans="2:7" x14ac:dyDescent="0.2">
      <c r="B172" s="14">
        <f t="shared" si="13"/>
        <v>8.7530791427252765</v>
      </c>
      <c r="C172" s="14">
        <f t="shared" si="12"/>
        <v>6.2469208572747235</v>
      </c>
      <c r="D172" s="8">
        <f t="shared" si="17"/>
        <v>20.300000000000022</v>
      </c>
      <c r="E172" s="14">
        <f t="shared" si="14"/>
        <v>7.8027116760226525</v>
      </c>
      <c r="F172" s="14">
        <f t="shared" si="15"/>
        <v>7.8028864904848509</v>
      </c>
      <c r="G172" s="14">
        <f t="shared" si="16"/>
        <v>7.8028864904848563</v>
      </c>
    </row>
    <row r="173" spans="2:7" x14ac:dyDescent="0.2">
      <c r="B173" s="14">
        <f t="shared" si="13"/>
        <v>8.7658373406325296</v>
      </c>
      <c r="C173" s="14">
        <f t="shared" si="12"/>
        <v>6.2341626593674704</v>
      </c>
      <c r="D173" s="8">
        <f t="shared" si="17"/>
        <v>20.400000000000023</v>
      </c>
      <c r="E173" s="14">
        <f t="shared" si="14"/>
        <v>7.8732773205791844</v>
      </c>
      <c r="F173" s="14">
        <f t="shared" si="15"/>
        <v>7.8734516960242589</v>
      </c>
      <c r="G173" s="14">
        <f t="shared" si="16"/>
        <v>7.873451696024258</v>
      </c>
    </row>
    <row r="174" spans="2:7" x14ac:dyDescent="0.2">
      <c r="B174" s="14">
        <f t="shared" si="13"/>
        <v>8.77848152496796</v>
      </c>
      <c r="C174" s="14">
        <f t="shared" si="12"/>
        <v>6.22151847503204</v>
      </c>
      <c r="D174" s="8">
        <f t="shared" si="17"/>
        <v>20.500000000000025</v>
      </c>
      <c r="E174" s="14">
        <f t="shared" si="14"/>
        <v>7.944065583586613</v>
      </c>
      <c r="F174" s="14">
        <f t="shared" si="15"/>
        <v>7.9442395227808049</v>
      </c>
      <c r="G174" s="14">
        <f t="shared" si="16"/>
        <v>7.9442395227807943</v>
      </c>
    </row>
    <row r="175" spans="2:7" x14ac:dyDescent="0.2">
      <c r="B175" s="14">
        <f t="shared" si="13"/>
        <v>8.7910133664212928</v>
      </c>
      <c r="C175" s="14">
        <f t="shared" si="12"/>
        <v>6.2089866335787072</v>
      </c>
      <c r="D175" s="8">
        <f t="shared" si="17"/>
        <v>20.600000000000026</v>
      </c>
      <c r="E175" s="14">
        <f t="shared" si="14"/>
        <v>8.015075697157263</v>
      </c>
      <c r="F175" s="14">
        <f t="shared" si="15"/>
        <v>8.0152492028415647</v>
      </c>
      <c r="G175" s="14">
        <f t="shared" si="16"/>
        <v>8.0152492028415612</v>
      </c>
    </row>
    <row r="176" spans="2:7" x14ac:dyDescent="0.2">
      <c r="B176" s="14">
        <f t="shared" si="13"/>
        <v>8.8034345020272955</v>
      </c>
      <c r="C176" s="14">
        <f t="shared" si="12"/>
        <v>6.1965654979727045</v>
      </c>
      <c r="D176" s="8">
        <f t="shared" si="17"/>
        <v>20.700000000000028</v>
      </c>
      <c r="E176" s="14">
        <f t="shared" si="14"/>
        <v>8.0863068993195242</v>
      </c>
      <c r="F176" s="14">
        <f t="shared" si="15"/>
        <v>8.0864799742089861</v>
      </c>
      <c r="G176" s="14">
        <f t="shared" si="16"/>
        <v>8.0864799742089843</v>
      </c>
    </row>
    <row r="177" spans="2:7" x14ac:dyDescent="0.2">
      <c r="B177" s="14">
        <f t="shared" si="13"/>
        <v>8.8157465360239495</v>
      </c>
      <c r="C177" s="14">
        <f t="shared" si="12"/>
        <v>6.1842534639760505</v>
      </c>
      <c r="D177" s="8">
        <f t="shared" si="17"/>
        <v>20.800000000000029</v>
      </c>
      <c r="E177" s="14">
        <f t="shared" si="14"/>
        <v>8.1577584339496063</v>
      </c>
      <c r="F177" s="14">
        <f t="shared" si="15"/>
        <v>8.1579310807299503</v>
      </c>
      <c r="G177" s="14">
        <f t="shared" si="16"/>
        <v>8.1579310807299485</v>
      </c>
    </row>
    <row r="178" spans="2:7" x14ac:dyDescent="0.2">
      <c r="B178" s="14">
        <f t="shared" si="13"/>
        <v>8.8279510406842476</v>
      </c>
      <c r="C178" s="14">
        <f t="shared" si="12"/>
        <v>6.1720489593157524</v>
      </c>
      <c r="D178" s="8">
        <f t="shared" si="17"/>
        <v>20.900000000000031</v>
      </c>
      <c r="E178" s="14">
        <f t="shared" si="14"/>
        <v>8.2294295506958406</v>
      </c>
      <c r="F178" s="14">
        <f t="shared" si="15"/>
        <v>8.2296017720260402</v>
      </c>
      <c r="G178" s="14">
        <f t="shared" si="16"/>
        <v>8.2296017720260419</v>
      </c>
    </row>
    <row r="179" spans="2:7" x14ac:dyDescent="0.2">
      <c r="B179" s="14">
        <f t="shared" si="13"/>
        <v>8.8400495571225495</v>
      </c>
      <c r="C179" s="14">
        <f t="shared" si="12"/>
        <v>6.1599504428774505</v>
      </c>
      <c r="D179" s="8">
        <f t="shared" si="17"/>
        <v>21.000000000000032</v>
      </c>
      <c r="E179" s="14">
        <f t="shared" si="14"/>
        <v>8.3013195049123336</v>
      </c>
      <c r="F179" s="14">
        <f t="shared" si="15"/>
        <v>8.3014913034249602</v>
      </c>
      <c r="G179" s="14">
        <f t="shared" si="16"/>
        <v>8.3014913034249567</v>
      </c>
    </row>
    <row r="180" spans="2:7" x14ac:dyDescent="0.2">
      <c r="B180" s="14">
        <f t="shared" si="13"/>
        <v>8.8520435960763937</v>
      </c>
      <c r="C180" s="14">
        <f t="shared" si="12"/>
        <v>6.1479564039236063</v>
      </c>
      <c r="D180" s="8">
        <f t="shared" si="17"/>
        <v>21.100000000000033</v>
      </c>
      <c r="E180" s="14">
        <f t="shared" si="14"/>
        <v>8.3734275575937698</v>
      </c>
      <c r="F180" s="14">
        <f t="shared" si="15"/>
        <v>8.3735989358929999</v>
      </c>
      <c r="G180" s="14">
        <f t="shared" si="16"/>
        <v>8.3735989358929928</v>
      </c>
    </row>
    <row r="181" spans="2:7" x14ac:dyDescent="0.2">
      <c r="B181" s="14">
        <f t="shared" si="13"/>
        <v>8.8639346386646505</v>
      </c>
      <c r="C181" s="14">
        <f t="shared" si="12"/>
        <v>6.1360653613353495</v>
      </c>
      <c r="D181" s="8">
        <f t="shared" si="17"/>
        <v>21.200000000000035</v>
      </c>
      <c r="E181" s="14">
        <f t="shared" si="14"/>
        <v>8.4457529753025913</v>
      </c>
      <c r="F181" s="14">
        <f t="shared" si="15"/>
        <v>8.445923935968608</v>
      </c>
      <c r="G181" s="14">
        <f t="shared" si="16"/>
        <v>8.4459239359686062</v>
      </c>
    </row>
    <row r="182" spans="2:7" x14ac:dyDescent="0.2">
      <c r="B182" s="14">
        <f t="shared" si="13"/>
        <v>8.8757241371228641</v>
      </c>
      <c r="C182" s="14">
        <f t="shared" si="12"/>
        <v>6.1242758628771359</v>
      </c>
      <c r="D182" s="8">
        <f t="shared" si="17"/>
        <v>21.300000000000036</v>
      </c>
      <c r="E182" s="14">
        <f t="shared" si="14"/>
        <v>8.5182950301081366</v>
      </c>
      <c r="F182" s="14">
        <f t="shared" si="15"/>
        <v>8.5184655756970749</v>
      </c>
      <c r="G182" s="14">
        <f t="shared" si="16"/>
        <v>8.5184655756970713</v>
      </c>
    </row>
    <row r="183" spans="2:7" x14ac:dyDescent="0.2">
      <c r="B183" s="14">
        <f t="shared" si="13"/>
        <v>8.8874135155165437</v>
      </c>
      <c r="C183" s="14">
        <f t="shared" si="12"/>
        <v>6.1125864844834563</v>
      </c>
      <c r="D183" s="8">
        <f t="shared" si="17"/>
        <v>21.400000000000038</v>
      </c>
      <c r="E183" s="14">
        <f t="shared" si="14"/>
        <v>8.591052999525834</v>
      </c>
      <c r="F183" s="14">
        <f t="shared" si="15"/>
        <v>8.5912231325661441</v>
      </c>
      <c r="G183" s="14">
        <f t="shared" si="16"/>
        <v>8.5912231325661423</v>
      </c>
    </row>
    <row r="184" spans="2:7" x14ac:dyDescent="0.2">
      <c r="B184" s="14">
        <f t="shared" si="13"/>
        <v>8.899004170433221</v>
      </c>
      <c r="C184" s="14">
        <f t="shared" si="12"/>
        <v>6.100995829566779</v>
      </c>
      <c r="D184" s="8">
        <f t="shared" si="17"/>
        <v>21.500000000000039</v>
      </c>
      <c r="E184" s="14">
        <f t="shared" si="14"/>
        <v>8.664026166447977</v>
      </c>
      <c r="F184" s="14">
        <f t="shared" si="15"/>
        <v>8.6641958894427358</v>
      </c>
      <c r="G184" s="14">
        <f t="shared" si="16"/>
        <v>8.6641958894427322</v>
      </c>
    </row>
    <row r="185" spans="2:7" x14ac:dyDescent="0.2">
      <c r="B185" s="14">
        <f t="shared" si="13"/>
        <v>8.9104974716539935</v>
      </c>
      <c r="C185" s="14">
        <f t="shared" si="12"/>
        <v>6.0895025283460065</v>
      </c>
      <c r="D185" s="8">
        <f t="shared" si="17"/>
        <v>21.600000000000041</v>
      </c>
      <c r="E185" s="14">
        <f t="shared" si="14"/>
        <v>8.7372138190805497</v>
      </c>
      <c r="F185" s="14">
        <f t="shared" si="15"/>
        <v>8.7373831345106172</v>
      </c>
      <c r="G185" s="14">
        <f t="shared" si="16"/>
        <v>8.7373831345106137</v>
      </c>
    </row>
    <row r="186" spans="2:7" x14ac:dyDescent="0.2">
      <c r="B186" s="14">
        <f t="shared" si="13"/>
        <v>8.9218947628052696</v>
      </c>
      <c r="C186" s="14">
        <f t="shared" si="12"/>
        <v>6.0781052371947304</v>
      </c>
      <c r="D186" s="8">
        <f t="shared" si="17"/>
        <v>21.700000000000042</v>
      </c>
      <c r="E186" s="14">
        <f t="shared" si="14"/>
        <v>8.8106152508892404</v>
      </c>
      <c r="F186" s="14">
        <f t="shared" si="15"/>
        <v>8.8107841612090922</v>
      </c>
      <c r="G186" s="14">
        <f t="shared" si="16"/>
        <v>8.8107841612090887</v>
      </c>
    </row>
    <row r="187" spans="2:7" x14ac:dyDescent="0.2">
      <c r="B187" s="14">
        <f t="shared" si="13"/>
        <v>8.93319736199137</v>
      </c>
      <c r="C187" s="14">
        <f t="shared" si="12"/>
        <v>6.06680263800863</v>
      </c>
      <c r="D187" s="8">
        <f t="shared" si="17"/>
        <v>21.800000000000043</v>
      </c>
      <c r="E187" s="14">
        <f t="shared" si="14"/>
        <v>8.8842297605290153</v>
      </c>
      <c r="F187" s="14">
        <f t="shared" si="15"/>
        <v>8.8843982681725766</v>
      </c>
      <c r="G187" s="14">
        <f t="shared" si="16"/>
        <v>8.8843982681725837</v>
      </c>
    </row>
    <row r="188" spans="2:7" x14ac:dyDescent="0.2">
      <c r="B188" s="14">
        <f t="shared" si="13"/>
        <v>8.9444065624087159</v>
      </c>
      <c r="C188" s="14">
        <f t="shared" si="12"/>
        <v>6.0555934375912841</v>
      </c>
      <c r="D188" s="8">
        <f t="shared" si="17"/>
        <v>21.900000000000045</v>
      </c>
      <c r="E188" s="14">
        <f t="shared" si="14"/>
        <v>8.9580566517960438</v>
      </c>
      <c r="F188" s="14">
        <f t="shared" si="15"/>
        <v>8.9582247591712445</v>
      </c>
      <c r="G188" s="14">
        <f t="shared" si="16"/>
        <v>8.9582247591712374</v>
      </c>
    </row>
    <row r="189" spans="2:7" x14ac:dyDescent="0.2">
      <c r="B189" s="14">
        <f t="shared" si="13"/>
        <v>8.9555236329421017</v>
      </c>
      <c r="C189" s="14">
        <f t="shared" si="12"/>
        <v>6.0444763670578983</v>
      </c>
      <c r="D189" s="8">
        <f t="shared" si="17"/>
        <v>22.000000000000046</v>
      </c>
      <c r="E189" s="14">
        <f t="shared" si="14"/>
        <v>9.032095233563064</v>
      </c>
      <c r="F189" s="14">
        <f t="shared" si="15"/>
        <v>9.0322629430523769</v>
      </c>
      <c r="G189" s="14">
        <f t="shared" si="16"/>
        <v>9.0322629430523715</v>
      </c>
    </row>
    <row r="190" spans="2:7" x14ac:dyDescent="0.2">
      <c r="B190" s="14">
        <f t="shared" si="13"/>
        <v>8.9665498187438359</v>
      </c>
      <c r="C190" s="14">
        <f t="shared" si="12"/>
        <v>6.0334501812561641</v>
      </c>
      <c r="D190" s="8">
        <f t="shared" si="17"/>
        <v>22.100000000000048</v>
      </c>
      <c r="E190" s="14">
        <f t="shared" si="14"/>
        <v>9.1063448197159307</v>
      </c>
      <c r="F190" s="14">
        <f t="shared" si="15"/>
        <v>9.1065121336828909</v>
      </c>
      <c r="G190" s="14">
        <f t="shared" si="16"/>
        <v>9.1065121336828838</v>
      </c>
    </row>
    <row r="191" spans="2:7" x14ac:dyDescent="0.2">
      <c r="B191" s="14">
        <f t="shared" si="13"/>
        <v>8.9774863417961512</v>
      </c>
      <c r="C191" s="14">
        <f t="shared" si="12"/>
        <v>6.0225136582038488</v>
      </c>
      <c r="D191" s="8">
        <f t="shared" si="17"/>
        <v>22.200000000000049</v>
      </c>
      <c r="E191" s="14">
        <f t="shared" si="14"/>
        <v>9.1808047291102302</v>
      </c>
      <c r="F191" s="14">
        <f t="shared" si="15"/>
        <v>9.1809716498925056</v>
      </c>
      <c r="G191" s="14">
        <f t="shared" si="16"/>
        <v>9.180971649892502</v>
      </c>
    </row>
    <row r="192" spans="2:7" x14ac:dyDescent="0.2">
      <c r="B192" s="14">
        <f t="shared" si="13"/>
        <v>8.9883344014575766</v>
      </c>
      <c r="C192" s="14">
        <f t="shared" si="12"/>
        <v>6.0116655985424234</v>
      </c>
      <c r="D192" s="8">
        <f t="shared" si="17"/>
        <v>22.30000000000005</v>
      </c>
      <c r="E192" s="14">
        <f t="shared" si="14"/>
        <v>9.2554742855016912</v>
      </c>
      <c r="F192" s="14">
        <f t="shared" si="15"/>
        <v>9.2556408154179373</v>
      </c>
      <c r="G192" s="14">
        <f t="shared" si="16"/>
        <v>9.2556408154179408</v>
      </c>
    </row>
    <row r="193" spans="2:7" x14ac:dyDescent="0.2">
      <c r="B193" s="14">
        <f t="shared" si="13"/>
        <v>8.9990951749937427</v>
      </c>
      <c r="C193" s="14">
        <f t="shared" si="12"/>
        <v>6.0009048250062573</v>
      </c>
      <c r="D193" s="8">
        <f t="shared" si="17"/>
        <v>22.400000000000052</v>
      </c>
      <c r="E193" s="14">
        <f t="shared" si="14"/>
        <v>9.3303528175016321</v>
      </c>
      <c r="F193" s="14">
        <f t="shared" si="15"/>
        <v>9.330518958847879</v>
      </c>
      <c r="G193" s="14">
        <f t="shared" si="16"/>
        <v>9.330518958847879</v>
      </c>
    </row>
    <row r="194" spans="2:7" x14ac:dyDescent="0.2">
      <c r="B194" s="14">
        <f t="shared" si="13"/>
        <v>9.0097698180931456</v>
      </c>
      <c r="C194" s="14">
        <f t="shared" si="12"/>
        <v>5.9902301819068544</v>
      </c>
      <c r="D194" s="8">
        <f t="shared" si="17"/>
        <v>22.500000000000053</v>
      </c>
      <c r="E194" s="14">
        <f t="shared" si="14"/>
        <v>9.4054396585220044</v>
      </c>
      <c r="F194" s="14">
        <f t="shared" si="15"/>
        <v>9.4056054135688072</v>
      </c>
      <c r="G194" s="14">
        <f t="shared" si="16"/>
        <v>9.4056054135688019</v>
      </c>
    </row>
    <row r="195" spans="2:7" x14ac:dyDescent="0.2">
      <c r="B195" s="14">
        <f t="shared" si="13"/>
        <v>9.0203594653683865</v>
      </c>
      <c r="C195" s="14">
        <f t="shared" si="12"/>
        <v>5.9796405346316135</v>
      </c>
      <c r="D195" s="8">
        <f t="shared" si="17"/>
        <v>22.600000000000055</v>
      </c>
      <c r="E195" s="14">
        <f t="shared" si="14"/>
        <v>9.4807341467105619</v>
      </c>
      <c r="F195" s="14">
        <f t="shared" si="15"/>
        <v>9.4808995177116238</v>
      </c>
      <c r="G195" s="14">
        <f t="shared" si="16"/>
        <v>9.4808995177116291</v>
      </c>
    </row>
    <row r="196" spans="2:7" x14ac:dyDescent="0.2">
      <c r="B196" s="14">
        <f t="shared" si="13"/>
        <v>9.0308652308433697</v>
      </c>
      <c r="C196" s="14">
        <f t="shared" si="12"/>
        <v>5.9691347691566303</v>
      </c>
      <c r="D196" s="8">
        <f t="shared" si="17"/>
        <v>22.700000000000056</v>
      </c>
      <c r="E196" s="14">
        <f t="shared" si="14"/>
        <v>9.5562356249141054</v>
      </c>
      <c r="F196" s="14">
        <f t="shared" si="15"/>
        <v>9.5564006140991751</v>
      </c>
      <c r="G196" s="14">
        <f t="shared" si="16"/>
        <v>9.5564006140991644</v>
      </c>
    </row>
    <row r="197" spans="2:7" x14ac:dyDescent="0.2">
      <c r="B197" s="14">
        <f t="shared" si="13"/>
        <v>9.0412882084268542</v>
      </c>
      <c r="C197" s="14">
        <f t="shared" si="12"/>
        <v>5.9587117915731458</v>
      </c>
      <c r="D197" s="8">
        <f t="shared" si="17"/>
        <v>22.800000000000058</v>
      </c>
      <c r="E197" s="14">
        <f t="shared" si="14"/>
        <v>9.6319434406185973</v>
      </c>
      <c r="F197" s="14">
        <f t="shared" si="15"/>
        <v>9.6321080501943594</v>
      </c>
      <c r="G197" s="14">
        <f t="shared" si="16"/>
        <v>9.6321080501943506</v>
      </c>
    </row>
    <row r="198" spans="2:7" x14ac:dyDescent="0.2">
      <c r="B198" s="14">
        <f t="shared" si="13"/>
        <v>9.0516294723729231</v>
      </c>
      <c r="C198" s="14">
        <f t="shared" si="12"/>
        <v>5.9483705276270769</v>
      </c>
      <c r="D198" s="8">
        <f t="shared" si="17"/>
        <v>22.900000000000059</v>
      </c>
      <c r="E198" s="14">
        <f t="shared" si="14"/>
        <v>9.7078569458910042</v>
      </c>
      <c r="F198" s="14">
        <f t="shared" si="15"/>
        <v>9.7080211780492682</v>
      </c>
      <c r="G198" s="14">
        <f t="shared" si="16"/>
        <v>9.7080211780492665</v>
      </c>
    </row>
    <row r="199" spans="2:7" x14ac:dyDescent="0.2">
      <c r="B199" s="14">
        <f t="shared" si="13"/>
        <v>9.0618900777286733</v>
      </c>
      <c r="C199" s="14">
        <f t="shared" si="12"/>
        <v>5.9381099222713267</v>
      </c>
      <c r="D199" s="8">
        <f t="shared" si="17"/>
        <v>23.00000000000006</v>
      </c>
      <c r="E199" s="14">
        <f t="shared" si="14"/>
        <v>9.7839754973440538</v>
      </c>
      <c r="F199" s="14">
        <f t="shared" si="15"/>
        <v>9.7841393542548953</v>
      </c>
      <c r="G199" s="14">
        <f t="shared" si="16"/>
        <v>9.7841393542548918</v>
      </c>
    </row>
    <row r="200" spans="2:7" x14ac:dyDescent="0.2">
      <c r="B200" s="14">
        <f t="shared" si="13"/>
        <v>9.0720710607696127</v>
      </c>
      <c r="C200" s="14">
        <f t="shared" si="12"/>
        <v>5.9279289392303873</v>
      </c>
      <c r="D200" s="8">
        <f t="shared" si="17"/>
        <v>23.100000000000062</v>
      </c>
      <c r="E200" s="14">
        <f t="shared" si="14"/>
        <v>9.8602984560836813</v>
      </c>
      <c r="F200" s="14">
        <f t="shared" si="15"/>
        <v>9.860461939891648</v>
      </c>
      <c r="G200" s="14">
        <f t="shared" si="16"/>
        <v>9.8604619398916391</v>
      </c>
    </row>
    <row r="201" spans="2:7" x14ac:dyDescent="0.2">
      <c r="B201" s="14">
        <f t="shared" si="13"/>
        <v>9.0821734394231264</v>
      </c>
      <c r="C201" s="14">
        <f t="shared" si="12"/>
        <v>5.9178265605768736</v>
      </c>
      <c r="D201" s="8">
        <f t="shared" si="17"/>
        <v>23.200000000000063</v>
      </c>
      <c r="E201" s="14">
        <f t="shared" si="14"/>
        <v>9.9368251876460381</v>
      </c>
      <c r="F201" s="14">
        <f t="shared" si="15"/>
        <v>9.9369883004805821</v>
      </c>
      <c r="G201" s="14">
        <f t="shared" si="16"/>
        <v>9.9369883004805803</v>
      </c>
    </row>
    <row r="202" spans="2:7" x14ac:dyDescent="0.2">
      <c r="B202" s="14">
        <f t="shared" si="13"/>
        <v>9.0921982136804491</v>
      </c>
      <c r="C202" s="14">
        <f t="shared" si="12"/>
        <v>5.9078017863195509</v>
      </c>
      <c r="D202" s="8">
        <f t="shared" si="17"/>
        <v>23.300000000000065</v>
      </c>
      <c r="E202" s="14">
        <f t="shared" si="14"/>
        <v>10.013555061963826</v>
      </c>
      <c r="F202" s="14">
        <f t="shared" si="15"/>
        <v>10.013717805935437</v>
      </c>
      <c r="G202" s="14">
        <f t="shared" si="16"/>
        <v>10.013717805935432</v>
      </c>
    </row>
    <row r="203" spans="2:7" x14ac:dyDescent="0.2">
      <c r="B203" s="14">
        <f t="shared" si="13"/>
        <v>9.1021463659973953</v>
      </c>
      <c r="C203" s="14">
        <f t="shared" si="12"/>
        <v>5.8978536340026047</v>
      </c>
      <c r="D203" s="8">
        <f t="shared" si="17"/>
        <v>23.400000000000066</v>
      </c>
      <c r="E203" s="14">
        <f t="shared" si="14"/>
        <v>10.090487453316822</v>
      </c>
      <c r="F203" s="14">
        <f t="shared" si="15"/>
        <v>10.090649830515197</v>
      </c>
      <c r="G203" s="14">
        <f t="shared" si="16"/>
        <v>10.090649830515197</v>
      </c>
    </row>
    <row r="204" spans="2:7" x14ac:dyDescent="0.2">
      <c r="B204" s="14">
        <f t="shared" si="13"/>
        <v>9.1120188616843532</v>
      </c>
      <c r="C204" s="14">
        <f t="shared" si="12"/>
        <v>5.8879811383156468</v>
      </c>
      <c r="D204" s="8">
        <f t="shared" si="17"/>
        <v>23.500000000000068</v>
      </c>
      <c r="E204" s="14">
        <f t="shared" si="14"/>
        <v>10.167621740283312</v>
      </c>
      <c r="F204" s="14">
        <f t="shared" si="15"/>
        <v>10.167783752777563</v>
      </c>
      <c r="G204" s="14">
        <f t="shared" si="16"/>
        <v>10.167783752777554</v>
      </c>
    </row>
    <row r="205" spans="2:7" x14ac:dyDescent="0.2">
      <c r="B205" s="14">
        <f t="shared" si="13"/>
        <v>9.12181664928573</v>
      </c>
      <c r="C205" s="14">
        <f t="shared" si="12"/>
        <v>5.87818335071427</v>
      </c>
      <c r="D205" s="8">
        <f t="shared" si="17"/>
        <v>23.600000000000069</v>
      </c>
      <c r="E205" s="14">
        <f t="shared" si="14"/>
        <v>10.244957305693234</v>
      </c>
      <c r="F205" s="14">
        <f t="shared" si="15"/>
        <v>10.245118955532856</v>
      </c>
      <c r="G205" s="14">
        <f t="shared" si="16"/>
        <v>10.245118955532851</v>
      </c>
    </row>
    <row r="206" spans="2:7" x14ac:dyDescent="0.2">
      <c r="B206" s="14">
        <f t="shared" si="13"/>
        <v>9.1315406609493301</v>
      </c>
      <c r="C206" s="14">
        <f t="shared" si="12"/>
        <v>5.8684593390506699</v>
      </c>
      <c r="D206" s="8">
        <f t="shared" si="17"/>
        <v>23.70000000000007</v>
      </c>
      <c r="E206" s="14">
        <f t="shared" si="14"/>
        <v>10.322493536577893</v>
      </c>
      <c r="F206" s="14">
        <f t="shared" si="15"/>
        <v>10.322654825798864</v>
      </c>
      <c r="G206" s="14">
        <f t="shared" si="16"/>
        <v>10.32265482579886</v>
      </c>
    </row>
    <row r="207" spans="2:7" x14ac:dyDescent="0.2">
      <c r="B207" s="14">
        <f t="shared" si="13"/>
        <v>9.1411918127858378</v>
      </c>
      <c r="C207" s="14">
        <f t="shared" si="12"/>
        <v>5.8588081872141622</v>
      </c>
      <c r="D207" s="8">
        <f t="shared" si="17"/>
        <v>23.800000000000072</v>
      </c>
      <c r="E207" s="14">
        <f t="shared" si="14"/>
        <v>10.400229824137828</v>
      </c>
      <c r="F207" s="14">
        <f t="shared" si="15"/>
        <v>10.400390754756094</v>
      </c>
      <c r="G207" s="14">
        <f t="shared" si="16"/>
        <v>10.40039075475609</v>
      </c>
    </row>
    <row r="208" spans="2:7" x14ac:dyDescent="0.2">
      <c r="B208" s="14">
        <f t="shared" si="13"/>
        <v>9.1507710052188216</v>
      </c>
      <c r="C208" s="14">
        <f t="shared" si="12"/>
        <v>5.8492289947811784</v>
      </c>
      <c r="D208" s="8">
        <f t="shared" si="17"/>
        <v>23.900000000000073</v>
      </c>
      <c r="E208" s="14">
        <f t="shared" si="14"/>
        <v>10.478165563696125</v>
      </c>
      <c r="F208" s="14">
        <f t="shared" si="15"/>
        <v>10.478326137703828</v>
      </c>
      <c r="G208" s="14">
        <f t="shared" si="16"/>
        <v>10.478326137703815</v>
      </c>
    </row>
    <row r="209" spans="2:7" x14ac:dyDescent="0.2">
      <c r="B209" s="14">
        <f t="shared" si="13"/>
        <v>9.1602791233254752</v>
      </c>
      <c r="C209" s="14">
        <f t="shared" si="12"/>
        <v>5.8397208766745248</v>
      </c>
      <c r="D209" s="8">
        <f t="shared" si="17"/>
        <v>24.000000000000075</v>
      </c>
      <c r="E209" s="14">
        <f t="shared" si="14"/>
        <v>10.556300154642367</v>
      </c>
      <c r="F209" s="14">
        <f t="shared" si="15"/>
        <v>10.55646037401668</v>
      </c>
      <c r="G209" s="14">
        <f t="shared" si="16"/>
        <v>10.556460374016675</v>
      </c>
    </row>
    <row r="210" spans="2:7" x14ac:dyDescent="0.2">
      <c r="B210" s="14">
        <f t="shared" si="13"/>
        <v>9.1697170371684766</v>
      </c>
      <c r="C210" s="14">
        <f t="shared" si="12"/>
        <v>5.8302829628315234</v>
      </c>
      <c r="D210" s="8">
        <f t="shared" si="17"/>
        <v>24.100000000000076</v>
      </c>
      <c r="E210" s="14">
        <f t="shared" si="14"/>
        <v>10.634633000393826</v>
      </c>
      <c r="F210" s="14">
        <f t="shared" si="15"/>
        <v>10.634792867101956</v>
      </c>
      <c r="G210" s="14">
        <f t="shared" si="16"/>
        <v>10.634792867101954</v>
      </c>
    </row>
    <row r="211" spans="2:7" x14ac:dyDescent="0.2">
      <c r="B211" s="14">
        <f t="shared" si="13"/>
        <v>9.1790856021191107</v>
      </c>
      <c r="C211" s="14">
        <f t="shared" ref="C211:C274" si="18">$C$14-B211</f>
        <v>5.8209143978808893</v>
      </c>
      <c r="D211" s="8">
        <f t="shared" si="17"/>
        <v>24.200000000000077</v>
      </c>
      <c r="E211" s="14">
        <f t="shared" si="14"/>
        <v>10.71316350837763</v>
      </c>
      <c r="F211" s="14">
        <f t="shared" si="15"/>
        <v>10.713323024357429</v>
      </c>
      <c r="G211" s="14">
        <f t="shared" si="16"/>
        <v>10.713323024357416</v>
      </c>
    </row>
    <row r="212" spans="2:7" x14ac:dyDescent="0.2">
      <c r="B212" s="14">
        <f t="shared" ref="B212:B275" si="19">$C$14*(LN(D212)-LN($F$14))/(1+LN(D212)-LN($F$14))</f>
        <v>9.188385659172015</v>
      </c>
      <c r="C212" s="14">
        <f t="shared" si="18"/>
        <v>5.811614340827985</v>
      </c>
      <c r="D212" s="8">
        <f t="shared" si="17"/>
        <v>24.300000000000079</v>
      </c>
      <c r="E212" s="14">
        <f t="shared" ref="E212:E275" si="20">(D213-D211)/(B213-B211)</f>
        <v>10.791891089954643</v>
      </c>
      <c r="F212" s="14">
        <f t="shared" ref="F212:F275" si="21">D212*$C$14/(C212*C212)</f>
        <v>10.792050257129763</v>
      </c>
      <c r="G212" s="14">
        <f t="shared" ref="G212:G275" si="22">D212*(1+LN(D212/$F$14))*(1+LN(D212/$F$14))/$C$14</f>
        <v>10.792050257129755</v>
      </c>
    </row>
    <row r="213" spans="2:7" x14ac:dyDescent="0.2">
      <c r="B213" s="14">
        <f t="shared" si="19"/>
        <v>9.1976180352518142</v>
      </c>
      <c r="C213" s="14">
        <f t="shared" si="18"/>
        <v>5.8023819647481858</v>
      </c>
      <c r="D213" s="8">
        <f t="shared" ref="D213:D276" si="23">D212+0.1</f>
        <v>24.40000000000008</v>
      </c>
      <c r="E213" s="14">
        <f t="shared" si="20"/>
        <v>10.870815160388851</v>
      </c>
      <c r="F213" s="14">
        <f t="shared" si="21"/>
        <v>10.870973980673659</v>
      </c>
      <c r="G213" s="14">
        <f t="shared" si="22"/>
        <v>10.870973980673664</v>
      </c>
    </row>
    <row r="214" spans="2:7" x14ac:dyDescent="0.2">
      <c r="B214" s="14">
        <f t="shared" si="19"/>
        <v>9.2067835435117988</v>
      </c>
      <c r="C214" s="14">
        <f t="shared" si="18"/>
        <v>5.7932164564882012</v>
      </c>
      <c r="D214" s="8">
        <f t="shared" si="23"/>
        <v>24.500000000000082</v>
      </c>
      <c r="E214" s="14">
        <f t="shared" si="20"/>
        <v>10.949935138824628</v>
      </c>
      <c r="F214" s="14">
        <f t="shared" si="21"/>
        <v>10.950093614111402</v>
      </c>
      <c r="G214" s="14">
        <f t="shared" si="22"/>
        <v>10.950093614111402</v>
      </c>
    </row>
    <row r="215" spans="2:7" x14ac:dyDescent="0.2">
      <c r="B215" s="14">
        <f t="shared" si="19"/>
        <v>9.2158829836249669</v>
      </c>
      <c r="C215" s="14">
        <f t="shared" si="18"/>
        <v>5.7841170163750331</v>
      </c>
      <c r="D215" s="8">
        <f t="shared" si="23"/>
        <v>24.600000000000083</v>
      </c>
      <c r="E215" s="14">
        <f t="shared" si="20"/>
        <v>11.029250448234279</v>
      </c>
      <c r="F215" s="14">
        <f t="shared" si="21"/>
        <v>11.029408580393019</v>
      </c>
      <c r="G215" s="14">
        <f t="shared" si="22"/>
        <v>11.029408580393007</v>
      </c>
    </row>
    <row r="216" spans="2:7" x14ac:dyDescent="0.2">
      <c r="B216" s="14">
        <f t="shared" si="19"/>
        <v>9.2249171420676301</v>
      </c>
      <c r="C216" s="14">
        <f t="shared" si="18"/>
        <v>5.7750828579323699</v>
      </c>
      <c r="D216" s="8">
        <f t="shared" si="23"/>
        <v>24.700000000000085</v>
      </c>
      <c r="E216" s="14">
        <f t="shared" si="20"/>
        <v>11.108760515367704</v>
      </c>
      <c r="F216" s="14">
        <f t="shared" si="21"/>
        <v>11.108918306257044</v>
      </c>
      <c r="G216" s="14">
        <f t="shared" si="22"/>
        <v>11.108918306257038</v>
      </c>
    </row>
    <row r="217" spans="2:7" x14ac:dyDescent="0.2">
      <c r="B217" s="14">
        <f t="shared" si="19"/>
        <v>9.2338867923958308</v>
      </c>
      <c r="C217" s="14">
        <f t="shared" si="18"/>
        <v>5.7661132076041692</v>
      </c>
      <c r="D217" s="8">
        <f t="shared" si="23"/>
        <v>24.800000000000086</v>
      </c>
      <c r="E217" s="14">
        <f t="shared" si="20"/>
        <v>11.188464770726917</v>
      </c>
      <c r="F217" s="14">
        <f t="shared" si="21"/>
        <v>11.188622222191835</v>
      </c>
      <c r="G217" s="14">
        <f t="shared" si="22"/>
        <v>11.188622222191833</v>
      </c>
    </row>
    <row r="218" spans="2:7" x14ac:dyDescent="0.2">
      <c r="B218" s="14">
        <f t="shared" si="19"/>
        <v>9.2427926955147193</v>
      </c>
      <c r="C218" s="14">
        <f t="shared" si="18"/>
        <v>5.7572073044852807</v>
      </c>
      <c r="D218" s="8">
        <f t="shared" si="23"/>
        <v>24.900000000000087</v>
      </c>
      <c r="E218" s="14">
        <f t="shared" si="20"/>
        <v>11.268362648531451</v>
      </c>
      <c r="F218" s="14">
        <f t="shared" si="21"/>
        <v>11.268519762397338</v>
      </c>
      <c r="G218" s="14">
        <f t="shared" si="22"/>
        <v>11.268519762397339</v>
      </c>
    </row>
    <row r="219" spans="2:7" x14ac:dyDescent="0.2">
      <c r="B219" s="14">
        <f t="shared" si="19"/>
        <v>9.2516355999411815</v>
      </c>
      <c r="C219" s="14">
        <f t="shared" si="18"/>
        <v>5.7483644000588185</v>
      </c>
      <c r="D219" s="8">
        <f t="shared" si="23"/>
        <v>25.000000000000089</v>
      </c>
      <c r="E219" s="14">
        <f t="shared" si="20"/>
        <v>11.348453586668922</v>
      </c>
      <c r="F219" s="14">
        <f t="shared" si="21"/>
        <v>11.348610364747458</v>
      </c>
      <c r="G219" s="14">
        <f t="shared" si="22"/>
        <v>11.348610364747465</v>
      </c>
    </row>
    <row r="220" spans="2:7" x14ac:dyDescent="0.2">
      <c r="B220" s="14">
        <f t="shared" si="19"/>
        <v>9.2604162420598577</v>
      </c>
      <c r="C220" s="14">
        <f t="shared" si="18"/>
        <v>5.7395837579401423</v>
      </c>
      <c r="D220" s="8">
        <f t="shared" si="23"/>
        <v>25.10000000000009</v>
      </c>
      <c r="E220" s="14">
        <f t="shared" si="20"/>
        <v>11.42873702666431</v>
      </c>
      <c r="F220" s="14">
        <f t="shared" si="21"/>
        <v>11.428893470752923</v>
      </c>
      <c r="G220" s="14">
        <f t="shared" si="22"/>
        <v>11.42889347075293</v>
      </c>
    </row>
    <row r="221" spans="2:7" x14ac:dyDescent="0.2">
      <c r="B221" s="14">
        <f t="shared" si="19"/>
        <v>9.2691353463727761</v>
      </c>
      <c r="C221" s="14">
        <f t="shared" si="18"/>
        <v>5.7308646536272239</v>
      </c>
      <c r="D221" s="8">
        <f t="shared" si="23"/>
        <v>25.200000000000092</v>
      </c>
      <c r="E221" s="14">
        <f t="shared" si="20"/>
        <v>11.509212413652788</v>
      </c>
      <c r="F221" s="14">
        <f t="shared" si="21"/>
        <v>11.50936852552466</v>
      </c>
      <c r="G221" s="14">
        <f t="shared" si="22"/>
        <v>11.509368525524646</v>
      </c>
    </row>
    <row r="222" spans="2:7" x14ac:dyDescent="0.2">
      <c r="B222" s="14">
        <f t="shared" si="19"/>
        <v>9.2777936257427545</v>
      </c>
      <c r="C222" s="14">
        <f t="shared" si="18"/>
        <v>5.7222063742572455</v>
      </c>
      <c r="D222" s="8">
        <f t="shared" si="23"/>
        <v>25.300000000000093</v>
      </c>
      <c r="E222" s="14">
        <f t="shared" si="20"/>
        <v>11.589879196320382</v>
      </c>
      <c r="F222" s="14">
        <f t="shared" si="21"/>
        <v>11.590034977737597</v>
      </c>
      <c r="G222" s="14">
        <f t="shared" si="22"/>
        <v>11.590034977737592</v>
      </c>
    </row>
    <row r="223" spans="2:7" x14ac:dyDescent="0.2">
      <c r="B223" s="14">
        <f t="shared" si="19"/>
        <v>9.286391781630833</v>
      </c>
      <c r="C223" s="14">
        <f t="shared" si="18"/>
        <v>5.713608218369167</v>
      </c>
      <c r="D223" s="8">
        <f t="shared" si="23"/>
        <v>25.400000000000095</v>
      </c>
      <c r="E223" s="14">
        <f t="shared" si="20"/>
        <v>11.670736826875832</v>
      </c>
      <c r="F223" s="14">
        <f t="shared" si="21"/>
        <v>11.670892279595174</v>
      </c>
      <c r="G223" s="14">
        <f t="shared" si="22"/>
        <v>11.670892279595177</v>
      </c>
    </row>
    <row r="224" spans="2:7" x14ac:dyDescent="0.2">
      <c r="B224" s="14">
        <f t="shared" si="19"/>
        <v>9.2949305043277839</v>
      </c>
      <c r="C224" s="14">
        <f t="shared" si="18"/>
        <v>5.7050694956722161</v>
      </c>
      <c r="D224" s="8">
        <f t="shared" si="23"/>
        <v>25.500000000000096</v>
      </c>
      <c r="E224" s="14">
        <f t="shared" si="20"/>
        <v>11.751784761041277</v>
      </c>
      <c r="F224" s="14">
        <f t="shared" si="21"/>
        <v>11.75193988679408</v>
      </c>
      <c r="G224" s="14">
        <f t="shared" si="22"/>
        <v>11.751939886794075</v>
      </c>
    </row>
    <row r="225" spans="2:7" x14ac:dyDescent="0.2">
      <c r="B225" s="14">
        <f t="shared" si="19"/>
        <v>9.3034104731799694</v>
      </c>
      <c r="C225" s="14">
        <f t="shared" si="18"/>
        <v>5.6965895268200306</v>
      </c>
      <c r="D225" s="8">
        <f t="shared" si="23"/>
        <v>25.600000000000097</v>
      </c>
      <c r="E225" s="14">
        <f t="shared" si="20"/>
        <v>11.833022457988365</v>
      </c>
      <c r="F225" s="14">
        <f t="shared" si="21"/>
        <v>11.83317725848957</v>
      </c>
      <c r="G225" s="14">
        <f t="shared" si="22"/>
        <v>11.833177258489561</v>
      </c>
    </row>
    <row r="226" spans="2:7" x14ac:dyDescent="0.2">
      <c r="B226" s="14">
        <f t="shared" si="19"/>
        <v>9.3118323568096901</v>
      </c>
      <c r="C226" s="14">
        <f t="shared" si="18"/>
        <v>5.6881676431903099</v>
      </c>
      <c r="D226" s="8">
        <f t="shared" si="23"/>
        <v>25.700000000000099</v>
      </c>
      <c r="E226" s="14">
        <f t="shared" si="20"/>
        <v>11.914449380304925</v>
      </c>
      <c r="F226" s="14">
        <f t="shared" si="21"/>
        <v>11.914603857261296</v>
      </c>
      <c r="G226" s="14">
        <f t="shared" si="22"/>
        <v>11.914603857261291</v>
      </c>
    </row>
    <row r="227" spans="2:7" x14ac:dyDescent="0.2">
      <c r="B227" s="14">
        <f t="shared" si="19"/>
        <v>9.320196813330158</v>
      </c>
      <c r="C227" s="14">
        <f t="shared" si="18"/>
        <v>5.679803186669842</v>
      </c>
      <c r="D227" s="8">
        <f t="shared" si="23"/>
        <v>25.8000000000001</v>
      </c>
      <c r="E227" s="14">
        <f t="shared" si="20"/>
        <v>11.996064993978683</v>
      </c>
      <c r="F227" s="14">
        <f t="shared" si="21"/>
        <v>11.996219149079575</v>
      </c>
      <c r="G227" s="14">
        <f t="shared" si="22"/>
        <v>11.996219149079566</v>
      </c>
    </row>
    <row r="228" spans="2:7" x14ac:dyDescent="0.2">
      <c r="B228" s="14">
        <f t="shared" si="19"/>
        <v>9.3285044905552468</v>
      </c>
      <c r="C228" s="14">
        <f t="shared" si="18"/>
        <v>5.6714955094447532</v>
      </c>
      <c r="D228" s="8">
        <f t="shared" si="23"/>
        <v>25.900000000000102</v>
      </c>
      <c r="E228" s="14">
        <f t="shared" si="20"/>
        <v>12.077868768350784</v>
      </c>
      <c r="F228" s="14">
        <f t="shared" si="21"/>
        <v>12.078022603272009</v>
      </c>
      <c r="G228" s="14">
        <f t="shared" si="22"/>
        <v>12.078022603272002</v>
      </c>
    </row>
    <row r="229" spans="2:7" x14ac:dyDescent="0.2">
      <c r="B229" s="14">
        <f t="shared" si="19"/>
        <v>9.3367560262042115</v>
      </c>
      <c r="C229" s="14">
        <f t="shared" si="18"/>
        <v>5.6632439737957885</v>
      </c>
      <c r="D229" s="8">
        <f t="shared" si="23"/>
        <v>26.000000000000103</v>
      </c>
      <c r="E229" s="14">
        <f t="shared" si="20"/>
        <v>12.159860176083987</v>
      </c>
      <c r="F229" s="14">
        <f t="shared" si="21"/>
        <v>12.160013692490715</v>
      </c>
      <c r="G229" s="14">
        <f t="shared" si="22"/>
        <v>12.160013692490709</v>
      </c>
    </row>
    <row r="230" spans="2:7" x14ac:dyDescent="0.2">
      <c r="B230" s="14">
        <f t="shared" si="19"/>
        <v>9.3449520481014563</v>
      </c>
      <c r="C230" s="14">
        <f t="shared" si="18"/>
        <v>5.6550479518985437</v>
      </c>
      <c r="D230" s="8">
        <f t="shared" si="23"/>
        <v>26.100000000000104</v>
      </c>
      <c r="E230" s="14">
        <f t="shared" si="20"/>
        <v>12.242038693145235</v>
      </c>
      <c r="F230" s="14">
        <f t="shared" si="21"/>
        <v>12.242191892679845</v>
      </c>
      <c r="G230" s="14">
        <f t="shared" si="22"/>
        <v>12.242191892679831</v>
      </c>
    </row>
    <row r="231" spans="2:7" x14ac:dyDescent="0.2">
      <c r="B231" s="14">
        <f t="shared" si="19"/>
        <v>9.3530931743715335</v>
      </c>
      <c r="C231" s="14">
        <f t="shared" si="18"/>
        <v>5.6469068256284665</v>
      </c>
      <c r="D231" s="8">
        <f t="shared" si="23"/>
        <v>26.200000000000106</v>
      </c>
      <c r="E231" s="14">
        <f t="shared" si="20"/>
        <v>12.32440379874576</v>
      </c>
      <c r="F231" s="14">
        <f t="shared" si="21"/>
        <v>12.324556683043578</v>
      </c>
      <c r="G231" s="14">
        <f t="shared" si="22"/>
        <v>12.324556683043571</v>
      </c>
    </row>
    <row r="232" spans="2:7" x14ac:dyDescent="0.2">
      <c r="B232" s="14">
        <f t="shared" si="19"/>
        <v>9.3611800136295216</v>
      </c>
      <c r="C232" s="14">
        <f t="shared" si="18"/>
        <v>5.6388199863704784</v>
      </c>
      <c r="D232" s="8">
        <f t="shared" si="23"/>
        <v>26.300000000000107</v>
      </c>
      <c r="E232" s="14">
        <f t="shared" si="20"/>
        <v>12.406954975331754</v>
      </c>
      <c r="F232" s="14">
        <f t="shared" si="21"/>
        <v>12.407107546014648</v>
      </c>
      <c r="G232" s="14">
        <f t="shared" si="22"/>
        <v>12.40710754601464</v>
      </c>
    </row>
    <row r="233" spans="2:7" x14ac:dyDescent="0.2">
      <c r="B233" s="14">
        <f t="shared" si="19"/>
        <v>9.3692131651668298</v>
      </c>
      <c r="C233" s="14">
        <f t="shared" si="18"/>
        <v>5.6307868348331702</v>
      </c>
      <c r="D233" s="8">
        <f t="shared" si="23"/>
        <v>26.400000000000109</v>
      </c>
      <c r="E233" s="14">
        <f t="shared" si="20"/>
        <v>12.489691708551838</v>
      </c>
      <c r="F233" s="14">
        <f t="shared" si="21"/>
        <v>12.489843967223061</v>
      </c>
      <c r="G233" s="14">
        <f t="shared" si="22"/>
        <v>12.489843967223054</v>
      </c>
    </row>
    <row r="234" spans="2:7" x14ac:dyDescent="0.2">
      <c r="B234" s="14">
        <f t="shared" si="19"/>
        <v>9.3771932191326695</v>
      </c>
      <c r="C234" s="14">
        <f t="shared" si="18"/>
        <v>5.6228067808673305</v>
      </c>
      <c r="D234" s="8">
        <f t="shared" si="23"/>
        <v>26.50000000000011</v>
      </c>
      <c r="E234" s="14">
        <f t="shared" si="20"/>
        <v>12.572613487208026</v>
      </c>
      <c r="F234" s="14">
        <f t="shared" si="21"/>
        <v>12.572765435465429</v>
      </c>
      <c r="G234" s="14">
        <f t="shared" si="22"/>
        <v>12.572765435465431</v>
      </c>
    </row>
    <row r="235" spans="2:7" x14ac:dyDescent="0.2">
      <c r="B235" s="14">
        <f t="shared" si="19"/>
        <v>9.3851207567112205</v>
      </c>
      <c r="C235" s="14">
        <f t="shared" si="18"/>
        <v>5.6148792432887795</v>
      </c>
      <c r="D235" s="8">
        <f t="shared" si="23"/>
        <v>26.600000000000112</v>
      </c>
      <c r="E235" s="14">
        <f t="shared" si="20"/>
        <v>12.655719803252033</v>
      </c>
      <c r="F235" s="14">
        <f t="shared" si="21"/>
        <v>12.655871442674616</v>
      </c>
      <c r="G235" s="14">
        <f t="shared" si="22"/>
        <v>12.655871442674615</v>
      </c>
    </row>
    <row r="236" spans="2:7" x14ac:dyDescent="0.2">
      <c r="B236" s="14">
        <f t="shared" si="19"/>
        <v>9.392996350294645</v>
      </c>
      <c r="C236" s="14">
        <f t="shared" si="18"/>
        <v>5.607003649705355</v>
      </c>
      <c r="D236" s="8">
        <f t="shared" si="23"/>
        <v>26.700000000000113</v>
      </c>
      <c r="E236" s="14">
        <f>(D237-D235)/(B237-B235)</f>
        <v>12.739010151737142</v>
      </c>
      <c r="F236" s="14">
        <f t="shared" si="21"/>
        <v>12.739161483889726</v>
      </c>
      <c r="G236" s="14">
        <f t="shared" si="22"/>
        <v>12.739161483889724</v>
      </c>
    </row>
    <row r="237" spans="2:7" x14ac:dyDescent="0.2">
      <c r="B237" s="14">
        <f t="shared" si="19"/>
        <v>9.4008205636520863</v>
      </c>
      <c r="C237" s="14">
        <f t="shared" si="18"/>
        <v>5.5991794363479137</v>
      </c>
      <c r="D237" s="8">
        <f t="shared" si="23"/>
        <v>26.800000000000114</v>
      </c>
      <c r="E237" s="14">
        <f t="shared" si="20"/>
        <v>12.822484030785432</v>
      </c>
      <c r="F237" s="14">
        <f t="shared" si="21"/>
        <v>12.822635057226604</v>
      </c>
      <c r="G237" s="14">
        <f t="shared" si="22"/>
        <v>12.822635057226604</v>
      </c>
    </row>
    <row r="238" spans="2:7" x14ac:dyDescent="0.2">
      <c r="B238" s="14">
        <f t="shared" si="19"/>
        <v>9.4085939520947193</v>
      </c>
      <c r="C238" s="14">
        <f t="shared" si="18"/>
        <v>5.5914060479052807</v>
      </c>
      <c r="D238" s="8">
        <f t="shared" si="23"/>
        <v>26.900000000000116</v>
      </c>
      <c r="E238" s="14">
        <f t="shared" si="20"/>
        <v>12.906140941579316</v>
      </c>
      <c r="F238" s="14">
        <f t="shared" si="21"/>
        <v>12.90629166384864</v>
      </c>
      <c r="G238" s="14">
        <f t="shared" si="22"/>
        <v>12.906291663848629</v>
      </c>
    </row>
    <row r="239" spans="2:7" x14ac:dyDescent="0.2">
      <c r="B239" s="14">
        <f t="shared" si="19"/>
        <v>9.4163170626369741</v>
      </c>
      <c r="C239" s="14">
        <f t="shared" si="18"/>
        <v>5.5836829373630259</v>
      </c>
      <c r="D239" s="8">
        <f t="shared" si="23"/>
        <v>27.000000000000117</v>
      </c>
      <c r="E239" s="14">
        <f t="shared" si="20"/>
        <v>12.989980388313892</v>
      </c>
      <c r="F239" s="14">
        <f t="shared" si="21"/>
        <v>12.990130807937899</v>
      </c>
      <c r="G239" s="14">
        <f t="shared" si="22"/>
        <v>12.990130807937895</v>
      </c>
    </row>
    <row r="240" spans="2:7" x14ac:dyDescent="0.2">
      <c r="B240" s="14">
        <f t="shared" si="19"/>
        <v>9.4239904341540708</v>
      </c>
      <c r="C240" s="14">
        <f t="shared" si="18"/>
        <v>5.5760095658459292</v>
      </c>
      <c r="D240" s="8">
        <f t="shared" si="23"/>
        <v>27.100000000000119</v>
      </c>
      <c r="E240" s="14">
        <f t="shared" si="20"/>
        <v>13.074001878166111</v>
      </c>
      <c r="F240" s="14">
        <f t="shared" si="21"/>
        <v>13.074151996666771</v>
      </c>
      <c r="G240" s="14">
        <f t="shared" si="22"/>
        <v>13.074151996666769</v>
      </c>
    </row>
    <row r="241" spans="2:7" x14ac:dyDescent="0.2">
      <c r="B241" s="14">
        <f t="shared" si="19"/>
        <v>9.4316145975359102</v>
      </c>
      <c r="C241" s="14">
        <f t="shared" si="18"/>
        <v>5.5683854024640898</v>
      </c>
      <c r="D241" s="8">
        <f t="shared" si="23"/>
        <v>27.20000000000012</v>
      </c>
      <c r="E241" s="14">
        <f t="shared" si="20"/>
        <v>13.158204921292224</v>
      </c>
      <c r="F241" s="14">
        <f t="shared" si="21"/>
        <v>13.158354740169866</v>
      </c>
      <c r="G241" s="14">
        <f t="shared" si="22"/>
        <v>13.158354740169852</v>
      </c>
    </row>
    <row r="242" spans="2:7" x14ac:dyDescent="0.2">
      <c r="B242" s="14">
        <f t="shared" si="19"/>
        <v>9.4391900758374412</v>
      </c>
      <c r="C242" s="14">
        <f t="shared" si="18"/>
        <v>5.5608099241625588</v>
      </c>
      <c r="D242" s="8">
        <f t="shared" si="23"/>
        <v>27.300000000000122</v>
      </c>
      <c r="E242" s="14">
        <f t="shared" si="20"/>
        <v>13.242589030769718</v>
      </c>
      <c r="F242" s="14">
        <f t="shared" si="21"/>
        <v>13.242738551516215</v>
      </c>
      <c r="G242" s="14">
        <f t="shared" si="22"/>
        <v>13.242738551516208</v>
      </c>
    </row>
    <row r="243" spans="2:7" x14ac:dyDescent="0.2">
      <c r="B243" s="14">
        <f t="shared" si="19"/>
        <v>9.4467173844256411</v>
      </c>
      <c r="C243" s="14">
        <f t="shared" si="18"/>
        <v>5.5532826155743589</v>
      </c>
      <c r="D243" s="8">
        <f t="shared" si="23"/>
        <v>27.400000000000123</v>
      </c>
      <c r="E243" s="14">
        <f t="shared" si="20"/>
        <v>13.327153722583782</v>
      </c>
      <c r="F243" s="14">
        <f t="shared" si="21"/>
        <v>13.327302946682059</v>
      </c>
      <c r="G243" s="14">
        <f t="shared" si="22"/>
        <v>13.327302946682048</v>
      </c>
    </row>
    <row r="244" spans="2:7" x14ac:dyDescent="0.2">
      <c r="B244" s="14">
        <f t="shared" si="19"/>
        <v>9.4541970311231065</v>
      </c>
      <c r="C244" s="14">
        <f t="shared" si="18"/>
        <v>5.5458029688768935</v>
      </c>
      <c r="D244" s="8">
        <f t="shared" si="23"/>
        <v>27.500000000000124</v>
      </c>
      <c r="E244" s="14">
        <f t="shared" si="20"/>
        <v>13.41189851560617</v>
      </c>
      <c r="F244" s="14">
        <f t="shared" si="21"/>
        <v>13.412047444523678</v>
      </c>
      <c r="G244" s="14">
        <f t="shared" si="22"/>
        <v>13.412047444523672</v>
      </c>
    </row>
    <row r="245" spans="2:7" x14ac:dyDescent="0.2">
      <c r="B245" s="14">
        <f t="shared" si="19"/>
        <v>9.461629516348447</v>
      </c>
      <c r="C245" s="14">
        <f t="shared" si="18"/>
        <v>5.538370483651553</v>
      </c>
      <c r="D245" s="8">
        <f t="shared" si="23"/>
        <v>27.600000000000126</v>
      </c>
      <c r="E245" s="14">
        <f t="shared" si="20"/>
        <v>13.496822931559052</v>
      </c>
      <c r="F245" s="14">
        <f t="shared" si="21"/>
        <v>13.496971566750821</v>
      </c>
      <c r="G245" s="14">
        <f t="shared" si="22"/>
        <v>13.496971566750808</v>
      </c>
    </row>
    <row r="246" spans="2:7" x14ac:dyDescent="0.2">
      <c r="B246" s="14">
        <f t="shared" si="19"/>
        <v>9.4690153332534805</v>
      </c>
      <c r="C246" s="14">
        <f t="shared" si="18"/>
        <v>5.5309846667465195</v>
      </c>
      <c r="D246" s="8">
        <f t="shared" si="23"/>
        <v>27.700000000000127</v>
      </c>
      <c r="E246" s="14">
        <f t="shared" si="20"/>
        <v>13.581926494985456</v>
      </c>
      <c r="F246" s="14">
        <f t="shared" si="21"/>
        <v>13.582074837900269</v>
      </c>
      <c r="G246" s="14">
        <f t="shared" si="22"/>
        <v>13.582074837900269</v>
      </c>
    </row>
    <row r="247" spans="2:7" x14ac:dyDescent="0.2">
      <c r="B247" s="14">
        <f t="shared" si="19"/>
        <v>9.4763549678573948</v>
      </c>
      <c r="C247" s="14">
        <f t="shared" si="18"/>
        <v>5.5236450321426052</v>
      </c>
      <c r="D247" s="8">
        <f t="shared" si="23"/>
        <v>27.800000000000129</v>
      </c>
      <c r="E247" s="14">
        <f t="shared" si="20"/>
        <v>13.667208733240328</v>
      </c>
      <c r="F247" s="14">
        <f t="shared" si="21"/>
        <v>13.66735678530994</v>
      </c>
      <c r="G247" s="14">
        <f t="shared" si="22"/>
        <v>13.667356785309925</v>
      </c>
    </row>
    <row r="248" spans="2:7" x14ac:dyDescent="0.2">
      <c r="B248" s="14">
        <f t="shared" si="19"/>
        <v>9.4836488991778509</v>
      </c>
      <c r="C248" s="14">
        <f t="shared" si="18"/>
        <v>5.5163511008221491</v>
      </c>
      <c r="D248" s="8">
        <f t="shared" si="23"/>
        <v>27.90000000000013</v>
      </c>
      <c r="E248" s="14">
        <f t="shared" si="20"/>
        <v>13.752669176452322</v>
      </c>
      <c r="F248" s="14">
        <f t="shared" si="21"/>
        <v>13.75281693909303</v>
      </c>
      <c r="G248" s="14">
        <f t="shared" si="22"/>
        <v>13.752816939093021</v>
      </c>
    </row>
    <row r="249" spans="2:7" x14ac:dyDescent="0.2">
      <c r="B249" s="14">
        <f t="shared" si="19"/>
        <v>9.4908975993592453</v>
      </c>
      <c r="C249" s="14">
        <f t="shared" si="18"/>
        <v>5.5091024006407547</v>
      </c>
      <c r="D249" s="8">
        <f t="shared" si="23"/>
        <v>28.000000000000131</v>
      </c>
      <c r="E249" s="14">
        <f t="shared" si="20"/>
        <v>13.838307357483076</v>
      </c>
      <c r="F249" s="14">
        <f t="shared" si="21"/>
        <v>13.83845483211282</v>
      </c>
      <c r="G249" s="14">
        <f t="shared" si="22"/>
        <v>13.83845483211282</v>
      </c>
    </row>
    <row r="250" spans="2:7" x14ac:dyDescent="0.2">
      <c r="B250" s="14">
        <f t="shared" si="19"/>
        <v>9.4981015337980708</v>
      </c>
      <c r="C250" s="14">
        <f t="shared" si="18"/>
        <v>5.5018984662019292</v>
      </c>
      <c r="D250" s="8">
        <f t="shared" si="23"/>
        <v>28.100000000000133</v>
      </c>
      <c r="E250" s="14">
        <f t="shared" si="20"/>
        <v>13.924122811936153</v>
      </c>
      <c r="F250" s="14">
        <f t="shared" si="21"/>
        <v>13.924269999957527</v>
      </c>
      <c r="G250" s="14">
        <f t="shared" si="22"/>
        <v>13.924269999957522</v>
      </c>
    </row>
    <row r="251" spans="2:7" x14ac:dyDescent="0.2">
      <c r="B251" s="14">
        <f t="shared" si="19"/>
        <v>9.5052611612655333</v>
      </c>
      <c r="C251" s="14">
        <f t="shared" si="18"/>
        <v>5.4947388387344667</v>
      </c>
      <c r="D251" s="8">
        <f t="shared" si="23"/>
        <v>28.200000000000134</v>
      </c>
      <c r="E251" s="14">
        <f t="shared" si="20"/>
        <v>14.010115078119693</v>
      </c>
      <c r="F251" s="14">
        <f t="shared" si="21"/>
        <v>14.010261980915564</v>
      </c>
      <c r="G251" s="14">
        <f t="shared" si="22"/>
        <v>14.010261980915546</v>
      </c>
    </row>
    <row r="252" spans="2:7" x14ac:dyDescent="0.2">
      <c r="B252" s="14">
        <f t="shared" si="19"/>
        <v>9.5123769340274631</v>
      </c>
      <c r="C252" s="14">
        <f t="shared" si="18"/>
        <v>5.4876230659725369</v>
      </c>
      <c r="D252" s="8">
        <f t="shared" si="23"/>
        <v>28.300000000000136</v>
      </c>
      <c r="E252" s="14">
        <f t="shared" si="20"/>
        <v>14.096283697009078</v>
      </c>
      <c r="F252" s="14">
        <f t="shared" si="21"/>
        <v>14.096430315951071</v>
      </c>
      <c r="G252" s="14">
        <f t="shared" si="22"/>
        <v>14.096430315951061</v>
      </c>
    </row>
    <row r="253" spans="2:7" x14ac:dyDescent="0.2">
      <c r="B253" s="14">
        <f t="shared" si="19"/>
        <v>9.5194492979616214</v>
      </c>
      <c r="C253" s="14">
        <f t="shared" si="18"/>
        <v>5.4805507020383786</v>
      </c>
      <c r="D253" s="8">
        <f t="shared" si="23"/>
        <v>28.400000000000137</v>
      </c>
      <c r="E253" s="14">
        <f t="shared" si="20"/>
        <v>14.182628212212546</v>
      </c>
      <c r="F253" s="14">
        <f t="shared" si="21"/>
        <v>14.182774548679848</v>
      </c>
      <c r="G253" s="14">
        <f t="shared" si="22"/>
        <v>14.182774548679856</v>
      </c>
    </row>
    <row r="254" spans="2:7" x14ac:dyDescent="0.2">
      <c r="B254" s="14">
        <f t="shared" si="19"/>
        <v>9.5264786926724359</v>
      </c>
      <c r="C254" s="14">
        <f t="shared" si="18"/>
        <v>5.4735213073275641</v>
      </c>
      <c r="D254" s="8">
        <f t="shared" si="23"/>
        <v>28.500000000000139</v>
      </c>
      <c r="E254" s="14">
        <f t="shared" si="20"/>
        <v>14.269148169999255</v>
      </c>
      <c r="F254" s="14">
        <f t="shared" si="21"/>
        <v>14.269294225345531</v>
      </c>
      <c r="G254" s="14">
        <f t="shared" si="22"/>
        <v>14.269294225345515</v>
      </c>
    </row>
    <row r="255" spans="2:7" x14ac:dyDescent="0.2">
      <c r="B255" s="14">
        <f t="shared" si="19"/>
        <v>9.5334655516032019</v>
      </c>
      <c r="C255" s="14">
        <f t="shared" si="18"/>
        <v>5.4665344483967981</v>
      </c>
      <c r="D255" s="8">
        <f t="shared" si="23"/>
        <v>28.60000000000014</v>
      </c>
      <c r="E255" s="14">
        <f t="shared" si="20"/>
        <v>14.355843119231874</v>
      </c>
      <c r="F255" s="14">
        <f t="shared" si="21"/>
        <v>14.355988894795839</v>
      </c>
      <c r="G255" s="14">
        <f t="shared" si="22"/>
        <v>14.355988894795837</v>
      </c>
    </row>
    <row r="256" spans="2:7" x14ac:dyDescent="0.2">
      <c r="B256" s="14">
        <f t="shared" si="19"/>
        <v>9.5404103021459381</v>
      </c>
      <c r="C256" s="14">
        <f t="shared" si="18"/>
        <v>5.4595896978540619</v>
      </c>
      <c r="D256" s="8">
        <f t="shared" si="23"/>
        <v>28.700000000000141</v>
      </c>
      <c r="E256" s="14">
        <f t="shared" si="20"/>
        <v>14.442712611334047</v>
      </c>
      <c r="F256" s="14">
        <f t="shared" si="21"/>
        <v>14.442858108459564</v>
      </c>
      <c r="G256" s="14">
        <f t="shared" si="22"/>
        <v>14.442858108459575</v>
      </c>
    </row>
    <row r="257" spans="2:7" x14ac:dyDescent="0.2">
      <c r="B257" s="14">
        <f t="shared" si="19"/>
        <v>9.5473133657487974</v>
      </c>
      <c r="C257" s="14">
        <f t="shared" si="18"/>
        <v>5.4526866342512026</v>
      </c>
      <c r="D257" s="8">
        <f t="shared" si="23"/>
        <v>28.800000000000143</v>
      </c>
      <c r="E257" s="14">
        <f t="shared" si="20"/>
        <v>14.529756200308903</v>
      </c>
      <c r="F257" s="14">
        <f t="shared" si="21"/>
        <v>14.529901420323434</v>
      </c>
      <c r="G257" s="14">
        <f t="shared" si="22"/>
        <v>14.529901420323442</v>
      </c>
    </row>
    <row r="258" spans="2:7" x14ac:dyDescent="0.2">
      <c r="B258" s="14">
        <f t="shared" si="19"/>
        <v>9.554175158021204</v>
      </c>
      <c r="C258" s="14">
        <f t="shared" si="18"/>
        <v>5.445824841978796</v>
      </c>
      <c r="D258" s="8">
        <f t="shared" si="23"/>
        <v>28.900000000000144</v>
      </c>
      <c r="E258" s="14">
        <f t="shared" si="20"/>
        <v>14.616973442697173</v>
      </c>
      <c r="F258" s="14">
        <f t="shared" si="21"/>
        <v>14.617118386909437</v>
      </c>
      <c r="G258" s="14">
        <f t="shared" si="22"/>
        <v>14.617118386909427</v>
      </c>
    </row>
    <row r="259" spans="2:7" x14ac:dyDescent="0.2">
      <c r="B259" s="14">
        <f t="shared" si="19"/>
        <v>9.560996088836724</v>
      </c>
      <c r="C259" s="14">
        <f t="shared" si="18"/>
        <v>5.439003911163276</v>
      </c>
      <c r="D259" s="8">
        <f t="shared" si="23"/>
        <v>29.000000000000146</v>
      </c>
      <c r="E259" s="14">
        <f t="shared" si="20"/>
        <v>14.704363897542796</v>
      </c>
      <c r="F259" s="14">
        <f t="shared" si="21"/>
        <v>14.704508567252345</v>
      </c>
      <c r="G259" s="14">
        <f t="shared" si="22"/>
        <v>14.704508567252335</v>
      </c>
    </row>
    <row r="260" spans="2:7" x14ac:dyDescent="0.2">
      <c r="B260" s="14">
        <f t="shared" si="19"/>
        <v>9.5677765624337692</v>
      </c>
      <c r="C260" s="14">
        <f t="shared" si="18"/>
        <v>5.4322234375662308</v>
      </c>
      <c r="D260" s="8">
        <f t="shared" si="23"/>
        <v>29.100000000000147</v>
      </c>
      <c r="E260" s="14">
        <f t="shared" si="20"/>
        <v>14.791927126366955</v>
      </c>
      <c r="F260" s="14">
        <f t="shared" si="21"/>
        <v>14.79207152287764</v>
      </c>
      <c r="G260" s="14">
        <f t="shared" si="22"/>
        <v>14.792071522877645</v>
      </c>
    </row>
    <row r="261" spans="2:7" x14ac:dyDescent="0.2">
      <c r="B261" s="14">
        <f t="shared" si="19"/>
        <v>9.5745169775141363</v>
      </c>
      <c r="C261" s="14">
        <f t="shared" si="18"/>
        <v>5.4254830224858637</v>
      </c>
      <c r="D261" s="8">
        <f t="shared" si="23"/>
        <v>29.200000000000149</v>
      </c>
      <c r="E261" s="14">
        <f t="shared" si="20"/>
        <v>14.879662693185113</v>
      </c>
      <c r="F261" s="14">
        <f t="shared" si="21"/>
        <v>14.879806817779583</v>
      </c>
      <c r="G261" s="14">
        <f t="shared" si="22"/>
        <v>14.879806817779576</v>
      </c>
    </row>
    <row r="262" spans="2:7" x14ac:dyDescent="0.2">
      <c r="B262" s="14">
        <f t="shared" si="19"/>
        <v>9.5812177273394497</v>
      </c>
      <c r="C262" s="14">
        <f t="shared" si="18"/>
        <v>5.4187822726605503</v>
      </c>
      <c r="D262" s="8">
        <f t="shared" si="23"/>
        <v>29.30000000000015</v>
      </c>
      <c r="E262" s="14">
        <f t="shared" si="20"/>
        <v>14.967570164447764</v>
      </c>
      <c r="F262" s="14">
        <f t="shared" si="21"/>
        <v>14.967714018399485</v>
      </c>
      <c r="G262" s="14">
        <f t="shared" si="22"/>
        <v>14.967714018399496</v>
      </c>
    </row>
    <row r="263" spans="2:7" x14ac:dyDescent="0.2">
      <c r="B263" s="14">
        <f t="shared" si="19"/>
        <v>9.5878791998256148</v>
      </c>
      <c r="C263" s="14">
        <f t="shared" si="18"/>
        <v>5.4121208001743852</v>
      </c>
      <c r="D263" s="8">
        <f t="shared" si="23"/>
        <v>29.400000000000151</v>
      </c>
      <c r="E263" s="14">
        <f t="shared" si="20"/>
        <v>15.055649109021846</v>
      </c>
      <c r="F263" s="14">
        <f t="shared" si="21"/>
        <v>15.055792693604472</v>
      </c>
      <c r="G263" s="14">
        <f t="shared" si="22"/>
        <v>15.055792693604475</v>
      </c>
    </row>
    <row r="264" spans="2:7" x14ac:dyDescent="0.2">
      <c r="B264" s="14">
        <f t="shared" si="19"/>
        <v>9.594501777635239</v>
      </c>
      <c r="C264" s="14">
        <f t="shared" si="18"/>
        <v>5.405498222364761</v>
      </c>
      <c r="D264" s="8">
        <f t="shared" si="23"/>
        <v>29.500000000000153</v>
      </c>
      <c r="E264" s="14">
        <f t="shared" si="20"/>
        <v>15.14389909820687</v>
      </c>
      <c r="F264" s="14">
        <f t="shared" si="21"/>
        <v>15.144042414666252</v>
      </c>
      <c r="G264" s="14">
        <f t="shared" si="22"/>
        <v>15.144042414666247</v>
      </c>
    </row>
    <row r="265" spans="2:7" x14ac:dyDescent="0.2">
      <c r="B265" s="14">
        <f t="shared" si="19"/>
        <v>9.6010858382681334</v>
      </c>
      <c r="C265" s="14">
        <f t="shared" si="18"/>
        <v>5.3989141617318666</v>
      </c>
      <c r="D265" s="8">
        <f t="shared" si="23"/>
        <v>29.600000000000154</v>
      </c>
      <c r="E265" s="14">
        <f t="shared" si="20"/>
        <v>15.232319705653445</v>
      </c>
      <c r="F265" s="14">
        <f t="shared" si="21"/>
        <v>15.232462755240221</v>
      </c>
      <c r="G265" s="14">
        <f t="shared" si="22"/>
        <v>15.232462755240226</v>
      </c>
    </row>
    <row r="266" spans="2:7" x14ac:dyDescent="0.2">
      <c r="B266" s="14">
        <f t="shared" si="19"/>
        <v>9.6076317541499634</v>
      </c>
      <c r="C266" s="14">
        <f t="shared" si="18"/>
        <v>5.3923682458500366</v>
      </c>
      <c r="D266" s="8">
        <f t="shared" si="23"/>
        <v>29.700000000000156</v>
      </c>
      <c r="E266" s="14">
        <f t="shared" si="20"/>
        <v>15.320910507389684</v>
      </c>
      <c r="F266" s="14">
        <f t="shared" si="21"/>
        <v>15.321053291344979</v>
      </c>
      <c r="G266" s="14">
        <f t="shared" si="22"/>
        <v>15.321053291344969</v>
      </c>
    </row>
    <row r="267" spans="2:7" x14ac:dyDescent="0.2">
      <c r="B267" s="14">
        <f t="shared" si="19"/>
        <v>9.6141398927189794</v>
      </c>
      <c r="C267" s="14">
        <f t="shared" si="18"/>
        <v>5.3858601072810206</v>
      </c>
      <c r="D267" s="8">
        <f t="shared" si="23"/>
        <v>29.800000000000157</v>
      </c>
      <c r="E267" s="14">
        <f t="shared" si="20"/>
        <v>15.409671081801084</v>
      </c>
      <c r="F267" s="14">
        <f t="shared" si="21"/>
        <v>15.409813601341734</v>
      </c>
      <c r="G267" s="14">
        <f t="shared" si="22"/>
        <v>15.409813601341723</v>
      </c>
    </row>
    <row r="268" spans="2:7" x14ac:dyDescent="0.2">
      <c r="B268" s="14">
        <f t="shared" si="19"/>
        <v>9.6206106165110299</v>
      </c>
      <c r="C268" s="14">
        <f t="shared" si="18"/>
        <v>5.3793893834889701</v>
      </c>
      <c r="D268" s="8">
        <f t="shared" si="23"/>
        <v>29.900000000000158</v>
      </c>
      <c r="E268" s="14">
        <f t="shared" si="20"/>
        <v>15.49860100956325</v>
      </c>
      <c r="F268" s="14">
        <f t="shared" si="21"/>
        <v>15.498743265914298</v>
      </c>
      <c r="G268" s="14">
        <f t="shared" si="22"/>
        <v>15.498743265914305</v>
      </c>
    </row>
    <row r="269" spans="2:7" x14ac:dyDescent="0.2">
      <c r="B269" s="14">
        <f t="shared" si="19"/>
        <v>9.6270442832427818</v>
      </c>
      <c r="C269" s="14">
        <f t="shared" si="18"/>
        <v>5.3729557167572182</v>
      </c>
      <c r="D269" s="8">
        <f t="shared" si="23"/>
        <v>30.00000000000016</v>
      </c>
      <c r="E269" s="14">
        <f t="shared" si="20"/>
        <v>15.587699873673857</v>
      </c>
      <c r="F269" s="14">
        <f t="shared" si="21"/>
        <v>15.587841868049157</v>
      </c>
      <c r="G269" s="14">
        <f t="shared" si="22"/>
        <v>15.587841868049166</v>
      </c>
    </row>
    <row r="270" spans="2:7" x14ac:dyDescent="0.2">
      <c r="B270" s="14">
        <f t="shared" si="19"/>
        <v>9.6334412458932253</v>
      </c>
      <c r="C270" s="14">
        <f t="shared" si="18"/>
        <v>5.3665587541067747</v>
      </c>
      <c r="D270" s="8">
        <f t="shared" si="23"/>
        <v>30.100000000000161</v>
      </c>
      <c r="E270" s="14">
        <f t="shared" si="20"/>
        <v>15.676967259414447</v>
      </c>
      <c r="F270" s="14">
        <f t="shared" si="21"/>
        <v>15.677108993015722</v>
      </c>
      <c r="G270" s="14">
        <f t="shared" si="22"/>
        <v>15.677108993015729</v>
      </c>
    </row>
    <row r="271" spans="2:7" x14ac:dyDescent="0.2">
      <c r="B271" s="14">
        <f t="shared" si="19"/>
        <v>9.6398018527835294</v>
      </c>
      <c r="C271" s="14">
        <f t="shared" si="18"/>
        <v>5.3601981472164706</v>
      </c>
      <c r="D271" s="8">
        <f t="shared" si="23"/>
        <v>30.200000000000163</v>
      </c>
      <c r="E271" s="14">
        <f t="shared" si="20"/>
        <v>15.766402754332669</v>
      </c>
      <c r="F271" s="14">
        <f t="shared" si="21"/>
        <v>15.766544228346921</v>
      </c>
      <c r="G271" s="14">
        <f t="shared" si="22"/>
        <v>15.766544228346911</v>
      </c>
    </row>
    <row r="272" spans="2:7" x14ac:dyDescent="0.2">
      <c r="B272" s="14">
        <f t="shared" si="19"/>
        <v>9.6461264476552468</v>
      </c>
      <c r="C272" s="14">
        <f t="shared" si="18"/>
        <v>5.3538735523447532</v>
      </c>
      <c r="D272" s="8">
        <f t="shared" si="23"/>
        <v>30.300000000000164</v>
      </c>
      <c r="E272" s="14">
        <f t="shared" si="20"/>
        <v>15.85600594821484</v>
      </c>
      <c r="F272" s="14">
        <f t="shared" si="21"/>
        <v>15.856147163819914</v>
      </c>
      <c r="G272" s="14">
        <f t="shared" si="22"/>
        <v>15.856147163819905</v>
      </c>
    </row>
    <row r="273" spans="2:7" x14ac:dyDescent="0.2">
      <c r="B273" s="14">
        <f t="shared" si="19"/>
        <v>9.6524153697469561</v>
      </c>
      <c r="C273" s="14">
        <f t="shared" si="18"/>
        <v>5.3475846302530439</v>
      </c>
      <c r="D273" s="8">
        <f t="shared" si="23"/>
        <v>30.400000000000166</v>
      </c>
      <c r="E273" s="14">
        <f t="shared" si="20"/>
        <v>15.945776433061052</v>
      </c>
      <c r="F273" s="14">
        <f t="shared" si="21"/>
        <v>15.945917391437174</v>
      </c>
      <c r="G273" s="14">
        <f t="shared" si="22"/>
        <v>15.945917391437167</v>
      </c>
    </row>
    <row r="274" spans="2:7" x14ac:dyDescent="0.2">
      <c r="B274" s="14">
        <f t="shared" si="19"/>
        <v>9.6586689538693271</v>
      </c>
      <c r="C274" s="14">
        <f t="shared" si="18"/>
        <v>5.3413310461306729</v>
      </c>
      <c r="D274" s="8">
        <f t="shared" si="23"/>
        <v>30.500000000000167</v>
      </c>
      <c r="E274" s="14">
        <f t="shared" si="20"/>
        <v>16.035713803096872</v>
      </c>
      <c r="F274" s="14">
        <f t="shared" si="21"/>
        <v>16.035854505407642</v>
      </c>
      <c r="G274" s="14">
        <f t="shared" si="22"/>
        <v>16.035854505407631</v>
      </c>
    </row>
    <row r="275" spans="2:7" x14ac:dyDescent="0.2">
      <c r="B275" s="14">
        <f t="shared" si="19"/>
        <v>9.664887530478671</v>
      </c>
      <c r="C275" s="14">
        <f t="shared" ref="C275:C338" si="24">$C$14-B275</f>
        <v>5.335112469521329</v>
      </c>
      <c r="D275" s="8">
        <f t="shared" si="23"/>
        <v>30.600000000000168</v>
      </c>
      <c r="E275" s="14">
        <f t="shared" si="20"/>
        <v>16.125817654720276</v>
      </c>
      <c r="F275" s="14">
        <f t="shared" si="21"/>
        <v>16.125958102128113</v>
      </c>
      <c r="G275" s="14">
        <f t="shared" si="22"/>
        <v>16.125958102128127</v>
      </c>
    </row>
    <row r="276" spans="2:7" x14ac:dyDescent="0.2">
      <c r="B276" s="14">
        <f t="shared" ref="B276:B339" si="25">$C$14*(LN(D276)-LN($F$14))/(1+LN(D276)-LN($F$14))</f>
        <v>9.6710714257490373</v>
      </c>
      <c r="C276" s="14">
        <f t="shared" si="24"/>
        <v>5.3289285742509627</v>
      </c>
      <c r="D276" s="8">
        <f t="shared" si="23"/>
        <v>30.70000000000017</v>
      </c>
      <c r="E276" s="14">
        <f t="shared" ref="E276:E339" si="26">(D277-D275)/(B277-B275)</f>
        <v>16.21608758651378</v>
      </c>
      <c r="F276" s="14">
        <f t="shared" ref="F276:F339" si="27">D276*$C$14/(C276*C276)</f>
        <v>16.216227780165003</v>
      </c>
      <c r="G276" s="14">
        <f t="shared" ref="G276:G339" si="28">D276*(1+LN(D276/$F$14))*(1+LN(D276/$F$14))/$C$14</f>
        <v>16.216227780164992</v>
      </c>
    </row>
    <row r="277" spans="2:7" x14ac:dyDescent="0.2">
      <c r="B277" s="14">
        <f t="shared" si="25"/>
        <v>9.6772209616428153</v>
      </c>
      <c r="C277" s="14">
        <f t="shared" si="24"/>
        <v>5.3227790383571847</v>
      </c>
      <c r="D277" s="8">
        <f t="shared" ref="D277:D340" si="29">D276+0.1</f>
        <v>30.800000000000171</v>
      </c>
      <c r="E277" s="14">
        <f t="shared" si="26"/>
        <v>16.306523199206335</v>
      </c>
      <c r="F277" s="14">
        <f t="shared" si="27"/>
        <v>16.306663140235987</v>
      </c>
      <c r="G277" s="14">
        <f t="shared" si="28"/>
        <v>16.306663140235983</v>
      </c>
    </row>
    <row r="278" spans="2:7" x14ac:dyDescent="0.2">
      <c r="B278" s="14">
        <f t="shared" si="25"/>
        <v>9.6833364559799904</v>
      </c>
      <c r="C278" s="14">
        <f t="shared" si="24"/>
        <v>5.3166635440200096</v>
      </c>
      <c r="D278" s="8">
        <f t="shared" si="29"/>
        <v>30.900000000000173</v>
      </c>
      <c r="E278" s="14">
        <f t="shared" si="26"/>
        <v>16.397124095647715</v>
      </c>
      <c r="F278" s="14">
        <f t="shared" si="27"/>
        <v>16.397263785192273</v>
      </c>
      <c r="G278" s="14">
        <f t="shared" si="28"/>
        <v>16.397263785192262</v>
      </c>
    </row>
    <row r="279" spans="2:7" x14ac:dyDescent="0.2">
      <c r="B279" s="14">
        <f t="shared" si="25"/>
        <v>9.689418222505962</v>
      </c>
      <c r="C279" s="14">
        <f t="shared" si="24"/>
        <v>5.310581777494038</v>
      </c>
      <c r="D279" s="8">
        <f t="shared" si="29"/>
        <v>31.000000000000174</v>
      </c>
      <c r="E279" s="14">
        <f t="shared" si="26"/>
        <v>16.487889880818141</v>
      </c>
      <c r="F279" s="14">
        <f t="shared" si="27"/>
        <v>16.488029320000692</v>
      </c>
      <c r="G279" s="14">
        <f t="shared" si="28"/>
        <v>16.488029320000692</v>
      </c>
    </row>
    <row r="280" spans="2:7" x14ac:dyDescent="0.2">
      <c r="B280" s="14">
        <f t="shared" si="25"/>
        <v>9.6954665709580556</v>
      </c>
      <c r="C280" s="14">
        <f t="shared" si="24"/>
        <v>5.3045334290419444</v>
      </c>
      <c r="D280" s="8">
        <f t="shared" si="29"/>
        <v>31.100000000000176</v>
      </c>
      <c r="E280" s="14">
        <f t="shared" si="26"/>
        <v>16.578820161785512</v>
      </c>
      <c r="F280" s="14">
        <f t="shared" si="27"/>
        <v>16.578959351726262</v>
      </c>
      <c r="G280" s="14">
        <f t="shared" si="28"/>
        <v>16.578959351726258</v>
      </c>
    </row>
    <row r="281" spans="2:7" x14ac:dyDescent="0.2">
      <c r="B281" s="14">
        <f t="shared" si="25"/>
        <v>9.7014818071306994</v>
      </c>
      <c r="C281" s="14">
        <f t="shared" si="24"/>
        <v>5.2985181928693006</v>
      </c>
      <c r="D281" s="8">
        <f t="shared" si="29"/>
        <v>31.200000000000177</v>
      </c>
      <c r="E281" s="14">
        <f t="shared" si="26"/>
        <v>16.669914547717376</v>
      </c>
      <c r="F281" s="14">
        <f t="shared" si="27"/>
        <v>16.670053489514778</v>
      </c>
      <c r="G281" s="14">
        <f t="shared" si="28"/>
        <v>16.670053489514764</v>
      </c>
    </row>
    <row r="282" spans="2:7" x14ac:dyDescent="0.2">
      <c r="B282" s="14">
        <f t="shared" si="25"/>
        <v>9.7074642329393157</v>
      </c>
      <c r="C282" s="14">
        <f t="shared" si="24"/>
        <v>5.2925357670606843</v>
      </c>
      <c r="D282" s="8">
        <f t="shared" si="29"/>
        <v>31.300000000000178</v>
      </c>
      <c r="E282" s="14">
        <f t="shared" si="26"/>
        <v>16.761172649819777</v>
      </c>
      <c r="F282" s="14">
        <f t="shared" si="27"/>
        <v>16.761311344575628</v>
      </c>
      <c r="G282" s="14">
        <f t="shared" si="28"/>
        <v>16.761311344575621</v>
      </c>
    </row>
    <row r="283" spans="2:7" x14ac:dyDescent="0.2">
      <c r="B283" s="14">
        <f t="shared" si="25"/>
        <v>9.7134141464829913</v>
      </c>
      <c r="C283" s="14">
        <f t="shared" si="24"/>
        <v>5.2865858535170087</v>
      </c>
      <c r="D283" s="8">
        <f t="shared" si="29"/>
        <v>31.40000000000018</v>
      </c>
      <c r="E283" s="14">
        <f t="shared" si="26"/>
        <v>16.852594081356482</v>
      </c>
      <c r="F283" s="14">
        <f t="shared" si="27"/>
        <v>16.852732530164978</v>
      </c>
      <c r="G283" s="14">
        <f t="shared" si="28"/>
        <v>16.852732530164971</v>
      </c>
    </row>
    <row r="284" spans="2:7" x14ac:dyDescent="0.2">
      <c r="B284" s="14">
        <f t="shared" si="25"/>
        <v>9.7193318421058628</v>
      </c>
      <c r="C284" s="14">
        <f t="shared" si="24"/>
        <v>5.2806681578941372</v>
      </c>
      <c r="D284" s="8">
        <f t="shared" si="29"/>
        <v>31.500000000000181</v>
      </c>
      <c r="E284" s="14">
        <f t="shared" si="26"/>
        <v>16.944178457617458</v>
      </c>
      <c r="F284" s="14">
        <f t="shared" si="27"/>
        <v>16.944316661568809</v>
      </c>
      <c r="G284" s="14">
        <f t="shared" si="28"/>
        <v>16.944316661568823</v>
      </c>
    </row>
    <row r="285" spans="2:7" x14ac:dyDescent="0.2">
      <c r="B285" s="14">
        <f t="shared" si="25"/>
        <v>9.7252176104573742</v>
      </c>
      <c r="C285" s="14">
        <f t="shared" si="24"/>
        <v>5.2747823895426258</v>
      </c>
      <c r="D285" s="8">
        <f t="shared" si="29"/>
        <v>31.600000000000183</v>
      </c>
      <c r="E285" s="14">
        <f t="shared" si="26"/>
        <v>17.035925395923247</v>
      </c>
      <c r="F285" s="14">
        <f t="shared" si="27"/>
        <v>17.036063356086547</v>
      </c>
      <c r="G285" s="14">
        <f t="shared" si="28"/>
        <v>17.03606335608653</v>
      </c>
    </row>
    <row r="286" spans="2:7" x14ac:dyDescent="0.2">
      <c r="B286" s="14">
        <f t="shared" si="25"/>
        <v>9.7310717385512806</v>
      </c>
      <c r="C286" s="14">
        <f t="shared" si="24"/>
        <v>5.2689282614487194</v>
      </c>
      <c r="D286" s="8">
        <f t="shared" si="29"/>
        <v>31.700000000000184</v>
      </c>
      <c r="E286" s="14">
        <f t="shared" si="26"/>
        <v>17.127834515577248</v>
      </c>
      <c r="F286" s="14">
        <f t="shared" si="27"/>
        <v>17.127972233014358</v>
      </c>
      <c r="G286" s="14">
        <f t="shared" si="28"/>
        <v>17.127972233014354</v>
      </c>
    </row>
    <row r="287" spans="2:7" x14ac:dyDescent="0.2">
      <c r="B287" s="14">
        <f t="shared" si="25"/>
        <v>9.7368945098236139</v>
      </c>
      <c r="C287" s="14">
        <f t="shared" si="24"/>
        <v>5.2631054901763861</v>
      </c>
      <c r="D287" s="8">
        <f t="shared" si="29"/>
        <v>31.800000000000185</v>
      </c>
      <c r="E287" s="14">
        <f t="shared" si="26"/>
        <v>17.219905437841458</v>
      </c>
      <c r="F287" s="14">
        <f t="shared" si="27"/>
        <v>17.220042913629289</v>
      </c>
      <c r="G287" s="14">
        <f t="shared" si="28"/>
        <v>17.220042913629296</v>
      </c>
    </row>
    <row r="288" spans="2:7" x14ac:dyDescent="0.2">
      <c r="B288" s="14">
        <f t="shared" si="25"/>
        <v>9.7426862041894307</v>
      </c>
      <c r="C288" s="14">
        <f t="shared" si="24"/>
        <v>5.2573137958105693</v>
      </c>
      <c r="D288" s="8">
        <f t="shared" si="29"/>
        <v>31.900000000000187</v>
      </c>
      <c r="E288" s="14">
        <f t="shared" si="26"/>
        <v>17.312137785991027</v>
      </c>
      <c r="F288" s="14">
        <f t="shared" si="27"/>
        <v>17.312275021172983</v>
      </c>
      <c r="G288" s="14">
        <f t="shared" si="28"/>
        <v>17.312275021172969</v>
      </c>
    </row>
    <row r="289" spans="2:7" x14ac:dyDescent="0.2">
      <c r="B289" s="14">
        <f t="shared" si="25"/>
        <v>9.7484470980985201</v>
      </c>
      <c r="C289" s="14">
        <f t="shared" si="24"/>
        <v>5.2515529019014799</v>
      </c>
      <c r="D289" s="8">
        <f t="shared" si="29"/>
        <v>32.000000000000185</v>
      </c>
      <c r="E289" s="14">
        <f t="shared" si="26"/>
        <v>17.404531185211294</v>
      </c>
      <c r="F289" s="14">
        <f t="shared" si="27"/>
        <v>17.404668180835827</v>
      </c>
      <c r="G289" s="14">
        <f t="shared" si="28"/>
        <v>17.404668180835827</v>
      </c>
    </row>
    <row r="290" spans="2:7" x14ac:dyDescent="0.2">
      <c r="B290" s="14">
        <f t="shared" si="25"/>
        <v>9.7541774645900521</v>
      </c>
      <c r="C290" s="14">
        <f t="shared" si="24"/>
        <v>5.2458225354099479</v>
      </c>
      <c r="D290" s="8">
        <f t="shared" si="29"/>
        <v>32.100000000000186</v>
      </c>
      <c r="E290" s="14">
        <f t="shared" si="26"/>
        <v>17.497085262637036</v>
      </c>
      <c r="F290" s="14">
        <f t="shared" si="27"/>
        <v>17.497222019741432</v>
      </c>
      <c r="G290" s="14">
        <f t="shared" si="28"/>
        <v>17.497222019741418</v>
      </c>
    </row>
    <row r="291" spans="2:7" x14ac:dyDescent="0.2">
      <c r="B291" s="14">
        <f t="shared" si="25"/>
        <v>9.7598775733461363</v>
      </c>
      <c r="C291" s="14">
        <f t="shared" si="24"/>
        <v>5.2401224266538637</v>
      </c>
      <c r="D291" s="8">
        <f t="shared" si="29"/>
        <v>32.200000000000188</v>
      </c>
      <c r="E291" s="14">
        <f t="shared" si="26"/>
        <v>17.589799647316458</v>
      </c>
      <c r="F291" s="14">
        <f t="shared" si="27"/>
        <v>17.589936166930872</v>
      </c>
      <c r="G291" s="14">
        <f t="shared" si="28"/>
        <v>17.58993616693088</v>
      </c>
    </row>
    <row r="292" spans="2:7" x14ac:dyDescent="0.2">
      <c r="B292" s="14">
        <f t="shared" si="25"/>
        <v>9.7655476907444196</v>
      </c>
      <c r="C292" s="14">
        <f t="shared" si="24"/>
        <v>5.2344523092555804</v>
      </c>
      <c r="D292" s="8">
        <f t="shared" si="29"/>
        <v>32.300000000000189</v>
      </c>
      <c r="E292" s="14">
        <f t="shared" si="26"/>
        <v>17.682673970186674</v>
      </c>
      <c r="F292" s="14">
        <f t="shared" si="27"/>
        <v>17.682810253347565</v>
      </c>
      <c r="G292" s="14">
        <f t="shared" si="28"/>
        <v>17.682810253347565</v>
      </c>
    </row>
    <row r="293" spans="2:7" x14ac:dyDescent="0.2">
      <c r="B293" s="14">
        <f t="shared" si="25"/>
        <v>9.7711880799096349</v>
      </c>
      <c r="C293" s="14">
        <f t="shared" si="24"/>
        <v>5.2288119200903651</v>
      </c>
      <c r="D293" s="8">
        <f t="shared" si="29"/>
        <v>32.40000000000019</v>
      </c>
      <c r="E293" s="14">
        <f t="shared" si="26"/>
        <v>17.775707864111272</v>
      </c>
      <c r="F293" s="14">
        <f t="shared" si="27"/>
        <v>17.775843911821948</v>
      </c>
      <c r="G293" s="14">
        <f t="shared" si="28"/>
        <v>17.775843911821919</v>
      </c>
    </row>
    <row r="294" spans="2:7" x14ac:dyDescent="0.2">
      <c r="B294" s="14">
        <f t="shared" si="25"/>
        <v>9.776799000764191</v>
      </c>
      <c r="C294" s="14">
        <f t="shared" si="24"/>
        <v>5.223200999235809</v>
      </c>
      <c r="D294" s="8">
        <f t="shared" si="29"/>
        <v>32.500000000000192</v>
      </c>
      <c r="E294" s="14">
        <f t="shared" si="26"/>
        <v>17.868900963788839</v>
      </c>
      <c r="F294" s="14">
        <f t="shared" si="27"/>
        <v>17.869036777056415</v>
      </c>
      <c r="G294" s="14">
        <f t="shared" si="28"/>
        <v>17.869036777056401</v>
      </c>
    </row>
    <row r="295" spans="2:7" x14ac:dyDescent="0.2">
      <c r="B295" s="14">
        <f t="shared" si="25"/>
        <v>9.7823807100778417</v>
      </c>
      <c r="C295" s="14">
        <f t="shared" si="24"/>
        <v>5.2176192899221583</v>
      </c>
      <c r="D295" s="8">
        <f t="shared" si="29"/>
        <v>32.600000000000193</v>
      </c>
      <c r="E295" s="14">
        <f t="shared" si="26"/>
        <v>17.962252905771127</v>
      </c>
      <c r="F295" s="14">
        <f t="shared" si="27"/>
        <v>17.962388485610667</v>
      </c>
      <c r="G295" s="14">
        <f t="shared" si="28"/>
        <v>17.962388485610656</v>
      </c>
    </row>
    <row r="296" spans="2:7" x14ac:dyDescent="0.2">
      <c r="B296" s="14">
        <f t="shared" si="25"/>
        <v>9.7879334615163689</v>
      </c>
      <c r="C296" s="14">
        <f t="shared" si="24"/>
        <v>5.2120665384836311</v>
      </c>
      <c r="D296" s="8">
        <f t="shared" si="29"/>
        <v>32.700000000000195</v>
      </c>
      <c r="E296" s="14">
        <f t="shared" si="26"/>
        <v>18.055763328481923</v>
      </c>
      <c r="F296" s="14">
        <f t="shared" si="27"/>
        <v>18.055898675886819</v>
      </c>
      <c r="G296" s="14">
        <f t="shared" si="28"/>
        <v>18.055898675886809</v>
      </c>
    </row>
    <row r="297" spans="2:7" x14ac:dyDescent="0.2">
      <c r="B297" s="14">
        <f t="shared" si="25"/>
        <v>9.7934575056893856</v>
      </c>
      <c r="C297" s="14">
        <f t="shared" si="24"/>
        <v>5.2065424943106144</v>
      </c>
      <c r="D297" s="8">
        <f t="shared" si="29"/>
        <v>32.800000000000196</v>
      </c>
      <c r="E297" s="14">
        <f t="shared" si="26"/>
        <v>18.149431872161596</v>
      </c>
      <c r="F297" s="14">
        <f t="shared" si="27"/>
        <v>18.149566988114938</v>
      </c>
      <c r="G297" s="14">
        <f t="shared" si="28"/>
        <v>18.149566988114923</v>
      </c>
    </row>
    <row r="298" spans="2:7" x14ac:dyDescent="0.2">
      <c r="B298" s="14">
        <f t="shared" si="25"/>
        <v>9.7989530901972408</v>
      </c>
      <c r="C298" s="14">
        <f t="shared" si="24"/>
        <v>5.2010469098027592</v>
      </c>
      <c r="D298" s="8">
        <f t="shared" si="29"/>
        <v>32.900000000000198</v>
      </c>
      <c r="E298" s="14">
        <f t="shared" si="26"/>
        <v>18.243258178854326</v>
      </c>
      <c r="F298" s="14">
        <f t="shared" si="27"/>
        <v>18.24339306433863</v>
      </c>
      <c r="G298" s="14">
        <f t="shared" si="28"/>
        <v>18.243393064338623</v>
      </c>
    </row>
    <row r="299" spans="2:7" x14ac:dyDescent="0.2">
      <c r="B299" s="14">
        <f t="shared" si="25"/>
        <v>9.8044204596770577</v>
      </c>
      <c r="C299" s="14">
        <f t="shared" si="24"/>
        <v>5.1955795403229423</v>
      </c>
      <c r="D299" s="8">
        <f t="shared" si="29"/>
        <v>33.000000000000199</v>
      </c>
      <c r="E299" s="14">
        <f t="shared" si="26"/>
        <v>18.337241892400694</v>
      </c>
      <c r="F299" s="14">
        <f t="shared" si="27"/>
        <v>18.337376548400869</v>
      </c>
      <c r="G299" s="14">
        <f t="shared" si="28"/>
        <v>18.337376548400876</v>
      </c>
    </row>
    <row r="300" spans="2:7" x14ac:dyDescent="0.2">
      <c r="B300" s="14">
        <f t="shared" si="25"/>
        <v>9.8098598558479075</v>
      </c>
      <c r="C300" s="14">
        <f t="shared" si="24"/>
        <v>5.1901401441520925</v>
      </c>
      <c r="D300" s="8">
        <f t="shared" si="29"/>
        <v>33.1000000000002</v>
      </c>
      <c r="E300" s="14">
        <f t="shared" si="26"/>
        <v>18.431382658449454</v>
      </c>
      <c r="F300" s="14">
        <f t="shared" si="27"/>
        <v>18.431517085929894</v>
      </c>
      <c r="G300" s="14">
        <f t="shared" si="28"/>
        <v>18.431517085929887</v>
      </c>
    </row>
    <row r="301" spans="2:7" x14ac:dyDescent="0.2">
      <c r="B301" s="14">
        <f t="shared" si="25"/>
        <v>9.8152715175551446</v>
      </c>
      <c r="C301" s="14">
        <f t="shared" si="24"/>
        <v>5.1847284824448554</v>
      </c>
      <c r="D301" s="8">
        <f t="shared" si="29"/>
        <v>33.200000000000202</v>
      </c>
      <c r="E301" s="14">
        <f t="shared" si="26"/>
        <v>18.525680124402854</v>
      </c>
      <c r="F301" s="14">
        <f t="shared" si="27"/>
        <v>18.525814324325196</v>
      </c>
      <c r="G301" s="14">
        <f t="shared" si="28"/>
        <v>18.525814324325204</v>
      </c>
    </row>
    <row r="302" spans="2:7" x14ac:dyDescent="0.2">
      <c r="B302" s="14">
        <f t="shared" si="25"/>
        <v>9.8206556808139531</v>
      </c>
      <c r="C302" s="14">
        <f t="shared" si="24"/>
        <v>5.1793443191860469</v>
      </c>
      <c r="D302" s="8">
        <f t="shared" si="29"/>
        <v>33.300000000000203</v>
      </c>
      <c r="E302" s="14">
        <f t="shared" si="26"/>
        <v>18.620133939418448</v>
      </c>
      <c r="F302" s="14">
        <f t="shared" si="27"/>
        <v>18.620267912743898</v>
      </c>
      <c r="G302" s="14">
        <f t="shared" si="28"/>
        <v>18.620267912743884</v>
      </c>
    </row>
    <row r="303" spans="2:7" x14ac:dyDescent="0.2">
      <c r="B303" s="14">
        <f t="shared" si="25"/>
        <v>9.8260125788520565</v>
      </c>
      <c r="C303" s="14">
        <f t="shared" si="24"/>
        <v>5.1739874211479435</v>
      </c>
      <c r="D303" s="8">
        <f t="shared" si="29"/>
        <v>33.400000000000205</v>
      </c>
      <c r="E303" s="14">
        <f t="shared" si="26"/>
        <v>18.714743754417064</v>
      </c>
      <c r="F303" s="14">
        <f t="shared" si="27"/>
        <v>18.714877502086956</v>
      </c>
      <c r="G303" s="14">
        <f t="shared" si="28"/>
        <v>18.714877502086942</v>
      </c>
    </row>
    <row r="304" spans="2:7" x14ac:dyDescent="0.2">
      <c r="B304" s="14">
        <f t="shared" si="25"/>
        <v>9.8313424421516711</v>
      </c>
      <c r="C304" s="14">
        <f t="shared" si="24"/>
        <v>5.1686575578483289</v>
      </c>
      <c r="D304" s="8">
        <f t="shared" si="29"/>
        <v>33.500000000000206</v>
      </c>
      <c r="E304" s="14">
        <f t="shared" si="26"/>
        <v>18.809509222026684</v>
      </c>
      <c r="F304" s="14">
        <f t="shared" si="27"/>
        <v>18.809642744985769</v>
      </c>
      <c r="G304" s="14">
        <f t="shared" si="28"/>
        <v>18.809642744985752</v>
      </c>
    </row>
    <row r="305" spans="2:7" x14ac:dyDescent="0.2">
      <c r="B305" s="14">
        <f t="shared" si="25"/>
        <v>9.836645498490693</v>
      </c>
      <c r="C305" s="14">
        <f t="shared" si="24"/>
        <v>5.163354501509307</v>
      </c>
      <c r="D305" s="8">
        <f t="shared" si="29"/>
        <v>33.600000000000207</v>
      </c>
      <c r="E305" s="14">
        <f t="shared" si="26"/>
        <v>18.904429996602104</v>
      </c>
      <c r="F305" s="14">
        <f t="shared" si="27"/>
        <v>18.904563295788822</v>
      </c>
      <c r="G305" s="14">
        <f t="shared" si="28"/>
        <v>18.904563295788797</v>
      </c>
    </row>
    <row r="306" spans="2:7" x14ac:dyDescent="0.2">
      <c r="B306" s="14">
        <f t="shared" si="25"/>
        <v>9.8419219729831191</v>
      </c>
      <c r="C306" s="14">
        <f t="shared" si="24"/>
        <v>5.1580780270168809</v>
      </c>
      <c r="D306" s="8">
        <f t="shared" si="29"/>
        <v>33.700000000000209</v>
      </c>
      <c r="E306" s="14">
        <f t="shared" si="26"/>
        <v>18.999505734212192</v>
      </c>
      <c r="F306" s="14">
        <f t="shared" si="27"/>
        <v>18.999638810548422</v>
      </c>
      <c r="G306" s="14">
        <f t="shared" si="28"/>
        <v>18.999638810548394</v>
      </c>
    </row>
    <row r="307" spans="2:7" x14ac:dyDescent="0.2">
      <c r="B307" s="14">
        <f t="shared" si="25"/>
        <v>9.8471720881187519</v>
      </c>
      <c r="C307" s="14">
        <f t="shared" si="24"/>
        <v>5.1528279118812481</v>
      </c>
      <c r="D307" s="8">
        <f t="shared" si="29"/>
        <v>33.80000000000021</v>
      </c>
      <c r="E307" s="14">
        <f t="shared" si="26"/>
        <v>19.094736092587627</v>
      </c>
      <c r="F307" s="14">
        <f t="shared" si="27"/>
        <v>19.094868947007654</v>
      </c>
      <c r="G307" s="14">
        <f t="shared" si="28"/>
        <v>19.094868947007644</v>
      </c>
    </row>
    <row r="308" spans="2:7" x14ac:dyDescent="0.2">
      <c r="B308" s="14">
        <f t="shared" si="25"/>
        <v>9.8523960638021926</v>
      </c>
      <c r="C308" s="14">
        <f t="shared" si="24"/>
        <v>5.1476039361978074</v>
      </c>
      <c r="D308" s="8">
        <f t="shared" si="29"/>
        <v>33.900000000000212</v>
      </c>
      <c r="E308" s="14">
        <f t="shared" si="26"/>
        <v>19.190120731165614</v>
      </c>
      <c r="F308" s="14">
        <f t="shared" si="27"/>
        <v>19.19025336458753</v>
      </c>
      <c r="G308" s="14">
        <f t="shared" si="28"/>
        <v>19.190253364587516</v>
      </c>
    </row>
    <row r="309" spans="2:7" x14ac:dyDescent="0.2">
      <c r="B309" s="14">
        <f t="shared" si="25"/>
        <v>9.8575941173910948</v>
      </c>
      <c r="C309" s="14">
        <f t="shared" si="24"/>
        <v>5.1424058826089052</v>
      </c>
      <c r="D309" s="8">
        <f t="shared" si="29"/>
        <v>34.000000000000213</v>
      </c>
      <c r="E309" s="14">
        <f t="shared" si="26"/>
        <v>19.285659311045396</v>
      </c>
      <c r="F309" s="14">
        <f t="shared" si="27"/>
        <v>19.285791724373986</v>
      </c>
      <c r="G309" s="14">
        <f t="shared" si="28"/>
        <v>19.285791724373976</v>
      </c>
    </row>
    <row r="310" spans="2:7" x14ac:dyDescent="0.2">
      <c r="B310" s="14">
        <f t="shared" si="25"/>
        <v>9.8627664637337862</v>
      </c>
      <c r="C310" s="14">
        <f t="shared" si="24"/>
        <v>5.1372335362662138</v>
      </c>
      <c r="D310" s="8">
        <f t="shared" si="29"/>
        <v>34.100000000000215</v>
      </c>
      <c r="E310" s="14">
        <f t="shared" si="26"/>
        <v>19.381351494956984</v>
      </c>
      <c r="F310" s="14">
        <f t="shared" si="27"/>
        <v>19.381483689105423</v>
      </c>
      <c r="G310" s="14">
        <f t="shared" si="28"/>
        <v>19.381483689105416</v>
      </c>
    </row>
    <row r="311" spans="2:7" x14ac:dyDescent="0.2">
      <c r="B311" s="14">
        <f t="shared" si="25"/>
        <v>9.867913315206172</v>
      </c>
      <c r="C311" s="14">
        <f t="shared" si="24"/>
        <v>5.132086684793828</v>
      </c>
      <c r="D311" s="8">
        <f t="shared" si="29"/>
        <v>34.200000000000216</v>
      </c>
      <c r="E311" s="14">
        <f t="shared" si="26"/>
        <v>19.47719694729323</v>
      </c>
      <c r="F311" s="14">
        <f t="shared" si="27"/>
        <v>19.477328923160044</v>
      </c>
      <c r="G311" s="14">
        <f t="shared" si="28"/>
        <v>19.477328923160037</v>
      </c>
    </row>
    <row r="312" spans="2:7" x14ac:dyDescent="0.2">
      <c r="B312" s="14">
        <f t="shared" si="25"/>
        <v>9.8730348817480014</v>
      </c>
      <c r="C312" s="14">
        <f t="shared" si="24"/>
        <v>5.1269651182519986</v>
      </c>
      <c r="D312" s="8">
        <f t="shared" si="29"/>
        <v>34.300000000000217</v>
      </c>
      <c r="E312" s="14">
        <f t="shared" si="26"/>
        <v>19.573195334068878</v>
      </c>
      <c r="F312" s="14">
        <f t="shared" si="27"/>
        <v>19.573327092543479</v>
      </c>
      <c r="G312" s="14">
        <f t="shared" si="28"/>
        <v>19.573327092543462</v>
      </c>
    </row>
    <row r="313" spans="2:7" x14ac:dyDescent="0.2">
      <c r="B313" s="14">
        <f t="shared" si="25"/>
        <v>9.8781313708984833</v>
      </c>
      <c r="C313" s="14">
        <f t="shared" si="24"/>
        <v>5.1218686291015167</v>
      </c>
      <c r="D313" s="8">
        <f t="shared" si="29"/>
        <v>34.400000000000219</v>
      </c>
      <c r="E313" s="14">
        <f t="shared" si="26"/>
        <v>19.669346322910059</v>
      </c>
      <c r="F313" s="14">
        <f t="shared" si="27"/>
        <v>19.669477864876491</v>
      </c>
      <c r="G313" s="14">
        <f t="shared" si="28"/>
        <v>19.669477864876477</v>
      </c>
    </row>
    <row r="314" spans="2:7" x14ac:dyDescent="0.2">
      <c r="B314" s="14">
        <f t="shared" si="25"/>
        <v>9.8832029878312753</v>
      </c>
      <c r="C314" s="14">
        <f t="shared" si="24"/>
        <v>5.1167970121687247</v>
      </c>
      <c r="D314" s="8">
        <f t="shared" si="29"/>
        <v>34.50000000000022</v>
      </c>
      <c r="E314" s="14">
        <f t="shared" si="26"/>
        <v>19.765649583036975</v>
      </c>
      <c r="F314" s="14">
        <f t="shared" si="27"/>
        <v>19.76578090938284</v>
      </c>
      <c r="G314" s="14">
        <f t="shared" si="28"/>
        <v>19.765780909382837</v>
      </c>
    </row>
    <row r="315" spans="2:7" x14ac:dyDescent="0.2">
      <c r="B315" s="14">
        <f t="shared" si="25"/>
        <v>9.8882499353888527</v>
      </c>
      <c r="C315" s="14">
        <f t="shared" si="24"/>
        <v>5.1117500646111473</v>
      </c>
      <c r="D315" s="8">
        <f t="shared" si="29"/>
        <v>34.600000000000222</v>
      </c>
      <c r="E315" s="14">
        <f t="shared" si="26"/>
        <v>19.862104785273058</v>
      </c>
      <c r="F315" s="14">
        <f t="shared" si="27"/>
        <v>19.86223589687728</v>
      </c>
      <c r="G315" s="14">
        <f t="shared" si="28"/>
        <v>19.862235896877277</v>
      </c>
    </row>
    <row r="316" spans="2:7" x14ac:dyDescent="0.2">
      <c r="B316" s="14">
        <f t="shared" si="25"/>
        <v>9.8932724141162627</v>
      </c>
      <c r="C316" s="14">
        <f t="shared" si="24"/>
        <v>5.1067275858837373</v>
      </c>
      <c r="D316" s="8">
        <f t="shared" si="29"/>
        <v>34.700000000000223</v>
      </c>
      <c r="E316" s="14">
        <f t="shared" si="26"/>
        <v>19.958711602017491</v>
      </c>
      <c r="F316" s="14">
        <f t="shared" si="27"/>
        <v>19.958842499753558</v>
      </c>
      <c r="G316" s="14">
        <f t="shared" si="28"/>
        <v>19.958842499753555</v>
      </c>
    </row>
    <row r="317" spans="2:7" x14ac:dyDescent="0.2">
      <c r="B317" s="14">
        <f t="shared" si="25"/>
        <v>9.8982706222943033</v>
      </c>
      <c r="C317" s="14">
        <f t="shared" si="24"/>
        <v>5.1017293777056967</v>
      </c>
      <c r="D317" s="8">
        <f t="shared" si="29"/>
        <v>34.800000000000225</v>
      </c>
      <c r="E317" s="14">
        <f t="shared" si="26"/>
        <v>20.055469707252385</v>
      </c>
      <c r="F317" s="14">
        <f t="shared" si="27"/>
        <v>20.055600391972735</v>
      </c>
      <c r="G317" s="14">
        <f t="shared" si="28"/>
        <v>20.055600391972703</v>
      </c>
    </row>
    <row r="318" spans="2:7" x14ac:dyDescent="0.2">
      <c r="B318" s="14">
        <f t="shared" si="25"/>
        <v>9.9032447559720946</v>
      </c>
      <c r="C318" s="14">
        <f t="shared" si="24"/>
        <v>5.0967552440279054</v>
      </c>
      <c r="D318" s="8">
        <f t="shared" si="29"/>
        <v>34.900000000000226</v>
      </c>
      <c r="E318" s="14">
        <f t="shared" si="26"/>
        <v>20.152378776488359</v>
      </c>
      <c r="F318" s="14">
        <f t="shared" si="27"/>
        <v>20.152509249051349</v>
      </c>
      <c r="G318" s="14">
        <f t="shared" si="28"/>
        <v>20.152509249051342</v>
      </c>
    </row>
    <row r="319" spans="2:7" x14ac:dyDescent="0.2">
      <c r="B319" s="14">
        <f t="shared" si="25"/>
        <v>9.9081950089991295</v>
      </c>
      <c r="C319" s="14">
        <f t="shared" si="24"/>
        <v>5.0918049910008705</v>
      </c>
      <c r="D319" s="8">
        <f t="shared" si="29"/>
        <v>35.000000000000227</v>
      </c>
      <c r="E319" s="14">
        <f t="shared" si="26"/>
        <v>20.249438486781571</v>
      </c>
      <c r="F319" s="14">
        <f t="shared" si="27"/>
        <v>20.24956874805013</v>
      </c>
      <c r="G319" s="14">
        <f t="shared" si="28"/>
        <v>20.249568748050116</v>
      </c>
    </row>
    <row r="320" spans="2:7" x14ac:dyDescent="0.2">
      <c r="B320" s="14">
        <f t="shared" si="25"/>
        <v>9.9131215730567046</v>
      </c>
      <c r="C320" s="14">
        <f t="shared" si="24"/>
        <v>5.0868784269432954</v>
      </c>
      <c r="D320" s="8">
        <f t="shared" si="29"/>
        <v>35.100000000000229</v>
      </c>
      <c r="E320" s="14">
        <f t="shared" si="26"/>
        <v>20.346648516745066</v>
      </c>
      <c r="F320" s="14">
        <f t="shared" si="27"/>
        <v>20.3467785675623</v>
      </c>
      <c r="G320" s="14">
        <f t="shared" si="28"/>
        <v>20.346778567562296</v>
      </c>
    </row>
    <row r="321" spans="2:7" x14ac:dyDescent="0.2">
      <c r="B321" s="14">
        <f t="shared" si="25"/>
        <v>9.9180246376888572</v>
      </c>
      <c r="C321" s="14">
        <f t="shared" si="24"/>
        <v>5.0819753623111428</v>
      </c>
      <c r="D321" s="8">
        <f t="shared" si="29"/>
        <v>35.20000000000023</v>
      </c>
      <c r="E321" s="14">
        <f t="shared" si="26"/>
        <v>20.444008546489719</v>
      </c>
      <c r="F321" s="14">
        <f t="shared" si="27"/>
        <v>20.444138387702427</v>
      </c>
      <c r="G321" s="14">
        <f t="shared" si="28"/>
        <v>20.444138387702424</v>
      </c>
    </row>
    <row r="322" spans="2:7" x14ac:dyDescent="0.2">
      <c r="B322" s="14">
        <f t="shared" si="25"/>
        <v>9.9229043903327394</v>
      </c>
      <c r="C322" s="14">
        <f t="shared" si="24"/>
        <v>5.0770956096672606</v>
      </c>
      <c r="D322" s="8">
        <f t="shared" si="29"/>
        <v>35.300000000000232</v>
      </c>
      <c r="E322" s="14">
        <f t="shared" si="26"/>
        <v>20.541518257650054</v>
      </c>
      <c r="F322" s="14">
        <f t="shared" si="27"/>
        <v>20.541647890095138</v>
      </c>
      <c r="G322" s="14">
        <f t="shared" si="28"/>
        <v>20.541647890095128</v>
      </c>
    </row>
    <row r="323" spans="2:7" x14ac:dyDescent="0.2">
      <c r="B323" s="14">
        <f t="shared" si="25"/>
        <v>9.9277610163484784</v>
      </c>
      <c r="C323" s="14">
        <f t="shared" si="24"/>
        <v>5.0722389836515216</v>
      </c>
      <c r="D323" s="8">
        <f t="shared" si="29"/>
        <v>35.400000000000233</v>
      </c>
      <c r="E323" s="14">
        <f t="shared" si="26"/>
        <v>20.63917733335964</v>
      </c>
      <c r="F323" s="14">
        <f t="shared" si="27"/>
        <v>20.639306757864027</v>
      </c>
      <c r="G323" s="14">
        <f t="shared" si="28"/>
        <v>20.639306757864009</v>
      </c>
    </row>
    <row r="324" spans="2:7" x14ac:dyDescent="0.2">
      <c r="B324" s="14">
        <f t="shared" si="25"/>
        <v>9.9325946990485203</v>
      </c>
      <c r="C324" s="14">
        <f t="shared" si="24"/>
        <v>5.0674053009514797</v>
      </c>
      <c r="D324" s="8">
        <f t="shared" si="29"/>
        <v>35.500000000000234</v>
      </c>
      <c r="E324" s="14">
        <f t="shared" si="26"/>
        <v>20.73698545823266</v>
      </c>
      <c r="F324" s="14">
        <f t="shared" si="27"/>
        <v>20.737114675620699</v>
      </c>
      <c r="G324" s="14">
        <f t="shared" si="28"/>
        <v>20.737114675620678</v>
      </c>
    </row>
    <row r="325" spans="2:7" x14ac:dyDescent="0.2">
      <c r="B325" s="14">
        <f t="shared" si="25"/>
        <v>9.9374056197264782</v>
      </c>
      <c r="C325" s="14">
        <f t="shared" si="24"/>
        <v>5.0625943802735218</v>
      </c>
      <c r="D325" s="8">
        <f t="shared" si="29"/>
        <v>35.600000000000236</v>
      </c>
      <c r="E325" s="14">
        <f t="shared" si="26"/>
        <v>20.834942318362533</v>
      </c>
      <c r="F325" s="14">
        <f t="shared" si="27"/>
        <v>20.835071329453896</v>
      </c>
      <c r="G325" s="14">
        <f t="shared" si="28"/>
        <v>20.835071329453875</v>
      </c>
    </row>
    <row r="326" spans="2:7" x14ac:dyDescent="0.2">
      <c r="B326" s="14">
        <f t="shared" si="25"/>
        <v>9.9421939576854754</v>
      </c>
      <c r="C326" s="14">
        <f t="shared" si="24"/>
        <v>5.0578060423145246</v>
      </c>
      <c r="D326" s="8">
        <f t="shared" si="29"/>
        <v>35.700000000000237</v>
      </c>
      <c r="E326" s="14">
        <f t="shared" si="26"/>
        <v>20.933047601298895</v>
      </c>
      <c r="F326" s="14">
        <f t="shared" si="27"/>
        <v>20.933176406918697</v>
      </c>
      <c r="G326" s="14">
        <f t="shared" si="28"/>
        <v>20.933176406918694</v>
      </c>
    </row>
    <row r="327" spans="2:7" x14ac:dyDescent="0.2">
      <c r="B327" s="14">
        <f t="shared" si="25"/>
        <v>9.9469598902660241</v>
      </c>
      <c r="C327" s="14">
        <f t="shared" si="24"/>
        <v>5.0530401097339759</v>
      </c>
      <c r="D327" s="8">
        <f t="shared" si="29"/>
        <v>35.800000000000239</v>
      </c>
      <c r="E327" s="14">
        <f t="shared" si="26"/>
        <v>21.03130099607105</v>
      </c>
      <c r="F327" s="14">
        <f t="shared" si="27"/>
        <v>21.031429597025962</v>
      </c>
      <c r="G327" s="14">
        <f t="shared" si="28"/>
        <v>21.031429597025937</v>
      </c>
    </row>
    <row r="328" spans="2:7" x14ac:dyDescent="0.2">
      <c r="B328" s="14">
        <f t="shared" si="25"/>
        <v>9.9517035928733968</v>
      </c>
      <c r="C328" s="14">
        <f t="shared" si="24"/>
        <v>5.0482964071266032</v>
      </c>
      <c r="D328" s="8">
        <f t="shared" si="29"/>
        <v>35.90000000000024</v>
      </c>
      <c r="E328" s="14">
        <f t="shared" si="26"/>
        <v>21.129702193141075</v>
      </c>
      <c r="F328" s="14">
        <f t="shared" si="27"/>
        <v>21.129830590231556</v>
      </c>
      <c r="G328" s="14">
        <f t="shared" si="28"/>
        <v>21.129830590231538</v>
      </c>
    </row>
    <row r="329" spans="2:7" x14ac:dyDescent="0.2">
      <c r="B329" s="14">
        <f t="shared" si="25"/>
        <v>9.9564252390045844</v>
      </c>
      <c r="C329" s="14">
        <f t="shared" si="24"/>
        <v>5.0435747609954156</v>
      </c>
      <c r="D329" s="8">
        <f t="shared" si="29"/>
        <v>36.000000000000242</v>
      </c>
      <c r="E329" s="14">
        <f t="shared" si="26"/>
        <v>21.228250884400961</v>
      </c>
      <c r="F329" s="14">
        <f t="shared" si="27"/>
        <v>21.228379078426173</v>
      </c>
      <c r="G329" s="14">
        <f t="shared" si="28"/>
        <v>21.228379078426151</v>
      </c>
    </row>
    <row r="330" spans="2:7" x14ac:dyDescent="0.2">
      <c r="B330" s="14">
        <f t="shared" si="25"/>
        <v>9.9611250002747465</v>
      </c>
      <c r="C330" s="14">
        <f t="shared" si="24"/>
        <v>5.0388749997252535</v>
      </c>
      <c r="D330" s="8">
        <f t="shared" si="29"/>
        <v>36.100000000000243</v>
      </c>
      <c r="E330" s="14">
        <f t="shared" si="26"/>
        <v>21.326946763171339</v>
      </c>
      <c r="F330" s="14">
        <f t="shared" si="27"/>
        <v>21.327074754924748</v>
      </c>
      <c r="G330" s="14">
        <f t="shared" si="28"/>
        <v>21.327074754924748</v>
      </c>
    </row>
    <row r="331" spans="2:7" x14ac:dyDescent="0.2">
      <c r="B331" s="14">
        <f t="shared" si="25"/>
        <v>9.9658030464432645</v>
      </c>
      <c r="C331" s="14">
        <f t="shared" si="24"/>
        <v>5.0341969535567355</v>
      </c>
      <c r="D331" s="8">
        <f t="shared" si="29"/>
        <v>36.200000000000244</v>
      </c>
      <c r="E331" s="14">
        <f t="shared" si="26"/>
        <v>21.425789524172366</v>
      </c>
      <c r="F331" s="14">
        <f t="shared" si="27"/>
        <v>21.425917314456409</v>
      </c>
      <c r="G331" s="14">
        <f t="shared" si="28"/>
        <v>21.425917314456417</v>
      </c>
    </row>
    <row r="332" spans="2:7" x14ac:dyDescent="0.2">
      <c r="B332" s="14">
        <f t="shared" si="25"/>
        <v>9.9704595454393186</v>
      </c>
      <c r="C332" s="14">
        <f t="shared" si="24"/>
        <v>5.0295404545606814</v>
      </c>
      <c r="D332" s="8">
        <f t="shared" si="29"/>
        <v>36.300000000000246</v>
      </c>
      <c r="E332" s="14">
        <f t="shared" si="26"/>
        <v>21.524778863558641</v>
      </c>
      <c r="F332" s="14">
        <f t="shared" si="27"/>
        <v>21.524906453154205</v>
      </c>
      <c r="G332" s="14">
        <f t="shared" si="28"/>
        <v>21.524906453154209</v>
      </c>
    </row>
    <row r="333" spans="2:7" x14ac:dyDescent="0.2">
      <c r="B333" s="14">
        <f t="shared" si="25"/>
        <v>9.9750946633870559</v>
      </c>
      <c r="C333" s="14">
        <f t="shared" si="24"/>
        <v>5.0249053366129441</v>
      </c>
      <c r="D333" s="8">
        <f t="shared" si="29"/>
        <v>36.400000000000247</v>
      </c>
      <c r="E333" s="14">
        <f t="shared" si="26"/>
        <v>21.623914478859458</v>
      </c>
      <c r="F333" s="14">
        <f t="shared" si="27"/>
        <v>21.624041868545063</v>
      </c>
      <c r="G333" s="14">
        <f t="shared" si="28"/>
        <v>21.624041868545063</v>
      </c>
    </row>
    <row r="334" spans="2:7" x14ac:dyDescent="0.2">
      <c r="B334" s="14">
        <f t="shared" si="25"/>
        <v>9.9797085646303412</v>
      </c>
      <c r="C334" s="14">
        <f t="shared" si="24"/>
        <v>5.0202914353696588</v>
      </c>
      <c r="D334" s="8">
        <f t="shared" si="29"/>
        <v>36.500000000000249</v>
      </c>
      <c r="E334" s="14">
        <f t="shared" si="26"/>
        <v>21.723196068984944</v>
      </c>
      <c r="F334" s="14">
        <f t="shared" si="27"/>
        <v>21.723323259539892</v>
      </c>
      <c r="G334" s="14">
        <f t="shared" si="28"/>
        <v>21.723323259539882</v>
      </c>
    </row>
    <row r="335" spans="2:7" x14ac:dyDescent="0.2">
      <c r="B335" s="14">
        <f t="shared" si="25"/>
        <v>9.9843014117570874</v>
      </c>
      <c r="C335" s="14">
        <f t="shared" si="24"/>
        <v>5.0156985882429126</v>
      </c>
      <c r="D335" s="8">
        <f t="shared" si="29"/>
        <v>36.60000000000025</v>
      </c>
      <c r="E335" s="14">
        <f t="shared" si="26"/>
        <v>21.8226233342507</v>
      </c>
      <c r="F335" s="14">
        <f t="shared" si="27"/>
        <v>21.822750326423705</v>
      </c>
      <c r="G335" s="14">
        <f t="shared" si="28"/>
        <v>21.822750326423673</v>
      </c>
    </row>
    <row r="336" spans="2:7" x14ac:dyDescent="0.2">
      <c r="B336" s="14">
        <f t="shared" si="25"/>
        <v>9.9888733656231761</v>
      </c>
      <c r="C336" s="14">
        <f t="shared" si="24"/>
        <v>5.0111266343768239</v>
      </c>
      <c r="D336" s="8">
        <f t="shared" si="29"/>
        <v>36.700000000000252</v>
      </c>
      <c r="E336" s="14">
        <f t="shared" si="26"/>
        <v>21.922195976271933</v>
      </c>
      <c r="F336" s="14">
        <f t="shared" si="27"/>
        <v>21.922322770845764</v>
      </c>
      <c r="G336" s="14">
        <f t="shared" si="28"/>
        <v>21.922322770845781</v>
      </c>
    </row>
    <row r="337" spans="2:7" x14ac:dyDescent="0.2">
      <c r="B337" s="14">
        <f t="shared" si="25"/>
        <v>9.9934245853760295</v>
      </c>
      <c r="C337" s="14">
        <f t="shared" si="24"/>
        <v>5.0065754146239705</v>
      </c>
      <c r="D337" s="8">
        <f t="shared" si="29"/>
        <v>36.800000000000253</v>
      </c>
      <c r="E337" s="14">
        <f t="shared" si="26"/>
        <v>22.021913698066566</v>
      </c>
      <c r="F337" s="14">
        <f t="shared" si="27"/>
        <v>22.022040295810239</v>
      </c>
      <c r="G337" s="14">
        <f t="shared" si="28"/>
        <v>22.022040295810225</v>
      </c>
    </row>
    <row r="338" spans="2:7" x14ac:dyDescent="0.2">
      <c r="B338" s="14">
        <f t="shared" si="25"/>
        <v>9.9979552284777</v>
      </c>
      <c r="C338" s="14">
        <f t="shared" si="24"/>
        <v>5.0020447715223</v>
      </c>
      <c r="D338" s="8">
        <f t="shared" si="29"/>
        <v>36.900000000000254</v>
      </c>
      <c r="E338" s="14">
        <f t="shared" si="26"/>
        <v>22.121776204006309</v>
      </c>
      <c r="F338" s="14">
        <f t="shared" si="27"/>
        <v>22.121902605666151</v>
      </c>
      <c r="G338" s="14">
        <f t="shared" si="28"/>
        <v>22.12190260566614</v>
      </c>
    </row>
    <row r="339" spans="2:7" x14ac:dyDescent="0.2">
      <c r="B339" s="14">
        <f t="shared" si="25"/>
        <v>10.002465450727691</v>
      </c>
      <c r="C339" s="14">
        <f t="shared" ref="C339:C402" si="30">$C$14-B339</f>
        <v>4.9975345492723093</v>
      </c>
      <c r="D339" s="8">
        <f t="shared" si="29"/>
        <v>37.000000000000256</v>
      </c>
      <c r="E339" s="14">
        <f t="shared" si="26"/>
        <v>22.221783199780308</v>
      </c>
      <c r="F339" s="14">
        <f t="shared" si="27"/>
        <v>22.22190940609833</v>
      </c>
      <c r="G339" s="14">
        <f t="shared" si="28"/>
        <v>22.221909406098291</v>
      </c>
    </row>
    <row r="340" spans="2:7" x14ac:dyDescent="0.2">
      <c r="B340" s="14">
        <f t="shared" ref="B340:B403" si="31">$C$14*(LN(D340)-LN($F$14))/(1+LN(D340)-LN($F$14))</f>
        <v>10.006955406285302</v>
      </c>
      <c r="C340" s="14">
        <f t="shared" si="30"/>
        <v>4.9930445937146981</v>
      </c>
      <c r="D340" s="8">
        <f t="shared" si="29"/>
        <v>37.100000000000257</v>
      </c>
      <c r="E340" s="14">
        <f t="shared" ref="E340:E403" si="32">(D341-D339)/(B341-B339)</f>
        <v>22.321934392384719</v>
      </c>
      <c r="F340" s="14">
        <f t="shared" ref="F340:F403" si="33">D340*$C$14/(C340*C340)</f>
        <v>22.322060404117664</v>
      </c>
      <c r="G340" s="14">
        <f t="shared" ref="G340:G403" si="34">D340*(1+LN(D340/$F$14))*(1+LN(D340/$F$14))/$C$14</f>
        <v>22.322060404117675</v>
      </c>
    </row>
    <row r="341" spans="2:7" x14ac:dyDescent="0.2">
      <c r="B341" s="14">
        <f t="shared" si="31"/>
        <v>10.011425247691713</v>
      </c>
      <c r="C341" s="14">
        <f t="shared" si="30"/>
        <v>4.9885747523082866</v>
      </c>
      <c r="D341" s="8">
        <f t="shared" ref="D341:D404" si="35">D340+0.1</f>
        <v>37.200000000000259</v>
      </c>
      <c r="E341" s="14">
        <f t="shared" si="32"/>
        <v>22.422229490157001</v>
      </c>
      <c r="F341" s="14">
        <f t="shared" si="33"/>
        <v>22.422355308052243</v>
      </c>
      <c r="G341" s="14">
        <f t="shared" si="34"/>
        <v>22.422355308052214</v>
      </c>
    </row>
    <row r="342" spans="2:7" x14ac:dyDescent="0.2">
      <c r="B342" s="14">
        <f t="shared" si="31"/>
        <v>10.015875125891588</v>
      </c>
      <c r="C342" s="14">
        <f t="shared" si="30"/>
        <v>4.9841248741084119</v>
      </c>
      <c r="D342" s="8">
        <f t="shared" si="35"/>
        <v>37.30000000000026</v>
      </c>
      <c r="E342" s="14">
        <f t="shared" si="32"/>
        <v>22.52266820276224</v>
      </c>
      <c r="F342" s="14">
        <f t="shared" si="33"/>
        <v>22.522793827537594</v>
      </c>
      <c r="G342" s="14">
        <f t="shared" si="34"/>
        <v>22.522793827537594</v>
      </c>
    </row>
    <row r="343" spans="2:7" x14ac:dyDescent="0.2">
      <c r="B343" s="14">
        <f t="shared" si="31"/>
        <v>10.020305190254446</v>
      </c>
      <c r="C343" s="14">
        <f t="shared" si="30"/>
        <v>4.9796948097455545</v>
      </c>
      <c r="D343" s="8">
        <f t="shared" si="35"/>
        <v>37.400000000000261</v>
      </c>
      <c r="E343" s="14">
        <f t="shared" si="32"/>
        <v>22.623250241086787</v>
      </c>
      <c r="F343" s="14">
        <f t="shared" si="33"/>
        <v>22.623375673508047</v>
      </c>
      <c r="G343" s="14">
        <f t="shared" si="34"/>
        <v>22.623375673508054</v>
      </c>
    </row>
    <row r="344" spans="2:7" x14ac:dyDescent="0.2">
      <c r="B344" s="14">
        <f t="shared" si="31"/>
        <v>10.024715588595607</v>
      </c>
      <c r="C344" s="14">
        <f t="shared" si="30"/>
        <v>4.9752844114043935</v>
      </c>
      <c r="D344" s="8">
        <f t="shared" si="35"/>
        <v>37.500000000000263</v>
      </c>
      <c r="E344" s="14">
        <f t="shared" si="32"/>
        <v>22.72397531742244</v>
      </c>
      <c r="F344" s="14">
        <f t="shared" si="33"/>
        <v>22.724100558187491</v>
      </c>
      <c r="G344" s="14">
        <f t="shared" si="34"/>
        <v>22.724100558187445</v>
      </c>
    </row>
    <row r="345" spans="2:7" x14ac:dyDescent="0.2">
      <c r="B345" s="14">
        <f t="shared" si="31"/>
        <v>10.029106467196806</v>
      </c>
      <c r="C345" s="14">
        <f t="shared" si="30"/>
        <v>4.9708935328031938</v>
      </c>
      <c r="D345" s="8">
        <f t="shared" si="35"/>
        <v>37.600000000000264</v>
      </c>
      <c r="E345" s="14">
        <f t="shared" si="32"/>
        <v>22.824843145250789</v>
      </c>
      <c r="F345" s="14">
        <f t="shared" si="33"/>
        <v>22.82496819508021</v>
      </c>
      <c r="G345" s="14">
        <f t="shared" si="34"/>
        <v>22.824968195080206</v>
      </c>
    </row>
    <row r="346" spans="2:7" x14ac:dyDescent="0.2">
      <c r="B346" s="14">
        <f t="shared" si="31"/>
        <v>10.033477970826549</v>
      </c>
      <c r="C346" s="14">
        <f t="shared" si="30"/>
        <v>4.9665220291734506</v>
      </c>
      <c r="D346" s="8">
        <f t="shared" si="35"/>
        <v>37.700000000000266</v>
      </c>
      <c r="E346" s="14">
        <f t="shared" si="32"/>
        <v>22.925853439320608</v>
      </c>
      <c r="F346" s="14">
        <f t="shared" si="33"/>
        <v>22.925978298962548</v>
      </c>
      <c r="G346" s="14">
        <f t="shared" si="34"/>
        <v>22.925978298962548</v>
      </c>
    </row>
    <row r="347" spans="2:7" x14ac:dyDescent="0.2">
      <c r="B347" s="14">
        <f t="shared" si="31"/>
        <v>10.03783024276003</v>
      </c>
      <c r="C347" s="14">
        <f t="shared" si="30"/>
        <v>4.9621697572399697</v>
      </c>
      <c r="D347" s="8">
        <f t="shared" si="35"/>
        <v>37.800000000000267</v>
      </c>
      <c r="E347" s="14">
        <f t="shared" si="32"/>
        <v>23.027005915711218</v>
      </c>
      <c r="F347" s="14">
        <f t="shared" si="33"/>
        <v>23.027130585873618</v>
      </c>
      <c r="G347" s="14">
        <f t="shared" si="34"/>
        <v>23.027130585873618</v>
      </c>
    </row>
    <row r="348" spans="2:7" x14ac:dyDescent="0.2">
      <c r="B348" s="14">
        <f t="shared" si="31"/>
        <v>10.042163424798815</v>
      </c>
      <c r="C348" s="14">
        <f t="shared" si="30"/>
        <v>4.9578365752011848</v>
      </c>
      <c r="D348" s="8">
        <f t="shared" si="35"/>
        <v>37.900000000000269</v>
      </c>
      <c r="E348" s="14">
        <f t="shared" si="32"/>
        <v>23.128300291732735</v>
      </c>
      <c r="F348" s="14">
        <f t="shared" si="33"/>
        <v>23.128424773106861</v>
      </c>
      <c r="G348" s="14">
        <f t="shared" si="34"/>
        <v>23.128424773106836</v>
      </c>
    </row>
    <row r="349" spans="2:7" x14ac:dyDescent="0.2">
      <c r="B349" s="14">
        <f t="shared" si="31"/>
        <v>10.046477657290163</v>
      </c>
      <c r="C349" s="14">
        <f t="shared" si="30"/>
        <v>4.9535223427098369</v>
      </c>
      <c r="D349" s="8">
        <f t="shared" si="35"/>
        <v>38.00000000000027</v>
      </c>
      <c r="E349" s="14">
        <f t="shared" si="32"/>
        <v>23.229736285901534</v>
      </c>
      <c r="F349" s="14">
        <f t="shared" si="33"/>
        <v>23.229860579201262</v>
      </c>
      <c r="G349" s="14">
        <f t="shared" si="34"/>
        <v>23.229860579201265</v>
      </c>
    </row>
    <row r="350" spans="2:7" x14ac:dyDescent="0.2">
      <c r="B350" s="14">
        <f t="shared" si="31"/>
        <v>10.050773079146092</v>
      </c>
      <c r="C350" s="14">
        <f t="shared" si="30"/>
        <v>4.9492269208539081</v>
      </c>
      <c r="D350" s="8">
        <f t="shared" si="35"/>
        <v>38.100000000000271</v>
      </c>
      <c r="E350" s="14">
        <f t="shared" si="32"/>
        <v>23.331313617990197</v>
      </c>
      <c r="F350" s="14">
        <f t="shared" si="33"/>
        <v>23.331437723933082</v>
      </c>
      <c r="G350" s="14">
        <f t="shared" si="34"/>
        <v>23.331437723933075</v>
      </c>
    </row>
    <row r="351" spans="2:7" x14ac:dyDescent="0.2">
      <c r="B351" s="14">
        <f t="shared" si="31"/>
        <v>10.055049827862067</v>
      </c>
      <c r="C351" s="14">
        <f t="shared" si="30"/>
        <v>4.9449501721379328</v>
      </c>
      <c r="D351" s="8">
        <f t="shared" si="35"/>
        <v>38.200000000000273</v>
      </c>
      <c r="E351" s="14">
        <f t="shared" si="32"/>
        <v>23.433032009029056</v>
      </c>
      <c r="F351" s="14">
        <f t="shared" si="33"/>
        <v>23.433155928307073</v>
      </c>
      <c r="G351" s="14">
        <f t="shared" si="34"/>
        <v>23.43315592830708</v>
      </c>
    </row>
    <row r="352" spans="2:7" x14ac:dyDescent="0.2">
      <c r="B352" s="14">
        <f t="shared" si="31"/>
        <v>10.059308039535466</v>
      </c>
      <c r="C352" s="14">
        <f t="shared" si="30"/>
        <v>4.9406919604645338</v>
      </c>
      <c r="D352" s="8">
        <f t="shared" si="35"/>
        <v>38.300000000000274</v>
      </c>
      <c r="E352" s="14">
        <f t="shared" si="32"/>
        <v>23.534891181250597</v>
      </c>
      <c r="F352" s="14">
        <f t="shared" si="33"/>
        <v>23.535014914548345</v>
      </c>
      <c r="G352" s="14">
        <f t="shared" si="34"/>
        <v>23.535014914548324</v>
      </c>
    </row>
    <row r="353" spans="2:7" x14ac:dyDescent="0.2">
      <c r="B353" s="14">
        <f t="shared" si="31"/>
        <v>10.063547848883696</v>
      </c>
      <c r="C353" s="14">
        <f t="shared" si="30"/>
        <v>4.9364521511163044</v>
      </c>
      <c r="D353" s="8">
        <f t="shared" si="35"/>
        <v>38.400000000000276</v>
      </c>
      <c r="E353" s="14">
        <f t="shared" si="32"/>
        <v>23.63689085809176</v>
      </c>
      <c r="F353" s="14">
        <f t="shared" si="33"/>
        <v>23.63701440609384</v>
      </c>
      <c r="G353" s="14">
        <f t="shared" si="34"/>
        <v>23.63701440609384</v>
      </c>
    </row>
    <row r="354" spans="2:7" x14ac:dyDescent="0.2">
      <c r="B354" s="14">
        <f t="shared" si="31"/>
        <v>10.067769389262075</v>
      </c>
      <c r="C354" s="14">
        <f t="shared" si="30"/>
        <v>4.9322306107379248</v>
      </c>
      <c r="D354" s="8">
        <f t="shared" si="35"/>
        <v>38.500000000000277</v>
      </c>
      <c r="E354" s="14">
        <f t="shared" si="32"/>
        <v>23.739030764176857</v>
      </c>
      <c r="F354" s="14">
        <f t="shared" si="33"/>
        <v>23.739154127584371</v>
      </c>
      <c r="G354" s="14">
        <f t="shared" si="34"/>
        <v>23.739154127584371</v>
      </c>
    </row>
    <row r="355" spans="2:7" x14ac:dyDescent="0.2">
      <c r="B355" s="14">
        <f t="shared" si="31"/>
        <v>10.071972792681393</v>
      </c>
      <c r="C355" s="14">
        <f t="shared" si="30"/>
        <v>4.9280272073186069</v>
      </c>
      <c r="D355" s="8">
        <f t="shared" si="35"/>
        <v>38.600000000000279</v>
      </c>
      <c r="E355" s="14">
        <f t="shared" si="32"/>
        <v>23.841310625370284</v>
      </c>
      <c r="F355" s="14">
        <f t="shared" si="33"/>
        <v>23.841433804856248</v>
      </c>
      <c r="G355" s="14">
        <f t="shared" si="34"/>
        <v>23.841433804856251</v>
      </c>
    </row>
    <row r="356" spans="2:7" x14ac:dyDescent="0.2">
      <c r="B356" s="14">
        <f t="shared" si="31"/>
        <v>10.076158189825211</v>
      </c>
      <c r="C356" s="14">
        <f t="shared" si="30"/>
        <v>4.9238418101747889</v>
      </c>
      <c r="D356" s="8">
        <f t="shared" si="35"/>
        <v>38.70000000000028</v>
      </c>
      <c r="E356" s="14">
        <f t="shared" si="32"/>
        <v>23.943730168683533</v>
      </c>
      <c r="F356" s="14">
        <f t="shared" si="33"/>
        <v>23.943853164933273</v>
      </c>
      <c r="G356" s="14">
        <f t="shared" si="34"/>
        <v>23.943853164933291</v>
      </c>
    </row>
    <row r="357" spans="2:7" x14ac:dyDescent="0.2">
      <c r="B357" s="14">
        <f t="shared" si="31"/>
        <v>10.080325710066905</v>
      </c>
      <c r="C357" s="14">
        <f t="shared" si="30"/>
        <v>4.919674289933095</v>
      </c>
      <c r="D357" s="8">
        <f t="shared" si="35"/>
        <v>38.800000000000281</v>
      </c>
      <c r="E357" s="14">
        <f t="shared" si="32"/>
        <v>24.046289122335235</v>
      </c>
      <c r="F357" s="14">
        <f t="shared" si="33"/>
        <v>24.046411936018817</v>
      </c>
      <c r="G357" s="14">
        <f t="shared" si="34"/>
        <v>24.046411936018821</v>
      </c>
    </row>
    <row r="358" spans="2:7" x14ac:dyDescent="0.2">
      <c r="B358" s="14">
        <f t="shared" si="31"/>
        <v>10.084475481486411</v>
      </c>
      <c r="C358" s="14">
        <f t="shared" si="30"/>
        <v>4.915524518513589</v>
      </c>
      <c r="D358" s="8">
        <f t="shared" si="35"/>
        <v>38.900000000000283</v>
      </c>
      <c r="E358" s="14">
        <f t="shared" si="32"/>
        <v>24.148987215703524</v>
      </c>
      <c r="F358" s="14">
        <f t="shared" si="33"/>
        <v>24.149109847487711</v>
      </c>
      <c r="G358" s="14">
        <f t="shared" si="34"/>
        <v>24.149109847487718</v>
      </c>
    </row>
    <row r="359" spans="2:7" x14ac:dyDescent="0.2">
      <c r="B359" s="14">
        <f t="shared" si="31"/>
        <v>10.088607630886754</v>
      </c>
      <c r="C359" s="14">
        <f t="shared" si="30"/>
        <v>4.9113923691132459</v>
      </c>
      <c r="D359" s="8">
        <f t="shared" si="35"/>
        <v>39.000000000000284</v>
      </c>
      <c r="E359" s="14">
        <f t="shared" si="32"/>
        <v>24.25182417932033</v>
      </c>
      <c r="F359" s="14">
        <f t="shared" si="33"/>
        <v>24.251946629878606</v>
      </c>
      <c r="G359" s="14">
        <f t="shared" si="34"/>
        <v>24.251946629878592</v>
      </c>
    </row>
    <row r="360" spans="2:7" x14ac:dyDescent="0.2">
      <c r="B360" s="14">
        <f t="shared" si="31"/>
        <v>10.092722283810277</v>
      </c>
      <c r="C360" s="14">
        <f t="shared" si="30"/>
        <v>4.9072777161897232</v>
      </c>
      <c r="D360" s="8">
        <f t="shared" si="35"/>
        <v>39.100000000000286</v>
      </c>
      <c r="E360" s="14">
        <f t="shared" si="32"/>
        <v>24.3547997449148</v>
      </c>
      <c r="F360" s="14">
        <f t="shared" si="33"/>
        <v>24.354922014885993</v>
      </c>
      <c r="G360" s="14">
        <f t="shared" si="34"/>
        <v>24.354922014885958</v>
      </c>
    </row>
    <row r="361" spans="2:7" x14ac:dyDescent="0.2">
      <c r="B361" s="14">
        <f t="shared" si="31"/>
        <v>10.096819564554645</v>
      </c>
      <c r="C361" s="14">
        <f t="shared" si="30"/>
        <v>4.9031804354453552</v>
      </c>
      <c r="D361" s="8">
        <f t="shared" si="35"/>
        <v>39.200000000000287</v>
      </c>
      <c r="E361" s="14">
        <f t="shared" si="32"/>
        <v>24.457913645295687</v>
      </c>
      <c r="F361" s="14">
        <f t="shared" si="33"/>
        <v>24.458035735352549</v>
      </c>
      <c r="G361" s="14">
        <f t="shared" si="34"/>
        <v>24.458035735352549</v>
      </c>
    </row>
    <row r="362" spans="2:7" x14ac:dyDescent="0.2">
      <c r="B362" s="14">
        <f t="shared" si="31"/>
        <v>10.100899596188615</v>
      </c>
      <c r="C362" s="14">
        <f t="shared" si="30"/>
        <v>4.899100403811385</v>
      </c>
      <c r="D362" s="8">
        <f t="shared" si="35"/>
        <v>39.300000000000288</v>
      </c>
      <c r="E362" s="14">
        <f t="shared" si="32"/>
        <v>24.561165614453543</v>
      </c>
      <c r="F362" s="14">
        <f t="shared" si="33"/>
        <v>24.561287525261687</v>
      </c>
      <c r="G362" s="14">
        <f t="shared" si="34"/>
        <v>24.561287525261669</v>
      </c>
    </row>
    <row r="363" spans="2:7" x14ac:dyDescent="0.2">
      <c r="B363" s="14">
        <f t="shared" si="31"/>
        <v>10.104962500567515</v>
      </c>
      <c r="C363" s="14">
        <f t="shared" si="30"/>
        <v>4.895037499432485</v>
      </c>
      <c r="D363" s="8">
        <f t="shared" si="35"/>
        <v>39.40000000000029</v>
      </c>
      <c r="E363" s="14">
        <f t="shared" si="32"/>
        <v>24.664555387544244</v>
      </c>
      <c r="F363" s="14">
        <f t="shared" si="33"/>
        <v>24.664677119729618</v>
      </c>
      <c r="G363" s="14">
        <f t="shared" si="34"/>
        <v>24.664677119729582</v>
      </c>
    </row>
    <row r="364" spans="2:7" x14ac:dyDescent="0.2">
      <c r="B364" s="14">
        <f t="shared" si="31"/>
        <v>10.109008398348536</v>
      </c>
      <c r="C364" s="14">
        <f t="shared" si="30"/>
        <v>4.8909916016514643</v>
      </c>
      <c r="D364" s="8">
        <f t="shared" si="35"/>
        <v>39.500000000000291</v>
      </c>
      <c r="E364" s="14">
        <f t="shared" si="32"/>
        <v>24.76808270077322</v>
      </c>
      <c r="F364" s="14">
        <f t="shared" si="33"/>
        <v>24.7682042549981</v>
      </c>
      <c r="G364" s="14">
        <f t="shared" si="34"/>
        <v>24.768204254998082</v>
      </c>
    </row>
    <row r="365" spans="2:7" x14ac:dyDescent="0.2">
      <c r="B365" s="14">
        <f t="shared" si="31"/>
        <v>10.113037409005775</v>
      </c>
      <c r="C365" s="14">
        <f t="shared" si="30"/>
        <v>4.8869625909942247</v>
      </c>
      <c r="D365" s="8">
        <f t="shared" si="35"/>
        <v>39.600000000000293</v>
      </c>
      <c r="E365" s="14">
        <f t="shared" si="32"/>
        <v>24.871747291531193</v>
      </c>
      <c r="F365" s="14">
        <f t="shared" si="33"/>
        <v>24.871868668427009</v>
      </c>
      <c r="G365" s="14">
        <f t="shared" si="34"/>
        <v>24.871868668426966</v>
      </c>
    </row>
    <row r="366" spans="2:7" x14ac:dyDescent="0.2">
      <c r="B366" s="14">
        <f t="shared" si="31"/>
        <v>10.117049650845022</v>
      </c>
      <c r="C366" s="14">
        <f t="shared" si="30"/>
        <v>4.8829503491549779</v>
      </c>
      <c r="D366" s="8">
        <f t="shared" si="35"/>
        <v>39.700000000000294</v>
      </c>
      <c r="E366" s="14">
        <f t="shared" si="32"/>
        <v>24.975548898286128</v>
      </c>
      <c r="F366" s="14">
        <f t="shared" si="33"/>
        <v>24.97567009848672</v>
      </c>
      <c r="G366" s="14">
        <f t="shared" si="34"/>
        <v>24.975670098486717</v>
      </c>
    </row>
    <row r="367" spans="2:7" x14ac:dyDescent="0.2">
      <c r="B367" s="14">
        <f t="shared" si="31"/>
        <v>10.121045241018377</v>
      </c>
      <c r="C367" s="14">
        <f t="shared" si="30"/>
        <v>4.8789547589816227</v>
      </c>
      <c r="D367" s="8">
        <f t="shared" si="35"/>
        <v>39.800000000000296</v>
      </c>
      <c r="E367" s="14">
        <f t="shared" si="32"/>
        <v>25.079487260573824</v>
      </c>
      <c r="F367" s="14">
        <f t="shared" si="33"/>
        <v>25.07960828475116</v>
      </c>
      <c r="G367" s="14">
        <f t="shared" si="34"/>
        <v>25.079608284751167</v>
      </c>
    </row>
    <row r="368" spans="2:7" x14ac:dyDescent="0.2">
      <c r="B368" s="14">
        <f t="shared" si="31"/>
        <v>10.125024295538593</v>
      </c>
      <c r="C368" s="14">
        <f t="shared" si="30"/>
        <v>4.8749757044614075</v>
      </c>
      <c r="D368" s="8">
        <f t="shared" si="35"/>
        <v>39.900000000000297</v>
      </c>
      <c r="E368" s="14">
        <f t="shared" si="32"/>
        <v>25.183562119143303</v>
      </c>
      <c r="F368" s="14">
        <f t="shared" si="33"/>
        <v>25.183682967890316</v>
      </c>
      <c r="G368" s="14">
        <f t="shared" si="34"/>
        <v>25.18368296789027</v>
      </c>
    </row>
    <row r="369" spans="2:7" x14ac:dyDescent="0.2">
      <c r="B369" s="14">
        <f t="shared" si="31"/>
        <v>10.128986929293205</v>
      </c>
      <c r="C369" s="14">
        <f t="shared" si="30"/>
        <v>4.8710130707067947</v>
      </c>
      <c r="D369" s="8">
        <f t="shared" si="35"/>
        <v>40.000000000000298</v>
      </c>
      <c r="E369" s="14">
        <f t="shared" si="32"/>
        <v>25.287773215720183</v>
      </c>
      <c r="F369" s="14">
        <f t="shared" si="33"/>
        <v>25.287893889662936</v>
      </c>
      <c r="G369" s="14">
        <f t="shared" si="34"/>
        <v>25.287893889662936</v>
      </c>
    </row>
    <row r="370" spans="2:7" x14ac:dyDescent="0.2">
      <c r="B370" s="14">
        <f t="shared" si="31"/>
        <v>10.13293325605852</v>
      </c>
      <c r="C370" s="14">
        <f t="shared" si="30"/>
        <v>4.8670667439414803</v>
      </c>
      <c r="D370" s="8">
        <f t="shared" si="35"/>
        <v>40.1000000000003</v>
      </c>
      <c r="E370" s="14">
        <f t="shared" si="32"/>
        <v>25.392120293121032</v>
      </c>
      <c r="F370" s="14">
        <f t="shared" si="33"/>
        <v>25.392240792909902</v>
      </c>
      <c r="G370" s="14">
        <f t="shared" si="34"/>
        <v>25.392240792909888</v>
      </c>
    </row>
    <row r="371" spans="2:7" x14ac:dyDescent="0.2">
      <c r="B371" s="14">
        <f t="shared" si="31"/>
        <v>10.13686338851328</v>
      </c>
      <c r="C371" s="14">
        <f t="shared" si="30"/>
        <v>4.8631366114867198</v>
      </c>
      <c r="D371" s="8">
        <f t="shared" si="35"/>
        <v>40.200000000000301</v>
      </c>
      <c r="E371" s="14">
        <f t="shared" si="32"/>
        <v>25.496603095311634</v>
      </c>
      <c r="F371" s="14">
        <f t="shared" si="33"/>
        <v>25.496723421546644</v>
      </c>
      <c r="G371" s="14">
        <f t="shared" si="34"/>
        <v>25.49672342154663</v>
      </c>
    </row>
    <row r="372" spans="2:7" x14ac:dyDescent="0.2">
      <c r="B372" s="14">
        <f t="shared" si="31"/>
        <v>10.140777438252217</v>
      </c>
      <c r="C372" s="14">
        <f t="shared" si="30"/>
        <v>4.8592225617477833</v>
      </c>
      <c r="D372" s="8">
        <f t="shared" si="35"/>
        <v>40.300000000000303</v>
      </c>
      <c r="E372" s="14">
        <f t="shared" si="32"/>
        <v>25.601221367236395</v>
      </c>
      <c r="F372" s="14">
        <f t="shared" si="33"/>
        <v>25.601341520556463</v>
      </c>
      <c r="G372" s="14">
        <f t="shared" si="34"/>
        <v>25.60134152055647</v>
      </c>
    </row>
    <row r="373" spans="2:7" x14ac:dyDescent="0.2">
      <c r="B373" s="14">
        <f t="shared" si="31"/>
        <v>10.144675515799362</v>
      </c>
      <c r="C373" s="14">
        <f t="shared" si="30"/>
        <v>4.8553244842006382</v>
      </c>
      <c r="D373" s="8">
        <f t="shared" si="35"/>
        <v>40.400000000000304</v>
      </c>
      <c r="E373" s="14">
        <f t="shared" si="32"/>
        <v>25.705974854991997</v>
      </c>
      <c r="F373" s="14">
        <f t="shared" si="33"/>
        <v>25.706094835983585</v>
      </c>
      <c r="G373" s="14">
        <f t="shared" si="34"/>
        <v>25.706094835983549</v>
      </c>
    </row>
    <row r="374" spans="2:7" x14ac:dyDescent="0.2">
      <c r="B374" s="14">
        <f t="shared" si="31"/>
        <v>10.148557730621139</v>
      </c>
      <c r="C374" s="14">
        <f t="shared" si="30"/>
        <v>4.851442269378861</v>
      </c>
      <c r="D374" s="8">
        <f t="shared" si="35"/>
        <v>40.500000000000306</v>
      </c>
      <c r="E374" s="14">
        <f t="shared" si="32"/>
        <v>25.810863305654863</v>
      </c>
      <c r="F374" s="14">
        <f t="shared" si="33"/>
        <v>25.810983114926017</v>
      </c>
      <c r="G374" s="14">
        <f t="shared" si="34"/>
        <v>25.810983114926032</v>
      </c>
    </row>
    <row r="375" spans="2:7" x14ac:dyDescent="0.2">
      <c r="B375" s="14">
        <f t="shared" si="31"/>
        <v>10.152424191139337</v>
      </c>
      <c r="C375" s="14">
        <f t="shared" si="30"/>
        <v>4.8475758088606629</v>
      </c>
      <c r="D375" s="8">
        <f t="shared" si="35"/>
        <v>40.600000000000307</v>
      </c>
      <c r="E375" s="14">
        <f t="shared" si="32"/>
        <v>25.915886467344269</v>
      </c>
      <c r="F375" s="14">
        <f t="shared" si="33"/>
        <v>25.916006105529256</v>
      </c>
      <c r="G375" s="14">
        <f t="shared" si="34"/>
        <v>25.916006105529259</v>
      </c>
    </row>
    <row r="376" spans="2:7" x14ac:dyDescent="0.2">
      <c r="B376" s="14">
        <f t="shared" si="31"/>
        <v>10.15627500474379</v>
      </c>
      <c r="C376" s="14">
        <f t="shared" si="30"/>
        <v>4.8437249952562098</v>
      </c>
      <c r="D376" s="8">
        <f t="shared" si="35"/>
        <v>40.700000000000308</v>
      </c>
      <c r="E376" s="14">
        <f t="shared" si="32"/>
        <v>26.021044089293838</v>
      </c>
      <c r="F376" s="14">
        <f t="shared" si="33"/>
        <v>26.021163556979037</v>
      </c>
      <c r="G376" s="14">
        <f t="shared" si="34"/>
        <v>26.021163556979037</v>
      </c>
    </row>
    <row r="377" spans="2:7" x14ac:dyDescent="0.2">
      <c r="B377" s="14">
        <f t="shared" si="31"/>
        <v>10.160110277804948</v>
      </c>
      <c r="C377" s="14">
        <f t="shared" si="30"/>
        <v>4.8398897221950516</v>
      </c>
      <c r="D377" s="8">
        <f t="shared" si="35"/>
        <v>40.80000000000031</v>
      </c>
      <c r="E377" s="14">
        <f t="shared" si="32"/>
        <v>26.12633592170091</v>
      </c>
      <c r="F377" s="14">
        <f t="shared" si="33"/>
        <v>26.126455219494918</v>
      </c>
      <c r="G377" s="14">
        <f t="shared" si="34"/>
        <v>26.126455219494911</v>
      </c>
    </row>
    <row r="378" spans="2:7" x14ac:dyDescent="0.2">
      <c r="B378" s="14">
        <f t="shared" si="31"/>
        <v>10.163930115686227</v>
      </c>
      <c r="C378" s="14">
        <f t="shared" si="30"/>
        <v>4.8360698843137726</v>
      </c>
      <c r="D378" s="8">
        <f t="shared" si="35"/>
        <v>40.900000000000311</v>
      </c>
      <c r="E378" s="14">
        <f t="shared" si="32"/>
        <v>26.231761715841799</v>
      </c>
      <c r="F378" s="14">
        <f t="shared" si="33"/>
        <v>26.231880844323616</v>
      </c>
      <c r="G378" s="14">
        <f t="shared" si="34"/>
        <v>26.231880844323584</v>
      </c>
    </row>
    <row r="379" spans="2:7" x14ac:dyDescent="0.2">
      <c r="B379" s="14">
        <f t="shared" si="31"/>
        <v>10.167734622756177</v>
      </c>
      <c r="C379" s="14">
        <f t="shared" si="30"/>
        <v>4.8322653772438233</v>
      </c>
      <c r="D379" s="8">
        <f t="shared" si="35"/>
        <v>41.000000000000313</v>
      </c>
      <c r="E379" s="14">
        <f t="shared" si="32"/>
        <v>26.337321223968644</v>
      </c>
      <c r="F379" s="14">
        <f t="shared" si="33"/>
        <v>26.337440183732305</v>
      </c>
      <c r="G379" s="14">
        <f t="shared" si="34"/>
        <v>26.337440183732291</v>
      </c>
    </row>
    <row r="380" spans="2:7" x14ac:dyDescent="0.2">
      <c r="B380" s="14">
        <f t="shared" si="31"/>
        <v>10.171523902400496</v>
      </c>
      <c r="C380" s="14">
        <f t="shared" si="30"/>
        <v>4.8284760975995038</v>
      </c>
      <c r="D380" s="8">
        <f t="shared" si="35"/>
        <v>41.100000000000314</v>
      </c>
      <c r="E380" s="14">
        <f t="shared" si="32"/>
        <v>26.443014199353829</v>
      </c>
      <c r="F380" s="14">
        <f t="shared" si="33"/>
        <v>26.443132991002358</v>
      </c>
      <c r="G380" s="14">
        <f t="shared" si="34"/>
        <v>26.443132991002344</v>
      </c>
    </row>
    <row r="381" spans="2:7" x14ac:dyDescent="0.2">
      <c r="B381" s="14">
        <f t="shared" si="31"/>
        <v>10.175298057033835</v>
      </c>
      <c r="C381" s="14">
        <f t="shared" si="30"/>
        <v>4.8247019429661648</v>
      </c>
      <c r="D381" s="8">
        <f t="shared" si="35"/>
        <v>41.200000000000315</v>
      </c>
      <c r="E381" s="14">
        <f t="shared" si="32"/>
        <v>26.54884039630209</v>
      </c>
      <c r="F381" s="14">
        <f t="shared" si="33"/>
        <v>26.54895902042264</v>
      </c>
      <c r="G381" s="14">
        <f t="shared" si="34"/>
        <v>26.548959020422618</v>
      </c>
    </row>
    <row r="382" spans="2:7" x14ac:dyDescent="0.2">
      <c r="B382" s="14">
        <f t="shared" si="31"/>
        <v>10.179057188111456</v>
      </c>
      <c r="C382" s="14">
        <f t="shared" si="30"/>
        <v>4.8209428118885445</v>
      </c>
      <c r="D382" s="8">
        <f t="shared" si="35"/>
        <v>41.300000000000317</v>
      </c>
      <c r="E382" s="14">
        <f t="shared" si="32"/>
        <v>26.654799570134383</v>
      </c>
      <c r="F382" s="14">
        <f t="shared" si="33"/>
        <v>26.654918027283266</v>
      </c>
      <c r="G382" s="14">
        <f t="shared" si="34"/>
        <v>26.654918027283212</v>
      </c>
    </row>
    <row r="383" spans="2:7" x14ac:dyDescent="0.2">
      <c r="B383" s="14">
        <f t="shared" si="31"/>
        <v>10.182801396140691</v>
      </c>
      <c r="C383" s="14">
        <f t="shared" si="30"/>
        <v>4.8171986038593086</v>
      </c>
      <c r="D383" s="8">
        <f t="shared" si="35"/>
        <v>41.400000000000318</v>
      </c>
      <c r="E383" s="14">
        <f t="shared" si="32"/>
        <v>26.760891477090496</v>
      </c>
      <c r="F383" s="14">
        <f t="shared" si="33"/>
        <v>26.761009767869041</v>
      </c>
      <c r="G383" s="14">
        <f t="shared" si="34"/>
        <v>26.761009767869041</v>
      </c>
    </row>
    <row r="384" spans="2:7" x14ac:dyDescent="0.2">
      <c r="B384" s="14">
        <f t="shared" si="31"/>
        <v>10.186530780692301</v>
      </c>
      <c r="C384" s="14">
        <f t="shared" si="30"/>
        <v>4.8134692193076987</v>
      </c>
      <c r="D384" s="8">
        <f t="shared" si="35"/>
        <v>41.50000000000032</v>
      </c>
      <c r="E384" s="14">
        <f t="shared" si="32"/>
        <v>26.867115874472514</v>
      </c>
      <c r="F384" s="14">
        <f t="shared" si="33"/>
        <v>26.867233999453632</v>
      </c>
      <c r="G384" s="14">
        <f t="shared" si="34"/>
        <v>26.867233999453585</v>
      </c>
    </row>
    <row r="385" spans="2:7" x14ac:dyDescent="0.2">
      <c r="B385" s="14">
        <f t="shared" si="31"/>
        <v>10.190245440411555</v>
      </c>
      <c r="C385" s="14">
        <f t="shared" si="30"/>
        <v>4.8097545595884448</v>
      </c>
      <c r="D385" s="8">
        <f t="shared" si="35"/>
        <v>41.600000000000321</v>
      </c>
      <c r="E385" s="14">
        <f t="shared" si="32"/>
        <v>26.97347252055113</v>
      </c>
      <c r="F385" s="14">
        <f t="shared" si="33"/>
        <v>26.973590480292632</v>
      </c>
      <c r="G385" s="14">
        <f t="shared" si="34"/>
        <v>26.973590480292646</v>
      </c>
    </row>
    <row r="386" spans="2:7" x14ac:dyDescent="0.2">
      <c r="B386" s="14">
        <f t="shared" si="31"/>
        <v>10.193945473029286</v>
      </c>
      <c r="C386" s="14">
        <f t="shared" si="30"/>
        <v>4.8060545269707138</v>
      </c>
      <c r="D386" s="8">
        <f t="shared" si="35"/>
        <v>41.700000000000323</v>
      </c>
      <c r="E386" s="14">
        <f t="shared" si="32"/>
        <v>27.079961174514082</v>
      </c>
      <c r="F386" s="14">
        <f t="shared" si="33"/>
        <v>27.080078969618135</v>
      </c>
      <c r="G386" s="14">
        <f t="shared" si="34"/>
        <v>27.080078969618139</v>
      </c>
    </row>
    <row r="387" spans="2:7" x14ac:dyDescent="0.2">
      <c r="B387" s="14">
        <f t="shared" si="31"/>
        <v>10.19763097537267</v>
      </c>
      <c r="C387" s="14">
        <f t="shared" si="30"/>
        <v>4.8023690246273301</v>
      </c>
      <c r="D387" s="8">
        <f t="shared" si="35"/>
        <v>41.800000000000324</v>
      </c>
      <c r="E387" s="14">
        <f t="shared" si="32"/>
        <v>27.186581596616321</v>
      </c>
      <c r="F387" s="14">
        <f t="shared" si="33"/>
        <v>27.186699227631994</v>
      </c>
      <c r="G387" s="14">
        <f t="shared" si="34"/>
        <v>27.186699227631994</v>
      </c>
    </row>
    <row r="388" spans="2:7" x14ac:dyDescent="0.2">
      <c r="B388" s="14">
        <f t="shared" si="31"/>
        <v>10.20130204337592</v>
      </c>
      <c r="C388" s="14">
        <f t="shared" si="30"/>
        <v>4.7986979566240802</v>
      </c>
      <c r="D388" s="8">
        <f t="shared" si="35"/>
        <v>41.900000000000325</v>
      </c>
      <c r="E388" s="14">
        <f t="shared" si="32"/>
        <v>27.293333548013464</v>
      </c>
      <c r="F388" s="14">
        <f t="shared" si="33"/>
        <v>27.293451015500072</v>
      </c>
      <c r="G388" s="14">
        <f t="shared" si="34"/>
        <v>27.293451015500064</v>
      </c>
    </row>
    <row r="389" spans="2:7" x14ac:dyDescent="0.2">
      <c r="B389" s="14">
        <f t="shared" si="31"/>
        <v>10.204958772090801</v>
      </c>
      <c r="C389" s="14">
        <f t="shared" si="30"/>
        <v>4.7950412279091985</v>
      </c>
      <c r="D389" s="8">
        <f t="shared" si="35"/>
        <v>42.000000000000327</v>
      </c>
      <c r="E389" s="14">
        <f t="shared" si="32"/>
        <v>27.400216790820551</v>
      </c>
      <c r="F389" s="14">
        <f t="shared" si="33"/>
        <v>27.400334095346096</v>
      </c>
      <c r="G389" s="14">
        <f t="shared" si="34"/>
        <v>27.400334095346089</v>
      </c>
    </row>
    <row r="390" spans="2:7" x14ac:dyDescent="0.2">
      <c r="B390" s="14">
        <f t="shared" si="31"/>
        <v>10.208601255697006</v>
      </c>
      <c r="C390" s="14">
        <f t="shared" si="30"/>
        <v>4.7913987443029935</v>
      </c>
      <c r="D390" s="8">
        <f t="shared" si="35"/>
        <v>42.100000000000328</v>
      </c>
      <c r="E390" s="14">
        <f t="shared" si="32"/>
        <v>27.50723108813952</v>
      </c>
      <c r="F390" s="14">
        <f t="shared" si="33"/>
        <v>27.507348230245768</v>
      </c>
      <c r="G390" s="14">
        <f t="shared" si="34"/>
        <v>27.507348230245732</v>
      </c>
    </row>
    <row r="391" spans="2:7" x14ac:dyDescent="0.2">
      <c r="B391" s="14">
        <f t="shared" si="31"/>
        <v>10.212229587512359</v>
      </c>
      <c r="C391" s="14">
        <f t="shared" si="30"/>
        <v>4.7877704124876406</v>
      </c>
      <c r="D391" s="8">
        <f t="shared" si="35"/>
        <v>42.20000000000033</v>
      </c>
      <c r="E391" s="14">
        <f t="shared" si="32"/>
        <v>27.614376203965211</v>
      </c>
      <c r="F391" s="14">
        <f t="shared" si="33"/>
        <v>27.614493184220667</v>
      </c>
      <c r="G391" s="14">
        <f t="shared" si="34"/>
        <v>27.61449318422066</v>
      </c>
    </row>
    <row r="392" spans="2:7" x14ac:dyDescent="0.2">
      <c r="B392" s="14">
        <f t="shared" si="31"/>
        <v>10.215843860002922</v>
      </c>
      <c r="C392" s="14">
        <f t="shared" si="30"/>
        <v>4.7841561399970782</v>
      </c>
      <c r="D392" s="8">
        <f t="shared" si="35"/>
        <v>42.300000000000331</v>
      </c>
      <c r="E392" s="14">
        <f t="shared" si="32"/>
        <v>27.721651903283576</v>
      </c>
      <c r="F392" s="14">
        <f t="shared" si="33"/>
        <v>27.721768722232685</v>
      </c>
      <c r="G392" s="14">
        <f t="shared" si="34"/>
        <v>27.721768722232635</v>
      </c>
    </row>
    <row r="393" spans="2:7" x14ac:dyDescent="0.2">
      <c r="B393" s="14">
        <f t="shared" si="31"/>
        <v>10.219444164792883</v>
      </c>
      <c r="C393" s="14">
        <f t="shared" si="30"/>
        <v>4.7805558352071174</v>
      </c>
      <c r="D393" s="8">
        <f t="shared" si="35"/>
        <v>42.400000000000333</v>
      </c>
      <c r="E393" s="14">
        <f t="shared" si="32"/>
        <v>27.829057951987181</v>
      </c>
      <c r="F393" s="14">
        <f t="shared" si="33"/>
        <v>27.829174610177752</v>
      </c>
      <c r="G393" s="14">
        <f t="shared" si="34"/>
        <v>27.829174610177741</v>
      </c>
    </row>
    <row r="394" spans="2:7" x14ac:dyDescent="0.2">
      <c r="B394" s="14">
        <f t="shared" si="31"/>
        <v>10.2230305926744</v>
      </c>
      <c r="C394" s="14">
        <f t="shared" si="30"/>
        <v>4.7769694073256002</v>
      </c>
      <c r="D394" s="8">
        <f t="shared" si="35"/>
        <v>42.500000000000334</v>
      </c>
      <c r="E394" s="14">
        <f t="shared" si="32"/>
        <v>27.936594116895598</v>
      </c>
      <c r="F394" s="14">
        <f t="shared" si="33"/>
        <v>27.936710614880599</v>
      </c>
      <c r="G394" s="14">
        <f t="shared" si="34"/>
        <v>27.936710614880564</v>
      </c>
    </row>
    <row r="395" spans="2:7" x14ac:dyDescent="0.2">
      <c r="B395" s="14">
        <f t="shared" si="31"/>
        <v>10.226603233617205</v>
      </c>
      <c r="C395" s="14">
        <f t="shared" si="30"/>
        <v>4.7733967663827954</v>
      </c>
      <c r="D395" s="8">
        <f t="shared" si="35"/>
        <v>42.600000000000335</v>
      </c>
      <c r="E395" s="14">
        <f t="shared" si="32"/>
        <v>28.044260165788316</v>
      </c>
      <c r="F395" s="14">
        <f t="shared" si="33"/>
        <v>28.044376504088479</v>
      </c>
      <c r="G395" s="14">
        <f t="shared" si="34"/>
        <v>28.044376504088465</v>
      </c>
    </row>
    <row r="396" spans="2:7" x14ac:dyDescent="0.2">
      <c r="B396" s="14">
        <f t="shared" si="31"/>
        <v>10.230162176778158</v>
      </c>
      <c r="C396" s="14">
        <f t="shared" si="30"/>
        <v>4.7698378232218417</v>
      </c>
      <c r="D396" s="8">
        <f t="shared" si="35"/>
        <v>42.700000000000337</v>
      </c>
      <c r="E396" s="14">
        <f t="shared" si="32"/>
        <v>28.15205586728862</v>
      </c>
      <c r="F396" s="14">
        <f t="shared" si="33"/>
        <v>28.152172046465932</v>
      </c>
      <c r="G396" s="14">
        <f t="shared" si="34"/>
        <v>28.152172046465921</v>
      </c>
    </row>
    <row r="397" spans="2:7" x14ac:dyDescent="0.2">
      <c r="B397" s="14">
        <f t="shared" si="31"/>
        <v>10.233707510510616</v>
      </c>
      <c r="C397" s="14">
        <f t="shared" si="30"/>
        <v>4.7662924894893841</v>
      </c>
      <c r="D397" s="8">
        <f t="shared" si="35"/>
        <v>42.800000000000338</v>
      </c>
      <c r="E397" s="14">
        <f t="shared" si="32"/>
        <v>28.259980991008423</v>
      </c>
      <c r="F397" s="14">
        <f t="shared" si="33"/>
        <v>28.260097011588929</v>
      </c>
      <c r="G397" s="14">
        <f t="shared" si="34"/>
        <v>28.260097011588911</v>
      </c>
    </row>
    <row r="398" spans="2:7" x14ac:dyDescent="0.2">
      <c r="B398" s="14">
        <f t="shared" si="31"/>
        <v>10.237239322373679</v>
      </c>
      <c r="C398" s="14">
        <f t="shared" si="30"/>
        <v>4.7627606776263214</v>
      </c>
      <c r="D398" s="8">
        <f t="shared" si="35"/>
        <v>42.90000000000034</v>
      </c>
      <c r="E398" s="14">
        <f t="shared" si="32"/>
        <v>28.368035307424719</v>
      </c>
      <c r="F398" s="14">
        <f t="shared" si="33"/>
        <v>28.368151169939271</v>
      </c>
      <c r="G398" s="14">
        <f t="shared" si="34"/>
        <v>28.368151169939271</v>
      </c>
    </row>
    <row r="399" spans="2:7" x14ac:dyDescent="0.2">
      <c r="B399" s="14">
        <f t="shared" si="31"/>
        <v>10.240757699141326</v>
      </c>
      <c r="C399" s="14">
        <f t="shared" si="30"/>
        <v>4.7592423008586735</v>
      </c>
      <c r="D399" s="8">
        <f t="shared" si="35"/>
        <v>43.000000000000341</v>
      </c>
      <c r="E399" s="14">
        <f t="shared" si="32"/>
        <v>28.476218587904857</v>
      </c>
      <c r="F399" s="14">
        <f t="shared" si="33"/>
        <v>28.476334292899185</v>
      </c>
      <c r="G399" s="14">
        <f t="shared" si="34"/>
        <v>28.476334292899192</v>
      </c>
    </row>
    <row r="400" spans="2:7" x14ac:dyDescent="0.2">
      <c r="B400" s="14">
        <f t="shared" si="31"/>
        <v>10.244262726811407</v>
      </c>
      <c r="C400" s="14">
        <f t="shared" si="30"/>
        <v>4.7557372731885934</v>
      </c>
      <c r="D400" s="8">
        <f t="shared" si="35"/>
        <v>43.100000000000342</v>
      </c>
      <c r="E400" s="14">
        <f t="shared" si="32"/>
        <v>28.584530604757767</v>
      </c>
      <c r="F400" s="14">
        <f t="shared" si="33"/>
        <v>28.584646152745744</v>
      </c>
      <c r="G400" s="14">
        <f t="shared" si="34"/>
        <v>28.584646152745741</v>
      </c>
    </row>
    <row r="401" spans="2:7" x14ac:dyDescent="0.2">
      <c r="B401" s="14">
        <f t="shared" si="31"/>
        <v>10.247754490614499</v>
      </c>
      <c r="C401" s="14">
        <f t="shared" si="30"/>
        <v>4.7522455093855012</v>
      </c>
      <c r="D401" s="8">
        <f t="shared" si="35"/>
        <v>43.200000000000344</v>
      </c>
      <c r="E401" s="14">
        <f t="shared" si="32"/>
        <v>28.692971131129358</v>
      </c>
      <c r="F401" s="14">
        <f t="shared" si="33"/>
        <v>28.693086522645359</v>
      </c>
      <c r="G401" s="14">
        <f t="shared" si="34"/>
        <v>28.693086522645373</v>
      </c>
    </row>
    <row r="402" spans="2:7" x14ac:dyDescent="0.2">
      <c r="B402" s="14">
        <f t="shared" si="31"/>
        <v>10.251233075022681</v>
      </c>
      <c r="C402" s="14">
        <f t="shared" si="30"/>
        <v>4.7487669249773194</v>
      </c>
      <c r="D402" s="8">
        <f t="shared" si="35"/>
        <v>43.300000000000345</v>
      </c>
      <c r="E402" s="14">
        <f t="shared" si="32"/>
        <v>28.801539941094426</v>
      </c>
      <c r="F402" s="14">
        <f t="shared" si="33"/>
        <v>28.801655176648588</v>
      </c>
      <c r="G402" s="14">
        <f t="shared" si="34"/>
        <v>28.801655176648548</v>
      </c>
    </row>
    <row r="403" spans="2:7" x14ac:dyDescent="0.2">
      <c r="B403" s="14">
        <f t="shared" si="31"/>
        <v>10.254698563758124</v>
      </c>
      <c r="C403" s="14">
        <f t="shared" ref="C403:C466" si="36">$C$14-B403</f>
        <v>4.7453014362418759</v>
      </c>
      <c r="D403" s="8">
        <f t="shared" si="35"/>
        <v>43.400000000000347</v>
      </c>
      <c r="E403" s="14">
        <f t="shared" si="32"/>
        <v>28.910236809584102</v>
      </c>
      <c r="F403" s="14">
        <f t="shared" si="33"/>
        <v>28.910351889684417</v>
      </c>
      <c r="G403" s="14">
        <f t="shared" si="34"/>
        <v>28.910351889684407</v>
      </c>
    </row>
    <row r="404" spans="2:7" x14ac:dyDescent="0.2">
      <c r="B404" s="14">
        <f t="shared" ref="B404:B467" si="37">$C$14*(LN(D404)-LN($F$14))/(1+LN(D404)-LN($F$14))</f>
        <v>10.258151039801637</v>
      </c>
      <c r="C404" s="14">
        <f t="shared" si="36"/>
        <v>4.7418489601983627</v>
      </c>
      <c r="D404" s="8">
        <f t="shared" si="35"/>
        <v>43.500000000000348</v>
      </c>
      <c r="E404" s="14">
        <f t="shared" ref="E404:E467" si="38">(D405-D403)/(B405-B403)</f>
        <v>29.019061512349175</v>
      </c>
      <c r="F404" s="14">
        <f t="shared" ref="F404:F467" si="39">D404*$C$14/(C404*C404)</f>
        <v>29.019176437555394</v>
      </c>
      <c r="G404" s="14">
        <f t="shared" ref="G404:G467" si="40">D404*(1+LN(D404/$F$14))*(1+LN(D404/$F$14))/$C$14</f>
        <v>29.019176437555391</v>
      </c>
    </row>
    <row r="405" spans="2:7" x14ac:dyDescent="0.2">
      <c r="B405" s="14">
        <f t="shared" si="37"/>
        <v>10.261590585401033</v>
      </c>
      <c r="C405" s="14">
        <f t="shared" si="36"/>
        <v>4.7384094145989675</v>
      </c>
      <c r="D405" s="8">
        <f t="shared" ref="D405:D468" si="41">D404+0.1</f>
        <v>43.60000000000035</v>
      </c>
      <c r="E405" s="14">
        <f t="shared" si="38"/>
        <v>29.128013826141753</v>
      </c>
      <c r="F405" s="14">
        <f t="shared" si="39"/>
        <v>29.128128596932072</v>
      </c>
      <c r="G405" s="14">
        <f t="shared" si="40"/>
        <v>29.128128596932005</v>
      </c>
    </row>
    <row r="406" spans="2:7" x14ac:dyDescent="0.2">
      <c r="B406" s="14">
        <f t="shared" si="37"/>
        <v>10.265017282079389</v>
      </c>
      <c r="C406" s="14">
        <f t="shared" si="36"/>
        <v>4.7349827179206105</v>
      </c>
      <c r="D406" s="8">
        <f t="shared" si="41"/>
        <v>43.700000000000351</v>
      </c>
      <c r="E406" s="14">
        <f t="shared" si="38"/>
        <v>29.237093528488799</v>
      </c>
      <c r="F406" s="14">
        <f t="shared" si="39"/>
        <v>29.237208145347655</v>
      </c>
      <c r="G406" s="14">
        <f t="shared" si="40"/>
        <v>29.237208145347616</v>
      </c>
    </row>
    <row r="407" spans="2:7" x14ac:dyDescent="0.2">
      <c r="B407" s="14">
        <f t="shared" si="37"/>
        <v>10.268431210643248</v>
      </c>
      <c r="C407" s="14">
        <f t="shared" si="36"/>
        <v>4.7315687893567517</v>
      </c>
      <c r="D407" s="8">
        <f t="shared" si="41"/>
        <v>43.800000000000352</v>
      </c>
      <c r="E407" s="14">
        <f t="shared" si="38"/>
        <v>29.346300397723915</v>
      </c>
      <c r="F407" s="14">
        <f t="shared" si="39"/>
        <v>29.346414861193225</v>
      </c>
      <c r="G407" s="14">
        <f t="shared" si="40"/>
        <v>29.346414861193221</v>
      </c>
    </row>
    <row r="408" spans="2:7" x14ac:dyDescent="0.2">
      <c r="B408" s="14">
        <f t="shared" si="37"/>
        <v>10.271832451190638</v>
      </c>
      <c r="C408" s="14">
        <f t="shared" si="36"/>
        <v>4.7281675488093615</v>
      </c>
      <c r="D408" s="8">
        <f t="shared" si="41"/>
        <v>43.900000000000354</v>
      </c>
      <c r="E408" s="14">
        <f t="shared" si="38"/>
        <v>29.455634213113704</v>
      </c>
      <c r="F408" s="14">
        <f t="shared" si="39"/>
        <v>29.455748523712323</v>
      </c>
      <c r="G408" s="14">
        <f t="shared" si="40"/>
        <v>29.455748523712323</v>
      </c>
    </row>
    <row r="409" spans="2:7" x14ac:dyDescent="0.2">
      <c r="B409" s="14">
        <f t="shared" si="37"/>
        <v>10.275221083119019</v>
      </c>
      <c r="C409" s="14">
        <f t="shared" si="36"/>
        <v>4.7247789168809806</v>
      </c>
      <c r="D409" s="8">
        <f t="shared" si="41"/>
        <v>44.000000000000355</v>
      </c>
      <c r="E409" s="14">
        <f t="shared" si="38"/>
        <v>29.56509475476502</v>
      </c>
      <c r="F409" s="14">
        <f t="shared" si="39"/>
        <v>29.565208912995875</v>
      </c>
      <c r="G409" s="14">
        <f t="shared" si="40"/>
        <v>29.565208912995878</v>
      </c>
    </row>
    <row r="410" spans="2:7" x14ac:dyDescent="0.2">
      <c r="B410" s="14">
        <f t="shared" si="37"/>
        <v>10.278597185133112</v>
      </c>
      <c r="C410" s="14">
        <f t="shared" si="36"/>
        <v>4.7214028148668881</v>
      </c>
      <c r="D410" s="8">
        <f t="shared" si="41"/>
        <v>44.100000000000357</v>
      </c>
      <c r="E410" s="14">
        <f t="shared" si="38"/>
        <v>29.674681803645239</v>
      </c>
      <c r="F410" s="14">
        <f t="shared" si="39"/>
        <v>29.674795809977145</v>
      </c>
      <c r="G410" s="14">
        <f t="shared" si="40"/>
        <v>29.674795809977116</v>
      </c>
    </row>
    <row r="411" spans="2:7" x14ac:dyDescent="0.2">
      <c r="B411" s="14">
        <f t="shared" si="37"/>
        <v>10.281960835252619</v>
      </c>
      <c r="C411" s="14">
        <f t="shared" si="36"/>
        <v>4.7180391647473812</v>
      </c>
      <c r="D411" s="8">
        <f t="shared" si="41"/>
        <v>44.200000000000358</v>
      </c>
      <c r="E411" s="14">
        <f t="shared" si="38"/>
        <v>29.784395141469272</v>
      </c>
      <c r="F411" s="14">
        <f t="shared" si="39"/>
        <v>29.784508996426656</v>
      </c>
      <c r="G411" s="14">
        <f t="shared" si="40"/>
        <v>29.784508996426659</v>
      </c>
    </row>
    <row r="412" spans="2:7" x14ac:dyDescent="0.2">
      <c r="B412" s="14">
        <f t="shared" si="37"/>
        <v>10.28531211081987</v>
      </c>
      <c r="C412" s="14">
        <f t="shared" si="36"/>
        <v>4.71468788918013</v>
      </c>
      <c r="D412" s="8">
        <f t="shared" si="41"/>
        <v>44.30000000000036</v>
      </c>
      <c r="E412" s="14">
        <f t="shared" si="38"/>
        <v>29.894234550890481</v>
      </c>
      <c r="F412" s="14">
        <f t="shared" si="39"/>
        <v>29.894348254947531</v>
      </c>
      <c r="G412" s="14">
        <f t="shared" si="40"/>
        <v>29.894348254947477</v>
      </c>
    </row>
    <row r="413" spans="2:7" x14ac:dyDescent="0.2">
      <c r="B413" s="14">
        <f t="shared" si="37"/>
        <v>10.28865108850729</v>
      </c>
      <c r="C413" s="14">
        <f t="shared" si="36"/>
        <v>4.7113489114927098</v>
      </c>
      <c r="D413" s="8">
        <f t="shared" si="41"/>
        <v>44.400000000000361</v>
      </c>
      <c r="E413" s="14">
        <f t="shared" si="38"/>
        <v>30.004199815339476</v>
      </c>
      <c r="F413" s="14">
        <f t="shared" si="39"/>
        <v>30.004313368969925</v>
      </c>
      <c r="G413" s="14">
        <f t="shared" si="40"/>
        <v>30.004313368969918</v>
      </c>
    </row>
    <row r="414" spans="2:7" x14ac:dyDescent="0.2">
      <c r="B414" s="14">
        <f t="shared" si="37"/>
        <v>10.291977844324876</v>
      </c>
      <c r="C414" s="14">
        <f t="shared" si="36"/>
        <v>4.7080221556751241</v>
      </c>
      <c r="D414" s="8">
        <f t="shared" si="41"/>
        <v>44.500000000000362</v>
      </c>
      <c r="E414" s="14">
        <f t="shared" si="38"/>
        <v>30.114290719007556</v>
      </c>
      <c r="F414" s="14">
        <f t="shared" si="39"/>
        <v>30.114404122746897</v>
      </c>
      <c r="G414" s="14">
        <f t="shared" si="40"/>
        <v>30.114404122746905</v>
      </c>
    </row>
    <row r="415" spans="2:7" x14ac:dyDescent="0.2">
      <c r="B415" s="14">
        <f t="shared" si="37"/>
        <v>10.295292453627464</v>
      </c>
      <c r="C415" s="14">
        <f t="shared" si="36"/>
        <v>4.7047075463725356</v>
      </c>
      <c r="D415" s="8">
        <f t="shared" si="41"/>
        <v>44.600000000000364</v>
      </c>
      <c r="E415" s="14">
        <f t="shared" si="38"/>
        <v>30.224507047030905</v>
      </c>
      <c r="F415" s="14">
        <f t="shared" si="39"/>
        <v>30.22462030134897</v>
      </c>
      <c r="G415" s="14">
        <f t="shared" si="40"/>
        <v>30.224620301348978</v>
      </c>
    </row>
    <row r="416" spans="2:7" x14ac:dyDescent="0.2">
      <c r="B416" s="14">
        <f t="shared" si="37"/>
        <v>10.29859499112197</v>
      </c>
      <c r="C416" s="14">
        <f t="shared" si="36"/>
        <v>4.7014050088780301</v>
      </c>
      <c r="D416" s="8">
        <f t="shared" si="41"/>
        <v>44.700000000000365</v>
      </c>
      <c r="E416" s="14">
        <f t="shared" si="38"/>
        <v>30.33484858527256</v>
      </c>
      <c r="F416" s="14">
        <f t="shared" si="39"/>
        <v>30.334961690659537</v>
      </c>
      <c r="G416" s="14">
        <f t="shared" si="40"/>
        <v>30.334961690659544</v>
      </c>
    </row>
    <row r="417" spans="2:7" x14ac:dyDescent="0.2">
      <c r="B417" s="14">
        <f t="shared" si="37"/>
        <v>10.301885530874506</v>
      </c>
      <c r="C417" s="14">
        <f t="shared" si="36"/>
        <v>4.6981144691254944</v>
      </c>
      <c r="D417" s="8">
        <f t="shared" si="41"/>
        <v>44.800000000000367</v>
      </c>
      <c r="E417" s="14">
        <f t="shared" si="38"/>
        <v>30.445315120446701</v>
      </c>
      <c r="F417" s="14">
        <f t="shared" si="39"/>
        <v>30.445428077370082</v>
      </c>
      <c r="G417" s="14">
        <f t="shared" si="40"/>
        <v>30.445428077370071</v>
      </c>
    </row>
    <row r="418" spans="2:7" x14ac:dyDescent="0.2">
      <c r="B418" s="14">
        <f t="shared" si="37"/>
        <v>10.3051641463174</v>
      </c>
      <c r="C418" s="14">
        <f t="shared" si="36"/>
        <v>4.6948358536825996</v>
      </c>
      <c r="D418" s="8">
        <f t="shared" si="41"/>
        <v>44.900000000000368</v>
      </c>
      <c r="E418" s="14">
        <f t="shared" si="38"/>
        <v>30.555906440038896</v>
      </c>
      <c r="F418" s="14">
        <f t="shared" si="39"/>
        <v>30.556019248975328</v>
      </c>
      <c r="G418" s="14">
        <f t="shared" si="40"/>
        <v>30.556019248975325</v>
      </c>
    </row>
    <row r="419" spans="2:7" x14ac:dyDescent="0.2">
      <c r="B419" s="14">
        <f t="shared" si="37"/>
        <v>10.308430910256147</v>
      </c>
      <c r="C419" s="14">
        <f t="shared" si="36"/>
        <v>4.6915690897438527</v>
      </c>
      <c r="D419" s="8">
        <f t="shared" si="41"/>
        <v>45.000000000000369</v>
      </c>
      <c r="E419" s="14">
        <f t="shared" si="38"/>
        <v>30.666622332337198</v>
      </c>
      <c r="F419" s="14">
        <f t="shared" si="39"/>
        <v>30.666734993768717</v>
      </c>
      <c r="G419" s="14">
        <f t="shared" si="40"/>
        <v>30.66673499376871</v>
      </c>
    </row>
    <row r="420" spans="2:7" x14ac:dyDescent="0.2">
      <c r="B420" s="14">
        <f t="shared" si="37"/>
        <v>10.311685894876227</v>
      </c>
      <c r="C420" s="14">
        <f t="shared" si="36"/>
        <v>4.6883141051237729</v>
      </c>
      <c r="D420" s="8">
        <f t="shared" si="41"/>
        <v>45.100000000000371</v>
      </c>
      <c r="E420" s="14">
        <f t="shared" si="38"/>
        <v>30.777462586428143</v>
      </c>
      <c r="F420" s="14">
        <f t="shared" si="39"/>
        <v>30.777575100837549</v>
      </c>
      <c r="G420" s="14">
        <f t="shared" si="40"/>
        <v>30.777575100837574</v>
      </c>
    </row>
    <row r="421" spans="2:7" x14ac:dyDescent="0.2">
      <c r="B421" s="14">
        <f t="shared" si="37"/>
        <v>10.314929171749874</v>
      </c>
      <c r="C421" s="14">
        <f t="shared" si="36"/>
        <v>4.6850708282501259</v>
      </c>
      <c r="D421" s="8">
        <f t="shared" si="41"/>
        <v>45.200000000000372</v>
      </c>
      <c r="E421" s="14">
        <f t="shared" si="38"/>
        <v>30.888426992197978</v>
      </c>
      <c r="F421" s="14">
        <f t="shared" si="39"/>
        <v>30.888539360058569</v>
      </c>
      <c r="G421" s="14">
        <f t="shared" si="40"/>
        <v>30.888539360058569</v>
      </c>
    </row>
    <row r="422" spans="2:7" x14ac:dyDescent="0.2">
      <c r="B422" s="14">
        <f t="shared" si="37"/>
        <v>10.318160811842718</v>
      </c>
      <c r="C422" s="14">
        <f t="shared" si="36"/>
        <v>4.6818391881572818</v>
      </c>
      <c r="D422" s="8">
        <f t="shared" si="41"/>
        <v>45.300000000000374</v>
      </c>
      <c r="E422" s="14">
        <f t="shared" si="38"/>
        <v>30.999515340322006</v>
      </c>
      <c r="F422" s="14">
        <f t="shared" si="39"/>
        <v>30.999627562093082</v>
      </c>
      <c r="G422" s="14">
        <f t="shared" si="40"/>
        <v>30.999627562093092</v>
      </c>
    </row>
    <row r="423" spans="2:7" x14ac:dyDescent="0.2">
      <c r="B423" s="14">
        <f t="shared" si="37"/>
        <v>10.321380885520375</v>
      </c>
      <c r="C423" s="14">
        <f t="shared" si="36"/>
        <v>4.6786191144796252</v>
      </c>
      <c r="D423" s="8">
        <f t="shared" si="41"/>
        <v>45.400000000000375</v>
      </c>
      <c r="E423" s="14">
        <f t="shared" si="38"/>
        <v>31.110727422241229</v>
      </c>
      <c r="F423" s="14">
        <f t="shared" si="39"/>
        <v>31.110839498382692</v>
      </c>
      <c r="G423" s="14">
        <f t="shared" si="40"/>
        <v>31.110839498382685</v>
      </c>
    </row>
    <row r="424" spans="2:7" x14ac:dyDescent="0.2">
      <c r="B424" s="14">
        <f t="shared" si="37"/>
        <v>10.324589462554917</v>
      </c>
      <c r="C424" s="14">
        <f t="shared" si="36"/>
        <v>4.6754105374450834</v>
      </c>
      <c r="D424" s="8">
        <f t="shared" si="41"/>
        <v>45.500000000000377</v>
      </c>
      <c r="E424" s="14">
        <f t="shared" si="38"/>
        <v>31.222063030160054</v>
      </c>
      <c r="F424" s="14">
        <f t="shared" si="39"/>
        <v>31.222174961144528</v>
      </c>
      <c r="G424" s="14">
        <f t="shared" si="40"/>
        <v>31.222174961144539</v>
      </c>
    </row>
    <row r="425" spans="2:7" x14ac:dyDescent="0.2">
      <c r="B425" s="14">
        <f t="shared" si="37"/>
        <v>10.327786612131291</v>
      </c>
      <c r="C425" s="14">
        <f t="shared" si="36"/>
        <v>4.6722133878687089</v>
      </c>
      <c r="D425" s="8">
        <f t="shared" si="41"/>
        <v>45.600000000000378</v>
      </c>
      <c r="E425" s="14">
        <f t="shared" si="38"/>
        <v>31.333521957065898</v>
      </c>
      <c r="F425" s="14">
        <f t="shared" si="39"/>
        <v>31.333633743367027</v>
      </c>
      <c r="G425" s="14">
        <f t="shared" si="40"/>
        <v>31.333633743367027</v>
      </c>
    </row>
    <row r="426" spans="2:7" x14ac:dyDescent="0.2">
      <c r="B426" s="14">
        <f t="shared" si="37"/>
        <v>10.330972402853618</v>
      </c>
      <c r="C426" s="14">
        <f t="shared" si="36"/>
        <v>4.6690275971463819</v>
      </c>
      <c r="D426" s="8">
        <f t="shared" si="41"/>
        <v>45.700000000000379</v>
      </c>
      <c r="E426" s="14">
        <f t="shared" si="38"/>
        <v>31.445103996745189</v>
      </c>
      <c r="F426" s="14">
        <f t="shared" si="39"/>
        <v>31.445215638805198</v>
      </c>
      <c r="G426" s="14">
        <f t="shared" si="40"/>
        <v>31.445215638805198</v>
      </c>
    </row>
    <row r="427" spans="2:7" x14ac:dyDescent="0.2">
      <c r="B427" s="14">
        <f t="shared" si="37"/>
        <v>10.334146902751437</v>
      </c>
      <c r="C427" s="14">
        <f t="shared" si="36"/>
        <v>4.6658530972485632</v>
      </c>
      <c r="D427" s="8">
        <f t="shared" si="41"/>
        <v>45.800000000000381</v>
      </c>
      <c r="E427" s="14">
        <f t="shared" si="38"/>
        <v>31.556808943689202</v>
      </c>
      <c r="F427" s="14">
        <f t="shared" si="39"/>
        <v>31.556920441976416</v>
      </c>
      <c r="G427" s="14">
        <f t="shared" si="40"/>
        <v>31.55692044197643</v>
      </c>
    </row>
    <row r="428" spans="2:7" x14ac:dyDescent="0.2">
      <c r="B428" s="14">
        <f t="shared" si="37"/>
        <v>10.337310179285858</v>
      </c>
      <c r="C428" s="14">
        <f t="shared" si="36"/>
        <v>4.6626898207141423</v>
      </c>
      <c r="D428" s="8">
        <f t="shared" si="41"/>
        <v>45.900000000000382</v>
      </c>
      <c r="E428" s="14">
        <f t="shared" si="38"/>
        <v>31.66863659318685</v>
      </c>
      <c r="F428" s="14">
        <f t="shared" si="39"/>
        <v>31.668747948155975</v>
      </c>
      <c r="G428" s="14">
        <f t="shared" si="40"/>
        <v>31.668747948155964</v>
      </c>
    </row>
    <row r="429" spans="2:7" x14ac:dyDescent="0.2">
      <c r="B429" s="14">
        <f t="shared" si="37"/>
        <v>10.340462299355629</v>
      </c>
      <c r="C429" s="14">
        <f t="shared" si="36"/>
        <v>4.6595377006443712</v>
      </c>
      <c r="D429" s="8">
        <f t="shared" si="41"/>
        <v>46.000000000000384</v>
      </c>
      <c r="E429" s="14">
        <f t="shared" si="38"/>
        <v>31.78058674128166</v>
      </c>
      <c r="F429" s="14">
        <f t="shared" si="39"/>
        <v>31.78069795337268</v>
      </c>
      <c r="G429" s="14">
        <f t="shared" si="40"/>
        <v>31.780697953372666</v>
      </c>
    </row>
    <row r="430" spans="2:7" x14ac:dyDescent="0.2">
      <c r="B430" s="14">
        <f t="shared" si="37"/>
        <v>10.343603329303136</v>
      </c>
      <c r="C430" s="14">
        <f t="shared" si="36"/>
        <v>4.6563966706968642</v>
      </c>
      <c r="D430" s="8">
        <f t="shared" si="41"/>
        <v>46.100000000000385</v>
      </c>
      <c r="E430" s="14">
        <f t="shared" si="38"/>
        <v>31.892659184739461</v>
      </c>
      <c r="F430" s="14">
        <f t="shared" si="39"/>
        <v>31.892770254404606</v>
      </c>
      <c r="G430" s="14">
        <f t="shared" si="40"/>
        <v>31.892770254404603</v>
      </c>
    </row>
    <row r="431" spans="2:7" x14ac:dyDescent="0.2">
      <c r="B431" s="14">
        <f t="shared" si="37"/>
        <v>10.346733334920318</v>
      </c>
      <c r="C431" s="14">
        <f t="shared" si="36"/>
        <v>4.6532666650796823</v>
      </c>
      <c r="D431" s="8">
        <f t="shared" si="41"/>
        <v>46.200000000000387</v>
      </c>
      <c r="E431" s="14">
        <f t="shared" si="38"/>
        <v>32.004853721054452</v>
      </c>
      <c r="F431" s="14">
        <f t="shared" si="39"/>
        <v>32.00496464877483</v>
      </c>
      <c r="G431" s="14">
        <f t="shared" si="40"/>
        <v>32.004964648774845</v>
      </c>
    </row>
    <row r="432" spans="2:7" x14ac:dyDescent="0.2">
      <c r="B432" s="14">
        <f t="shared" si="37"/>
        <v>10.349852381454511</v>
      </c>
      <c r="C432" s="14">
        <f t="shared" si="36"/>
        <v>4.6501476185454891</v>
      </c>
      <c r="D432" s="8">
        <f t="shared" si="41"/>
        <v>46.300000000000388</v>
      </c>
      <c r="E432" s="14">
        <f t="shared" si="38"/>
        <v>32.117170148559445</v>
      </c>
      <c r="F432" s="14">
        <f t="shared" si="39"/>
        <v>32.117280934747221</v>
      </c>
      <c r="G432" s="14">
        <f t="shared" si="40"/>
        <v>32.117280934747178</v>
      </c>
    </row>
    <row r="433" spans="2:7" x14ac:dyDescent="0.2">
      <c r="B433" s="14">
        <f t="shared" si="37"/>
        <v>10.352960533614191</v>
      </c>
      <c r="C433" s="14">
        <f t="shared" si="36"/>
        <v>4.6470394663858094</v>
      </c>
      <c r="D433" s="8">
        <f t="shared" si="41"/>
        <v>46.400000000000389</v>
      </c>
      <c r="E433" s="14">
        <f t="shared" si="38"/>
        <v>32.229608266248512</v>
      </c>
      <c r="F433" s="14">
        <f t="shared" si="39"/>
        <v>32.229718911321889</v>
      </c>
      <c r="G433" s="14">
        <f t="shared" si="40"/>
        <v>32.229718911321889</v>
      </c>
    </row>
    <row r="434" spans="2:7" x14ac:dyDescent="0.2">
      <c r="B434" s="14">
        <f t="shared" si="37"/>
        <v>10.356057855574699</v>
      </c>
      <c r="C434" s="14">
        <f t="shared" si="36"/>
        <v>4.6439421444253011</v>
      </c>
      <c r="D434" s="8">
        <f t="shared" si="41"/>
        <v>46.500000000000391</v>
      </c>
      <c r="E434" s="14">
        <f t="shared" si="38"/>
        <v>32.342167873780618</v>
      </c>
      <c r="F434" s="14">
        <f t="shared" si="39"/>
        <v>32.342278378231597</v>
      </c>
      <c r="G434" s="14">
        <f t="shared" si="40"/>
        <v>32.342278378231619</v>
      </c>
    </row>
    <row r="435" spans="2:7" x14ac:dyDescent="0.2">
      <c r="B435" s="14">
        <f t="shared" si="37"/>
        <v>10.359144410983838</v>
      </c>
      <c r="C435" s="14">
        <f t="shared" si="36"/>
        <v>4.6408555890161622</v>
      </c>
      <c r="D435" s="8">
        <f t="shared" si="41"/>
        <v>46.600000000000392</v>
      </c>
      <c r="E435" s="14">
        <f t="shared" si="38"/>
        <v>32.454848771654476</v>
      </c>
      <c r="F435" s="14">
        <f t="shared" si="39"/>
        <v>32.454959135937166</v>
      </c>
      <c r="G435" s="14">
        <f t="shared" si="40"/>
        <v>32.454959135937166</v>
      </c>
    </row>
    <row r="436" spans="2:7" x14ac:dyDescent="0.2">
      <c r="B436" s="14">
        <f t="shared" si="37"/>
        <v>10.362220262967417</v>
      </c>
      <c r="C436" s="14">
        <f t="shared" si="36"/>
        <v>4.6377797370325826</v>
      </c>
      <c r="D436" s="8">
        <f t="shared" si="41"/>
        <v>46.700000000000394</v>
      </c>
      <c r="E436" s="14">
        <f t="shared" si="38"/>
        <v>32.567650761119943</v>
      </c>
      <c r="F436" s="14">
        <f t="shared" si="39"/>
        <v>32.56776098562348</v>
      </c>
      <c r="G436" s="14">
        <f t="shared" si="40"/>
        <v>32.56776098562343</v>
      </c>
    </row>
    <row r="437" spans="2:7" x14ac:dyDescent="0.2">
      <c r="B437" s="14">
        <f t="shared" si="37"/>
        <v>10.365285474134723</v>
      </c>
      <c r="C437" s="14">
        <f t="shared" si="36"/>
        <v>4.6347145258652773</v>
      </c>
      <c r="D437" s="8">
        <f t="shared" si="41"/>
        <v>46.800000000000395</v>
      </c>
      <c r="E437" s="14">
        <f t="shared" si="38"/>
        <v>32.680573644059329</v>
      </c>
      <c r="F437" s="14">
        <f t="shared" si="39"/>
        <v>32.680683729195273</v>
      </c>
      <c r="G437" s="14">
        <f t="shared" si="40"/>
        <v>32.680683729195252</v>
      </c>
    </row>
    <row r="438" spans="2:7" x14ac:dyDescent="0.2">
      <c r="B438" s="14">
        <f t="shared" si="37"/>
        <v>10.368340106583943</v>
      </c>
      <c r="C438" s="14">
        <f t="shared" si="36"/>
        <v>4.6316598934160567</v>
      </c>
      <c r="D438" s="8">
        <f t="shared" si="41"/>
        <v>46.900000000000396</v>
      </c>
      <c r="E438" s="14">
        <f t="shared" si="38"/>
        <v>32.793617222999458</v>
      </c>
      <c r="F438" s="14">
        <f t="shared" si="39"/>
        <v>32.793727169273396</v>
      </c>
      <c r="G438" s="14">
        <f t="shared" si="40"/>
        <v>32.793727169273417</v>
      </c>
    </row>
    <row r="439" spans="2:7" x14ac:dyDescent="0.2">
      <c r="B439" s="14">
        <f t="shared" si="37"/>
        <v>10.371384221907498</v>
      </c>
      <c r="C439" s="14">
        <f t="shared" si="36"/>
        <v>4.6286157780925024</v>
      </c>
      <c r="D439" s="8">
        <f t="shared" si="41"/>
        <v>47.000000000000398</v>
      </c>
      <c r="E439" s="14">
        <f t="shared" si="38"/>
        <v>32.906781301385841</v>
      </c>
      <c r="F439" s="14">
        <f t="shared" si="39"/>
        <v>32.906891109190667</v>
      </c>
      <c r="G439" s="14">
        <f t="shared" si="40"/>
        <v>32.906891109190632</v>
      </c>
    </row>
    <row r="440" spans="2:7" x14ac:dyDescent="0.2">
      <c r="B440" s="14">
        <f t="shared" si="37"/>
        <v>10.374417881197274</v>
      </c>
      <c r="C440" s="14">
        <f t="shared" si="36"/>
        <v>4.6255821188027255</v>
      </c>
      <c r="D440" s="8">
        <f t="shared" si="41"/>
        <v>47.100000000000399</v>
      </c>
      <c r="E440" s="14">
        <f t="shared" si="38"/>
        <v>33.020065683240396</v>
      </c>
      <c r="F440" s="14">
        <f t="shared" si="39"/>
        <v>33.020175352987465</v>
      </c>
      <c r="G440" s="14">
        <f t="shared" si="40"/>
        <v>33.020175352987472</v>
      </c>
    </row>
    <row r="441" spans="2:7" x14ac:dyDescent="0.2">
      <c r="B441" s="14">
        <f t="shared" si="37"/>
        <v>10.377441145049886</v>
      </c>
      <c r="C441" s="14">
        <f t="shared" si="36"/>
        <v>4.622558854950114</v>
      </c>
      <c r="D441" s="8">
        <f t="shared" si="41"/>
        <v>47.200000000000401</v>
      </c>
      <c r="E441" s="14">
        <f t="shared" si="38"/>
        <v>33.13347017326457</v>
      </c>
      <c r="F441" s="14">
        <f t="shared" si="39"/>
        <v>33.133579705408494</v>
      </c>
      <c r="G441" s="14">
        <f t="shared" si="40"/>
        <v>33.133579705408494</v>
      </c>
    </row>
    <row r="442" spans="2:7" x14ac:dyDescent="0.2">
      <c r="B442" s="14">
        <f t="shared" si="37"/>
        <v>10.380454073571757</v>
      </c>
      <c r="C442" s="14">
        <f t="shared" si="36"/>
        <v>4.619545926428243</v>
      </c>
      <c r="D442" s="8">
        <f t="shared" si="41"/>
        <v>47.300000000000402</v>
      </c>
      <c r="E442" s="14">
        <f t="shared" si="38"/>
        <v>33.246994576928437</v>
      </c>
      <c r="F442" s="14">
        <f t="shared" si="39"/>
        <v>33.247103971898241</v>
      </c>
      <c r="G442" s="14">
        <f t="shared" si="40"/>
        <v>33.247103971898262</v>
      </c>
    </row>
    <row r="443" spans="2:7" x14ac:dyDescent="0.2">
      <c r="B443" s="14">
        <f t="shared" si="37"/>
        <v>10.38345672638423</v>
      </c>
      <c r="C443" s="14">
        <f t="shared" si="36"/>
        <v>4.6165432736157701</v>
      </c>
      <c r="D443" s="8">
        <f t="shared" si="41"/>
        <v>47.400000000000404</v>
      </c>
      <c r="E443" s="14">
        <f t="shared" si="38"/>
        <v>33.360638700396557</v>
      </c>
      <c r="F443" s="14">
        <f t="shared" si="39"/>
        <v>33.360747958597493</v>
      </c>
      <c r="G443" s="14">
        <f t="shared" si="40"/>
        <v>33.360747958597457</v>
      </c>
    </row>
    <row r="444" spans="2:7" x14ac:dyDescent="0.2">
      <c r="B444" s="14">
        <f t="shared" si="37"/>
        <v>10.386449162628539</v>
      </c>
      <c r="C444" s="14">
        <f t="shared" si="36"/>
        <v>4.6135508373714611</v>
      </c>
      <c r="D444" s="8">
        <f t="shared" si="41"/>
        <v>47.500000000000405</v>
      </c>
      <c r="E444" s="14">
        <f t="shared" si="38"/>
        <v>33.474402350501343</v>
      </c>
      <c r="F444" s="14">
        <f t="shared" si="39"/>
        <v>33.474511472339017</v>
      </c>
      <c r="G444" s="14">
        <f t="shared" si="40"/>
        <v>33.474511472339017</v>
      </c>
    </row>
    <row r="445" spans="2:7" x14ac:dyDescent="0.2">
      <c r="B445" s="14">
        <f t="shared" si="37"/>
        <v>10.389431440970792</v>
      </c>
      <c r="C445" s="14">
        <f t="shared" si="36"/>
        <v>4.6105685590292076</v>
      </c>
      <c r="D445" s="8">
        <f t="shared" si="41"/>
        <v>47.600000000000406</v>
      </c>
      <c r="E445" s="14">
        <f t="shared" si="38"/>
        <v>33.588285334736149</v>
      </c>
      <c r="F445" s="14">
        <f t="shared" si="39"/>
        <v>33.588394320644255</v>
      </c>
      <c r="G445" s="14">
        <f t="shared" si="40"/>
        <v>33.588394320644241</v>
      </c>
    </row>
    <row r="446" spans="2:7" x14ac:dyDescent="0.2">
      <c r="B446" s="14">
        <f t="shared" si="37"/>
        <v>10.392403619606823</v>
      </c>
      <c r="C446" s="14">
        <f t="shared" si="36"/>
        <v>4.6075963803931774</v>
      </c>
      <c r="D446" s="8">
        <f t="shared" si="41"/>
        <v>47.700000000000408</v>
      </c>
      <c r="E446" s="14">
        <f t="shared" si="38"/>
        <v>33.702287461299029</v>
      </c>
      <c r="F446" s="14">
        <f t="shared" si="39"/>
        <v>33.702396311719035</v>
      </c>
      <c r="G446" s="14">
        <f t="shared" si="40"/>
        <v>33.702396311719049</v>
      </c>
    </row>
    <row r="447" spans="2:7" x14ac:dyDescent="0.2">
      <c r="B447" s="14">
        <f t="shared" si="37"/>
        <v>10.395365756267037</v>
      </c>
      <c r="C447" s="14">
        <f t="shared" si="36"/>
        <v>4.6046342437329635</v>
      </c>
      <c r="D447" s="8">
        <f t="shared" si="41"/>
        <v>47.800000000000409</v>
      </c>
      <c r="E447" s="14">
        <f t="shared" si="38"/>
        <v>33.816408539148831</v>
      </c>
      <c r="F447" s="14">
        <f t="shared" si="39"/>
        <v>33.816517254450218</v>
      </c>
      <c r="G447" s="14">
        <f t="shared" si="40"/>
        <v>33.816517254450154</v>
      </c>
    </row>
    <row r="448" spans="2:7" x14ac:dyDescent="0.2">
      <c r="B448" s="14">
        <f t="shared" si="37"/>
        <v>10.398317908221134</v>
      </c>
      <c r="C448" s="14">
        <f t="shared" si="36"/>
        <v>4.6016820917788657</v>
      </c>
      <c r="D448" s="8">
        <f t="shared" si="41"/>
        <v>47.900000000000411</v>
      </c>
      <c r="E448" s="14">
        <f t="shared" si="38"/>
        <v>33.930648377808133</v>
      </c>
      <c r="F448" s="14">
        <f t="shared" si="39"/>
        <v>33.93075695840129</v>
      </c>
      <c r="G448" s="14">
        <f t="shared" si="40"/>
        <v>33.930756958401311</v>
      </c>
    </row>
    <row r="449" spans="2:7" x14ac:dyDescent="0.2">
      <c r="B449" s="14">
        <f t="shared" si="37"/>
        <v>10.401260132282875</v>
      </c>
      <c r="C449" s="14">
        <f t="shared" si="36"/>
        <v>4.598739867717125</v>
      </c>
      <c r="D449" s="8">
        <f t="shared" si="41"/>
        <v>48.000000000000412</v>
      </c>
      <c r="E449" s="14">
        <f t="shared" si="38"/>
        <v>34.045006787466924</v>
      </c>
      <c r="F449" s="14">
        <f t="shared" si="39"/>
        <v>34.045115233809575</v>
      </c>
      <c r="G449" s="14">
        <f t="shared" si="40"/>
        <v>34.045115233809568</v>
      </c>
    </row>
    <row r="450" spans="2:7" x14ac:dyDescent="0.2">
      <c r="B450" s="14">
        <f t="shared" si="37"/>
        <v>10.404192484814658</v>
      </c>
      <c r="C450" s="14">
        <f t="shared" si="36"/>
        <v>4.5958075151853421</v>
      </c>
      <c r="D450" s="8">
        <f t="shared" si="41"/>
        <v>48.100000000000414</v>
      </c>
      <c r="E450" s="14">
        <f t="shared" si="38"/>
        <v>34.159483579121527</v>
      </c>
      <c r="F450" s="14">
        <f t="shared" si="39"/>
        <v>34.159591891581613</v>
      </c>
      <c r="G450" s="14">
        <f t="shared" si="40"/>
        <v>34.159591891581613</v>
      </c>
    </row>
    <row r="451" spans="2:7" x14ac:dyDescent="0.2">
      <c r="B451" s="14">
        <f t="shared" si="37"/>
        <v>10.407115021732148</v>
      </c>
      <c r="C451" s="14">
        <f t="shared" si="36"/>
        <v>4.5928849782678522</v>
      </c>
      <c r="D451" s="8">
        <f t="shared" si="41"/>
        <v>48.200000000000415</v>
      </c>
      <c r="E451" s="14">
        <f t="shared" si="38"/>
        <v>34.274078564280593</v>
      </c>
      <c r="F451" s="14">
        <f t="shared" si="39"/>
        <v>34.274186743290059</v>
      </c>
      <c r="G451" s="14">
        <f t="shared" si="40"/>
        <v>34.274186743290052</v>
      </c>
    </row>
    <row r="452" spans="2:7" x14ac:dyDescent="0.2">
      <c r="B452" s="14">
        <f t="shared" si="37"/>
        <v>10.410027798508793</v>
      </c>
      <c r="C452" s="14">
        <f t="shared" si="36"/>
        <v>4.5899722014912072</v>
      </c>
      <c r="D452" s="8">
        <f t="shared" si="41"/>
        <v>48.300000000000416</v>
      </c>
      <c r="E452" s="14">
        <f t="shared" si="38"/>
        <v>34.388791555215285</v>
      </c>
      <c r="F452" s="14">
        <f t="shared" si="39"/>
        <v>34.388899601169847</v>
      </c>
      <c r="G452" s="14">
        <f t="shared" si="40"/>
        <v>34.388899601169811</v>
      </c>
    </row>
    <row r="453" spans="2:7" x14ac:dyDescent="0.2">
      <c r="B453" s="14">
        <f t="shared" si="37"/>
        <v>10.412930870180293</v>
      </c>
      <c r="C453" s="14">
        <f t="shared" si="36"/>
        <v>4.5870691298197066</v>
      </c>
      <c r="D453" s="8">
        <f t="shared" si="41"/>
        <v>48.400000000000418</v>
      </c>
      <c r="E453" s="14">
        <f t="shared" si="38"/>
        <v>34.503622364859474</v>
      </c>
      <c r="F453" s="14">
        <f t="shared" si="39"/>
        <v>34.50373027811451</v>
      </c>
      <c r="G453" s="14">
        <f t="shared" si="40"/>
        <v>34.503730278114453</v>
      </c>
    </row>
    <row r="454" spans="2:7" x14ac:dyDescent="0.2">
      <c r="B454" s="14">
        <f t="shared" si="37"/>
        <v>10.415824291349026</v>
      </c>
      <c r="C454" s="14">
        <f t="shared" si="36"/>
        <v>4.5841757086509745</v>
      </c>
      <c r="D454" s="8">
        <f t="shared" si="41"/>
        <v>48.500000000000419</v>
      </c>
      <c r="E454" s="14">
        <f t="shared" si="38"/>
        <v>34.618570806694379</v>
      </c>
      <c r="F454" s="14">
        <f t="shared" si="39"/>
        <v>34.618678587672655</v>
      </c>
      <c r="G454" s="14">
        <f t="shared" si="40"/>
        <v>34.618678587672669</v>
      </c>
    </row>
    <row r="455" spans="2:7" x14ac:dyDescent="0.2">
      <c r="B455" s="14">
        <f t="shared" si="37"/>
        <v>10.418708116188419</v>
      </c>
      <c r="C455" s="14">
        <f t="shared" si="36"/>
        <v>4.5812918838115806</v>
      </c>
      <c r="D455" s="8">
        <f t="shared" si="41"/>
        <v>48.600000000000421</v>
      </c>
      <c r="E455" s="14">
        <f t="shared" si="38"/>
        <v>34.733636694895374</v>
      </c>
      <c r="F455" s="14">
        <f t="shared" si="39"/>
        <v>34.733744344044588</v>
      </c>
      <c r="G455" s="14">
        <f t="shared" si="40"/>
        <v>34.733744344044609</v>
      </c>
    </row>
    <row r="456" spans="2:7" x14ac:dyDescent="0.2">
      <c r="B456" s="14">
        <f t="shared" si="37"/>
        <v>10.421582398447249</v>
      </c>
      <c r="C456" s="14">
        <f t="shared" si="36"/>
        <v>4.5784176015527507</v>
      </c>
      <c r="D456" s="8">
        <f t="shared" si="41"/>
        <v>48.700000000000422</v>
      </c>
      <c r="E456" s="14">
        <f t="shared" si="38"/>
        <v>34.848819844386583</v>
      </c>
      <c r="F456" s="14">
        <f t="shared" si="39"/>
        <v>34.848927362078442</v>
      </c>
      <c r="G456" s="14">
        <f t="shared" si="40"/>
        <v>34.848927362078442</v>
      </c>
    </row>
    <row r="457" spans="2:7" x14ac:dyDescent="0.2">
      <c r="B457" s="14">
        <f t="shared" si="37"/>
        <v>10.424447191453897</v>
      </c>
      <c r="C457" s="14">
        <f t="shared" si="36"/>
        <v>4.575552808546103</v>
      </c>
      <c r="D457" s="8">
        <f t="shared" si="41"/>
        <v>48.800000000000423</v>
      </c>
      <c r="E457" s="14">
        <f t="shared" si="38"/>
        <v>34.964120070646416</v>
      </c>
      <c r="F457" s="14">
        <f t="shared" si="39"/>
        <v>34.964227457266801</v>
      </c>
      <c r="G457" s="14">
        <f t="shared" si="40"/>
        <v>34.964227457266801</v>
      </c>
    </row>
    <row r="458" spans="2:7" x14ac:dyDescent="0.2">
      <c r="B458" s="14">
        <f t="shared" si="37"/>
        <v>10.427302548120569</v>
      </c>
      <c r="C458" s="14">
        <f t="shared" si="36"/>
        <v>4.5726974518794314</v>
      </c>
      <c r="D458" s="8">
        <f t="shared" si="41"/>
        <v>48.900000000000425</v>
      </c>
      <c r="E458" s="14">
        <f t="shared" si="38"/>
        <v>35.079537189820805</v>
      </c>
      <c r="F458" s="14">
        <f t="shared" si="39"/>
        <v>35.079644445743291</v>
      </c>
      <c r="G458" s="14">
        <f t="shared" si="40"/>
        <v>35.079644445743263</v>
      </c>
    </row>
    <row r="459" spans="2:7" x14ac:dyDescent="0.2">
      <c r="B459" s="14">
        <f t="shared" si="37"/>
        <v>10.430148520947435</v>
      </c>
      <c r="C459" s="14">
        <f t="shared" si="36"/>
        <v>4.5698514790525646</v>
      </c>
      <c r="D459" s="8">
        <f t="shared" si="41"/>
        <v>49.000000000000426</v>
      </c>
      <c r="E459" s="14">
        <f t="shared" si="38"/>
        <v>35.195071018641237</v>
      </c>
      <c r="F459" s="14">
        <f t="shared" si="39"/>
        <v>35.195178144278941</v>
      </c>
      <c r="G459" s="14">
        <f t="shared" si="40"/>
        <v>35.195178144278934</v>
      </c>
    </row>
    <row r="460" spans="2:7" x14ac:dyDescent="0.2">
      <c r="B460" s="14">
        <f t="shared" si="37"/>
        <v>10.432985162026762</v>
      </c>
      <c r="C460" s="14">
        <f t="shared" si="36"/>
        <v>4.5670148379732378</v>
      </c>
      <c r="D460" s="8">
        <f t="shared" si="41"/>
        <v>49.100000000000428</v>
      </c>
      <c r="E460" s="14">
        <f t="shared" si="38"/>
        <v>35.310721374537039</v>
      </c>
      <c r="F460" s="14">
        <f t="shared" si="39"/>
        <v>35.310828370279083</v>
      </c>
      <c r="G460" s="14">
        <f t="shared" si="40"/>
        <v>35.310828370279033</v>
      </c>
    </row>
    <row r="461" spans="2:7" x14ac:dyDescent="0.2">
      <c r="B461" s="14">
        <f t="shared" si="37"/>
        <v>10.435812523046929</v>
      </c>
      <c r="C461" s="14">
        <f t="shared" si="36"/>
        <v>4.5641874769530713</v>
      </c>
      <c r="D461" s="8">
        <f t="shared" si="41"/>
        <v>49.200000000000429</v>
      </c>
      <c r="E461" s="14">
        <f t="shared" si="38"/>
        <v>35.426488075594058</v>
      </c>
      <c r="F461" s="14">
        <f t="shared" si="39"/>
        <v>35.426594941779442</v>
      </c>
      <c r="G461" s="14">
        <f t="shared" si="40"/>
        <v>35.426594941779385</v>
      </c>
    </row>
    <row r="462" spans="2:7" x14ac:dyDescent="0.2">
      <c r="B462" s="14">
        <f t="shared" si="37"/>
        <v>10.438630655296466</v>
      </c>
      <c r="C462" s="14">
        <f t="shared" si="36"/>
        <v>4.5613693447035342</v>
      </c>
      <c r="D462" s="8">
        <f t="shared" si="41"/>
        <v>49.300000000000431</v>
      </c>
      <c r="E462" s="14">
        <f t="shared" si="38"/>
        <v>35.542370940397198</v>
      </c>
      <c r="F462" s="14">
        <f t="shared" si="39"/>
        <v>35.542477677443159</v>
      </c>
      <c r="G462" s="14">
        <f t="shared" si="40"/>
        <v>35.542477677443145</v>
      </c>
    </row>
    <row r="463" spans="2:7" x14ac:dyDescent="0.2">
      <c r="B463" s="14">
        <f t="shared" si="37"/>
        <v>10.441439609668004</v>
      </c>
      <c r="C463" s="14">
        <f t="shared" si="36"/>
        <v>4.558560390331996</v>
      </c>
      <c r="D463" s="8">
        <f t="shared" si="41"/>
        <v>49.400000000000432</v>
      </c>
      <c r="E463" s="14">
        <f t="shared" si="38"/>
        <v>35.658369788237231</v>
      </c>
      <c r="F463" s="14">
        <f t="shared" si="39"/>
        <v>35.658476396557354</v>
      </c>
      <c r="G463" s="14">
        <f t="shared" si="40"/>
        <v>35.658476396557376</v>
      </c>
    </row>
    <row r="464" spans="2:7" x14ac:dyDescent="0.2">
      <c r="B464" s="14">
        <f t="shared" si="37"/>
        <v>10.44423943666218</v>
      </c>
      <c r="C464" s="14">
        <f t="shared" si="36"/>
        <v>4.5557605633378202</v>
      </c>
      <c r="D464" s="8">
        <f t="shared" si="41"/>
        <v>49.500000000000433</v>
      </c>
      <c r="E464" s="14">
        <f t="shared" si="38"/>
        <v>35.774484439073078</v>
      </c>
      <c r="F464" s="14">
        <f t="shared" si="39"/>
        <v>35.774590919029698</v>
      </c>
      <c r="G464" s="14">
        <f t="shared" si="40"/>
        <v>35.774590919029698</v>
      </c>
    </row>
    <row r="465" spans="2:7" x14ac:dyDescent="0.2">
      <c r="B465" s="14">
        <f t="shared" si="37"/>
        <v>10.447030186391496</v>
      </c>
      <c r="C465" s="14">
        <f t="shared" si="36"/>
        <v>4.5529698136085042</v>
      </c>
      <c r="D465" s="8">
        <f t="shared" si="41"/>
        <v>49.600000000000435</v>
      </c>
      <c r="E465" s="14">
        <f t="shared" si="38"/>
        <v>35.8907147134328</v>
      </c>
      <c r="F465" s="14">
        <f t="shared" si="39"/>
        <v>35.890821065385026</v>
      </c>
      <c r="G465" s="14">
        <f t="shared" si="40"/>
        <v>35.890821065385026</v>
      </c>
    </row>
    <row r="466" spans="2:7" x14ac:dyDescent="0.2">
      <c r="B466" s="14">
        <f t="shared" si="37"/>
        <v>10.449811908584149</v>
      </c>
      <c r="C466" s="14">
        <f t="shared" si="36"/>
        <v>4.5501880914158512</v>
      </c>
      <c r="D466" s="8">
        <f t="shared" si="41"/>
        <v>49.700000000000436</v>
      </c>
      <c r="E466" s="14">
        <f t="shared" si="38"/>
        <v>36.007060432422925</v>
      </c>
      <c r="F466" s="14">
        <f t="shared" si="39"/>
        <v>36.007166656762237</v>
      </c>
      <c r="G466" s="14">
        <f t="shared" si="40"/>
        <v>36.007166656762244</v>
      </c>
    </row>
    <row r="467" spans="2:7" x14ac:dyDescent="0.2">
      <c r="B467" s="14">
        <f t="shared" si="37"/>
        <v>10.452584652587795</v>
      </c>
      <c r="C467" s="14">
        <f t="shared" ref="C467:C530" si="42">$C$14-B467</f>
        <v>4.5474153474122048</v>
      </c>
      <c r="D467" s="8">
        <f t="shared" si="41"/>
        <v>49.800000000000438</v>
      </c>
      <c r="E467" s="14">
        <f t="shared" si="38"/>
        <v>36.123521417793164</v>
      </c>
      <c r="F467" s="14">
        <f t="shared" si="39"/>
        <v>36.123627514910964</v>
      </c>
      <c r="G467" s="14">
        <f t="shared" si="40"/>
        <v>36.123627514910972</v>
      </c>
    </row>
    <row r="468" spans="2:7" x14ac:dyDescent="0.2">
      <c r="B468" s="14">
        <f t="shared" ref="B468:B531" si="43">$C$14*(LN(D468)-LN($F$14))/(1+LN(D468)-LN($F$14))</f>
        <v>10.455348467373279</v>
      </c>
      <c r="C468" s="14">
        <f t="shared" si="42"/>
        <v>4.5446515326267214</v>
      </c>
      <c r="D468" s="8">
        <f t="shared" si="41"/>
        <v>49.900000000000439</v>
      </c>
      <c r="E468" s="14">
        <f t="shared" ref="E468:E531" si="44">(D469-D467)/(B469-B467)</f>
        <v>36.24009749194223</v>
      </c>
      <c r="F468" s="14">
        <f t="shared" ref="F468:F531" si="45">D468*$C$14/(C468*C468)</f>
        <v>36.24020346218829</v>
      </c>
      <c r="G468" s="14">
        <f t="shared" ref="G468:G531" si="46">D468*(1+LN(D468/$F$14))*(1+LN(D468/$F$14))/$C$14</f>
        <v>36.240203462188262</v>
      </c>
    </row>
    <row r="469" spans="2:7" x14ac:dyDescent="0.2">
      <c r="B469" s="14">
        <f t="shared" si="43"/>
        <v>10.458103401538304</v>
      </c>
      <c r="C469" s="14">
        <f t="shared" si="42"/>
        <v>4.5418965984616957</v>
      </c>
      <c r="D469" s="8">
        <f t="shared" ref="D469:D532" si="47">D468+0.1</f>
        <v>50.000000000000441</v>
      </c>
      <c r="E469" s="14">
        <f t="shared" si="44"/>
        <v>36.356788477791319</v>
      </c>
      <c r="F469" s="14">
        <f t="shared" si="45"/>
        <v>36.35689432155548</v>
      </c>
      <c r="G469" s="14">
        <f t="shared" si="46"/>
        <v>36.356894321555487</v>
      </c>
    </row>
    <row r="470" spans="2:7" x14ac:dyDescent="0.2">
      <c r="B470" s="14">
        <f t="shared" si="43"/>
        <v>10.460849503311097</v>
      </c>
      <c r="C470" s="14">
        <f t="shared" si="42"/>
        <v>4.5391504966889027</v>
      </c>
      <c r="D470" s="8">
        <f t="shared" si="47"/>
        <v>50.100000000000442</v>
      </c>
      <c r="E470" s="14">
        <f t="shared" si="44"/>
        <v>36.473594198944703</v>
      </c>
      <c r="F470" s="14">
        <f t="shared" si="45"/>
        <v>36.473699916575058</v>
      </c>
      <c r="G470" s="14">
        <f t="shared" si="46"/>
        <v>36.473699916574994</v>
      </c>
    </row>
    <row r="471" spans="2:7" x14ac:dyDescent="0.2">
      <c r="B471" s="14">
        <f t="shared" si="43"/>
        <v>10.463586820553965</v>
      </c>
      <c r="C471" s="14">
        <f t="shared" si="42"/>
        <v>4.5364131794460345</v>
      </c>
      <c r="D471" s="8">
        <f t="shared" si="47"/>
        <v>50.200000000000443</v>
      </c>
      <c r="E471" s="14">
        <f t="shared" si="44"/>
        <v>36.590514479567467</v>
      </c>
      <c r="F471" s="14">
        <f t="shared" si="45"/>
        <v>36.590620071407116</v>
      </c>
      <c r="G471" s="14">
        <f t="shared" si="46"/>
        <v>36.590620071407088</v>
      </c>
    </row>
    <row r="472" spans="2:7" x14ac:dyDescent="0.2">
      <c r="B472" s="14">
        <f t="shared" si="43"/>
        <v>10.46631540076689</v>
      </c>
      <c r="C472" s="14">
        <f t="shared" si="42"/>
        <v>4.5336845992331103</v>
      </c>
      <c r="D472" s="8">
        <f t="shared" si="47"/>
        <v>50.300000000000445</v>
      </c>
      <c r="E472" s="14">
        <f t="shared" si="44"/>
        <v>36.707549144338515</v>
      </c>
      <c r="F472" s="14">
        <f t="shared" si="45"/>
        <v>36.707654610806806</v>
      </c>
      <c r="G472" s="14">
        <f t="shared" si="46"/>
        <v>36.707654610806799</v>
      </c>
    </row>
    <row r="473" spans="2:7" x14ac:dyDescent="0.2">
      <c r="B473" s="14">
        <f t="shared" si="43"/>
        <v>10.469035291091009</v>
      </c>
      <c r="C473" s="14">
        <f t="shared" si="42"/>
        <v>4.5309647089089911</v>
      </c>
      <c r="D473" s="8">
        <f t="shared" si="47"/>
        <v>50.400000000000446</v>
      </c>
      <c r="E473" s="14">
        <f t="shared" si="44"/>
        <v>36.824698018662829</v>
      </c>
      <c r="F473" s="14">
        <f t="shared" si="45"/>
        <v>36.824803360120754</v>
      </c>
      <c r="G473" s="14">
        <f t="shared" si="46"/>
        <v>36.82480336012074</v>
      </c>
    </row>
    <row r="474" spans="2:7" x14ac:dyDescent="0.2">
      <c r="B474" s="14">
        <f t="shared" si="43"/>
        <v>10.471746538312095</v>
      </c>
      <c r="C474" s="14">
        <f t="shared" si="42"/>
        <v>4.5282534616879051</v>
      </c>
      <c r="D474" s="8">
        <f t="shared" si="47"/>
        <v>50.500000000000448</v>
      </c>
      <c r="E474" s="14">
        <f t="shared" si="44"/>
        <v>36.941960928499974</v>
      </c>
      <c r="F474" s="14">
        <f t="shared" si="45"/>
        <v>36.942066145284095</v>
      </c>
      <c r="G474" s="14">
        <f t="shared" si="46"/>
        <v>36.94206614528408</v>
      </c>
    </row>
    <row r="475" spans="2:7" x14ac:dyDescent="0.2">
      <c r="B475" s="14">
        <f t="shared" si="43"/>
        <v>10.47444918886398</v>
      </c>
      <c r="C475" s="14">
        <f t="shared" si="42"/>
        <v>4.5255508111360196</v>
      </c>
      <c r="D475" s="8">
        <f t="shared" si="47"/>
        <v>50.600000000000449</v>
      </c>
      <c r="E475" s="14">
        <f t="shared" si="44"/>
        <v>37.059337700328022</v>
      </c>
      <c r="F475" s="14">
        <f t="shared" si="45"/>
        <v>37.05944279281735</v>
      </c>
      <c r="G475" s="14">
        <f t="shared" si="46"/>
        <v>37.059442792817357</v>
      </c>
    </row>
    <row r="476" spans="2:7" x14ac:dyDescent="0.2">
      <c r="B476" s="14">
        <f t="shared" si="43"/>
        <v>10.477143288831957</v>
      </c>
      <c r="C476" s="14">
        <f t="shared" si="42"/>
        <v>4.5228567111680427</v>
      </c>
      <c r="D476" s="8">
        <f t="shared" si="47"/>
        <v>50.70000000000045</v>
      </c>
      <c r="E476" s="14">
        <f t="shared" si="44"/>
        <v>37.176828161261383</v>
      </c>
      <c r="F476" s="14">
        <f t="shared" si="45"/>
        <v>37.176933129823539</v>
      </c>
      <c r="G476" s="14">
        <f t="shared" si="46"/>
        <v>37.176933129823531</v>
      </c>
    </row>
    <row r="477" spans="2:7" x14ac:dyDescent="0.2">
      <c r="B477" s="14">
        <f t="shared" si="43"/>
        <v>10.479828883956108</v>
      </c>
      <c r="C477" s="14">
        <f t="shared" si="42"/>
        <v>4.5201711160438922</v>
      </c>
      <c r="D477" s="8">
        <f t="shared" si="47"/>
        <v>50.800000000000452</v>
      </c>
      <c r="E477" s="14">
        <f t="shared" si="44"/>
        <v>37.294432139020309</v>
      </c>
      <c r="F477" s="14">
        <f t="shared" si="45"/>
        <v>37.294536983984855</v>
      </c>
      <c r="G477" s="14">
        <f t="shared" si="46"/>
        <v>37.294536983984848</v>
      </c>
    </row>
    <row r="478" spans="2:7" x14ac:dyDescent="0.2">
      <c r="B478" s="14">
        <f t="shared" si="43"/>
        <v>10.482506019634627</v>
      </c>
      <c r="C478" s="14">
        <f t="shared" si="42"/>
        <v>4.5174939803653729</v>
      </c>
      <c r="D478" s="8">
        <f t="shared" si="47"/>
        <v>50.900000000000453</v>
      </c>
      <c r="E478" s="14">
        <f t="shared" si="44"/>
        <v>37.412149461819965</v>
      </c>
      <c r="F478" s="14">
        <f t="shared" si="45"/>
        <v>37.41225418355986</v>
      </c>
      <c r="G478" s="14">
        <f t="shared" si="46"/>
        <v>37.412254183559874</v>
      </c>
    </row>
    <row r="479" spans="2:7" x14ac:dyDescent="0.2">
      <c r="B479" s="14">
        <f t="shared" si="43"/>
        <v>10.485174740927093</v>
      </c>
      <c r="C479" s="14">
        <f t="shared" si="42"/>
        <v>4.5148252590729072</v>
      </c>
      <c r="D479" s="8">
        <f t="shared" si="47"/>
        <v>51.000000000000455</v>
      </c>
      <c r="E479" s="14">
        <f t="shared" si="44"/>
        <v>37.529979958500533</v>
      </c>
      <c r="F479" s="14">
        <f t="shared" si="45"/>
        <v>37.530084557380476</v>
      </c>
      <c r="G479" s="14">
        <f t="shared" si="46"/>
        <v>37.530084557380498</v>
      </c>
    </row>
    <row r="480" spans="2:7" x14ac:dyDescent="0.2">
      <c r="B480" s="14">
        <f t="shared" si="43"/>
        <v>10.487835092557692</v>
      </c>
      <c r="C480" s="14">
        <f t="shared" si="42"/>
        <v>4.5121649074423082</v>
      </c>
      <c r="D480" s="8">
        <f t="shared" si="47"/>
        <v>51.100000000000456</v>
      </c>
      <c r="E480" s="14">
        <f t="shared" si="44"/>
        <v>37.647923458455963</v>
      </c>
      <c r="F480" s="14">
        <f t="shared" si="45"/>
        <v>37.648027934848919</v>
      </c>
      <c r="G480" s="14">
        <f t="shared" si="46"/>
        <v>37.648027934848919</v>
      </c>
    </row>
    <row r="481" spans="2:7" x14ac:dyDescent="0.2">
      <c r="B481" s="14">
        <f t="shared" si="43"/>
        <v>10.490487118918423</v>
      </c>
      <c r="C481" s="14">
        <f t="shared" si="42"/>
        <v>4.5095128810815766</v>
      </c>
      <c r="D481" s="8">
        <f t="shared" si="47"/>
        <v>51.200000000000458</v>
      </c>
      <c r="E481" s="14">
        <f t="shared" si="44"/>
        <v>37.765979791732107</v>
      </c>
      <c r="F481" s="14">
        <f t="shared" si="45"/>
        <v>37.766084145934833</v>
      </c>
      <c r="G481" s="14">
        <f t="shared" si="46"/>
        <v>37.766084145934769</v>
      </c>
    </row>
    <row r="482" spans="2:7" x14ac:dyDescent="0.2">
      <c r="B482" s="14">
        <f t="shared" si="43"/>
        <v>10.493130864072238</v>
      </c>
      <c r="C482" s="14">
        <f t="shared" si="42"/>
        <v>4.5068691359277615</v>
      </c>
      <c r="D482" s="8">
        <f t="shared" si="47"/>
        <v>51.300000000000459</v>
      </c>
      <c r="E482" s="14">
        <f t="shared" si="44"/>
        <v>37.884148788830103</v>
      </c>
      <c r="F482" s="14">
        <f t="shared" si="45"/>
        <v>37.884253021172107</v>
      </c>
      <c r="G482" s="14">
        <f t="shared" si="46"/>
        <v>37.884253021172086</v>
      </c>
    </row>
    <row r="483" spans="2:7" x14ac:dyDescent="0.2">
      <c r="B483" s="14">
        <f t="shared" si="43"/>
        <v>10.495766371756195</v>
      </c>
      <c r="C483" s="14">
        <f t="shared" si="42"/>
        <v>4.5042336282438047</v>
      </c>
      <c r="D483" s="8">
        <f t="shared" si="47"/>
        <v>51.40000000000046</v>
      </c>
      <c r="E483" s="14">
        <f t="shared" si="44"/>
        <v>38.002430280753345</v>
      </c>
      <c r="F483" s="14">
        <f t="shared" si="45"/>
        <v>38.002534391656461</v>
      </c>
      <c r="G483" s="14">
        <f t="shared" si="46"/>
        <v>38.002534391656468</v>
      </c>
    </row>
    <row r="484" spans="2:7" x14ac:dyDescent="0.2">
      <c r="B484" s="14">
        <f t="shared" si="43"/>
        <v>10.498393685384519</v>
      </c>
      <c r="C484" s="14">
        <f t="shared" si="42"/>
        <v>4.501606314615481</v>
      </c>
      <c r="D484" s="8">
        <f t="shared" si="47"/>
        <v>51.500000000000462</v>
      </c>
      <c r="E484" s="14">
        <f t="shared" si="44"/>
        <v>38.120824099218531</v>
      </c>
      <c r="F484" s="14">
        <f t="shared" si="45"/>
        <v>38.120928089042167</v>
      </c>
      <c r="G484" s="14">
        <f t="shared" si="46"/>
        <v>38.120928089042174</v>
      </c>
    </row>
    <row r="485" spans="2:7" x14ac:dyDescent="0.2">
      <c r="B485" s="14">
        <f t="shared" si="43"/>
        <v>10.501012848051657</v>
      </c>
      <c r="C485" s="14">
        <f t="shared" si="42"/>
        <v>4.4989871519483433</v>
      </c>
      <c r="D485" s="8">
        <f t="shared" si="47"/>
        <v>51.600000000000463</v>
      </c>
      <c r="E485" s="14">
        <f t="shared" si="44"/>
        <v>38.239330076505169</v>
      </c>
      <c r="F485" s="14">
        <f t="shared" si="45"/>
        <v>38.239433945539261</v>
      </c>
      <c r="G485" s="14">
        <f t="shared" si="46"/>
        <v>38.239433945539183</v>
      </c>
    </row>
    <row r="486" spans="2:7" x14ac:dyDescent="0.2">
      <c r="B486" s="14">
        <f t="shared" si="43"/>
        <v>10.503623902535287</v>
      </c>
      <c r="C486" s="14">
        <f t="shared" si="42"/>
        <v>4.4963760974647133</v>
      </c>
      <c r="D486" s="8">
        <f t="shared" si="47"/>
        <v>51.700000000000465</v>
      </c>
      <c r="E486" s="14">
        <f t="shared" si="44"/>
        <v>38.357948045371892</v>
      </c>
      <c r="F486" s="14">
        <f t="shared" si="45"/>
        <v>38.358051793910533</v>
      </c>
      <c r="G486" s="14">
        <f t="shared" si="46"/>
        <v>38.358051793910469</v>
      </c>
    </row>
    <row r="487" spans="2:7" x14ac:dyDescent="0.2">
      <c r="B487" s="14">
        <f t="shared" si="43"/>
        <v>10.506226891299315</v>
      </c>
      <c r="C487" s="14">
        <f t="shared" si="42"/>
        <v>4.4937731087006849</v>
      </c>
      <c r="D487" s="8">
        <f t="shared" si="47"/>
        <v>51.800000000000466</v>
      </c>
      <c r="E487" s="14">
        <f t="shared" si="44"/>
        <v>38.476677838989879</v>
      </c>
      <c r="F487" s="14">
        <f t="shared" si="45"/>
        <v>38.476781467469046</v>
      </c>
      <c r="G487" s="14">
        <f t="shared" si="46"/>
        <v>38.47678146746906</v>
      </c>
    </row>
    <row r="488" spans="2:7" x14ac:dyDescent="0.2">
      <c r="B488" s="14">
        <f t="shared" si="43"/>
        <v>10.508821856496825</v>
      </c>
      <c r="C488" s="14">
        <f t="shared" si="42"/>
        <v>4.4911781435031752</v>
      </c>
      <c r="D488" s="8">
        <f t="shared" si="47"/>
        <v>51.900000000000468</v>
      </c>
      <c r="E488" s="14">
        <f t="shared" si="44"/>
        <v>38.595519291304271</v>
      </c>
      <c r="F488" s="14">
        <f t="shared" si="45"/>
        <v>38.595622800075297</v>
      </c>
      <c r="G488" s="14">
        <f t="shared" si="46"/>
        <v>38.595622800075247</v>
      </c>
    </row>
    <row r="489" spans="2:7" x14ac:dyDescent="0.2">
      <c r="B489" s="14">
        <f t="shared" si="43"/>
        <v>10.511408839972955</v>
      </c>
      <c r="C489" s="14">
        <f t="shared" si="42"/>
        <v>4.4885911600270454</v>
      </c>
      <c r="D489" s="8">
        <f t="shared" si="47"/>
        <v>52.000000000000469</v>
      </c>
      <c r="E489" s="14">
        <f t="shared" si="44"/>
        <v>38.714472236816917</v>
      </c>
      <c r="F489" s="14">
        <f t="shared" si="45"/>
        <v>38.714575626133914</v>
      </c>
      <c r="G489" s="14">
        <f t="shared" si="46"/>
        <v>38.714575626133843</v>
      </c>
    </row>
    <row r="490" spans="2:7" x14ac:dyDescent="0.2">
      <c r="B490" s="14">
        <f t="shared" si="43"/>
        <v>10.513987883267811</v>
      </c>
      <c r="C490" s="14">
        <f t="shared" si="42"/>
        <v>4.4860121167321889</v>
      </c>
      <c r="D490" s="8">
        <f t="shared" si="47"/>
        <v>52.10000000000047</v>
      </c>
      <c r="E490" s="14">
        <f t="shared" si="44"/>
        <v>38.833536510381322</v>
      </c>
      <c r="F490" s="14">
        <f t="shared" si="45"/>
        <v>38.83363978059139</v>
      </c>
      <c r="G490" s="14">
        <f t="shared" si="46"/>
        <v>38.833639780591355</v>
      </c>
    </row>
    <row r="491" spans="2:7" x14ac:dyDescent="0.2">
      <c r="B491" s="14">
        <f t="shared" si="43"/>
        <v>10.516559027619309</v>
      </c>
      <c r="C491" s="14">
        <f t="shared" si="42"/>
        <v>4.4834409723806914</v>
      </c>
      <c r="D491" s="8">
        <f t="shared" si="47"/>
        <v>52.200000000000472</v>
      </c>
      <c r="E491" s="14">
        <f t="shared" si="44"/>
        <v>38.952711947441458</v>
      </c>
      <c r="F491" s="14">
        <f t="shared" si="45"/>
        <v>38.952815098933236</v>
      </c>
      <c r="G491" s="14">
        <f t="shared" si="46"/>
        <v>38.95281509893325</v>
      </c>
    </row>
    <row r="492" spans="2:7" x14ac:dyDescent="0.2">
      <c r="B492" s="14">
        <f t="shared" si="43"/>
        <v>10.519122313965983</v>
      </c>
      <c r="C492" s="14">
        <f t="shared" si="42"/>
        <v>4.4808776860340167</v>
      </c>
      <c r="D492" s="8">
        <f t="shared" si="47"/>
        <v>52.300000000000473</v>
      </c>
      <c r="E492" s="14">
        <f t="shared" si="44"/>
        <v>39.07199838406941</v>
      </c>
      <c r="F492" s="14">
        <f t="shared" si="45"/>
        <v>39.07210141718123</v>
      </c>
      <c r="G492" s="14">
        <f t="shared" si="46"/>
        <v>39.072101417181244</v>
      </c>
    </row>
    <row r="493" spans="2:7" x14ac:dyDescent="0.2">
      <c r="B493" s="14">
        <f t="shared" si="43"/>
        <v>10.521677782949764</v>
      </c>
      <c r="C493" s="14">
        <f t="shared" si="42"/>
        <v>4.4783222170502359</v>
      </c>
      <c r="D493" s="8">
        <f t="shared" si="47"/>
        <v>52.400000000000475</v>
      </c>
      <c r="E493" s="14">
        <f t="shared" si="44"/>
        <v>39.191395656860905</v>
      </c>
      <c r="F493" s="14">
        <f t="shared" si="45"/>
        <v>39.191498571890499</v>
      </c>
      <c r="G493" s="14">
        <f t="shared" si="46"/>
        <v>39.191498571890506</v>
      </c>
    </row>
    <row r="494" spans="2:7" x14ac:dyDescent="0.2">
      <c r="B494" s="14">
        <f t="shared" si="43"/>
        <v>10.524225474918737</v>
      </c>
      <c r="C494" s="14">
        <f t="shared" si="42"/>
        <v>4.4757745250812633</v>
      </c>
      <c r="D494" s="8">
        <f t="shared" si="47"/>
        <v>52.500000000000476</v>
      </c>
      <c r="E494" s="14">
        <f t="shared" si="44"/>
        <v>39.310903602861153</v>
      </c>
      <c r="F494" s="14">
        <f t="shared" si="45"/>
        <v>39.311006400147043</v>
      </c>
      <c r="G494" s="14">
        <f t="shared" si="46"/>
        <v>39.311006400147058</v>
      </c>
    </row>
    <row r="495" spans="2:7" x14ac:dyDescent="0.2">
      <c r="B495" s="14">
        <f t="shared" si="43"/>
        <v>10.526765429929862</v>
      </c>
      <c r="C495" s="14">
        <f t="shared" si="42"/>
        <v>4.4732345700701384</v>
      </c>
      <c r="D495" s="8">
        <f t="shared" si="47"/>
        <v>52.600000000000477</v>
      </c>
      <c r="E495" s="14">
        <f t="shared" si="44"/>
        <v>39.43052205968776</v>
      </c>
      <c r="F495" s="14">
        <f t="shared" si="45"/>
        <v>39.430624739565026</v>
      </c>
      <c r="G495" s="14">
        <f t="shared" si="46"/>
        <v>39.43062473956504</v>
      </c>
    </row>
    <row r="496" spans="2:7" x14ac:dyDescent="0.2">
      <c r="B496" s="14">
        <f t="shared" si="43"/>
        <v>10.52929768775166</v>
      </c>
      <c r="C496" s="14">
        <f t="shared" si="42"/>
        <v>4.4707023122483402</v>
      </c>
      <c r="D496" s="8">
        <f t="shared" si="47"/>
        <v>52.700000000000479</v>
      </c>
      <c r="E496" s="14">
        <f t="shared" si="44"/>
        <v>39.550250865484188</v>
      </c>
      <c r="F496" s="14">
        <f t="shared" si="45"/>
        <v>39.550353428284048</v>
      </c>
      <c r="G496" s="14">
        <f t="shared" si="46"/>
        <v>39.550353428284062</v>
      </c>
    </row>
    <row r="497" spans="2:7" x14ac:dyDescent="0.2">
      <c r="B497" s="14">
        <f t="shared" si="43"/>
        <v>10.531822287866875</v>
      </c>
      <c r="C497" s="14">
        <f t="shared" si="42"/>
        <v>4.4681777121331248</v>
      </c>
      <c r="D497" s="8">
        <f t="shared" si="47"/>
        <v>52.80000000000048</v>
      </c>
      <c r="E497" s="14">
        <f t="shared" si="44"/>
        <v>39.670089858919795</v>
      </c>
      <c r="F497" s="14">
        <f t="shared" si="45"/>
        <v>39.670192304966562</v>
      </c>
      <c r="G497" s="14">
        <f t="shared" si="46"/>
        <v>39.670192304966569</v>
      </c>
    </row>
    <row r="498" spans="2:7" x14ac:dyDescent="0.2">
      <c r="B498" s="14">
        <f t="shared" si="43"/>
        <v>10.534339269475101</v>
      </c>
      <c r="C498" s="14">
        <f t="shared" si="42"/>
        <v>4.465660730524899</v>
      </c>
      <c r="D498" s="8">
        <f t="shared" si="47"/>
        <v>52.900000000000482</v>
      </c>
      <c r="E498" s="14">
        <f t="shared" si="44"/>
        <v>39.790038879182291</v>
      </c>
      <c r="F498" s="14">
        <f t="shared" si="45"/>
        <v>39.790141208795198</v>
      </c>
      <c r="G498" s="14">
        <f t="shared" si="46"/>
        <v>39.790141208795177</v>
      </c>
    </row>
    <row r="499" spans="2:7" x14ac:dyDescent="0.2">
      <c r="B499" s="14">
        <f t="shared" si="43"/>
        <v>10.536848671495383</v>
      </c>
      <c r="C499" s="14">
        <f t="shared" si="42"/>
        <v>4.4631513285046172</v>
      </c>
      <c r="D499" s="8">
        <f t="shared" si="47"/>
        <v>53.000000000000483</v>
      </c>
      <c r="E499" s="14">
        <f t="shared" si="44"/>
        <v>39.910097765976161</v>
      </c>
      <c r="F499" s="14">
        <f t="shared" si="45"/>
        <v>39.910199979470185</v>
      </c>
      <c r="G499" s="14">
        <f t="shared" si="46"/>
        <v>39.910199979470164</v>
      </c>
    </row>
    <row r="500" spans="2:7" x14ac:dyDescent="0.2">
      <c r="B500" s="14">
        <f t="shared" si="43"/>
        <v>10.539350532568786</v>
      </c>
      <c r="C500" s="14">
        <f t="shared" si="42"/>
        <v>4.4606494674312138</v>
      </c>
      <c r="D500" s="8">
        <f t="shared" si="47"/>
        <v>53.100000000000485</v>
      </c>
      <c r="E500" s="14">
        <f t="shared" si="44"/>
        <v>40.030266359498931</v>
      </c>
      <c r="F500" s="14">
        <f t="shared" si="45"/>
        <v>40.030368457206748</v>
      </c>
      <c r="G500" s="14">
        <f t="shared" si="46"/>
        <v>40.030368457206734</v>
      </c>
    </row>
    <row r="501" spans="2:7" x14ac:dyDescent="0.2">
      <c r="B501" s="14">
        <f t="shared" si="43"/>
        <v>10.541844891060945</v>
      </c>
      <c r="C501" s="14">
        <f t="shared" si="42"/>
        <v>4.4581551089390548</v>
      </c>
      <c r="D501" s="8">
        <f t="shared" si="47"/>
        <v>53.200000000000486</v>
      </c>
      <c r="E501" s="14">
        <f t="shared" si="44"/>
        <v>40.150544500479981</v>
      </c>
      <c r="F501" s="14">
        <f t="shared" si="45"/>
        <v>40.150646482732604</v>
      </c>
      <c r="G501" s="14">
        <f t="shared" si="46"/>
        <v>40.15064648273259</v>
      </c>
    </row>
    <row r="502" spans="2:7" x14ac:dyDescent="0.2">
      <c r="B502" s="14">
        <f t="shared" si="43"/>
        <v>10.544331785064568</v>
      </c>
      <c r="C502" s="14">
        <f t="shared" si="42"/>
        <v>4.4556682149354323</v>
      </c>
      <c r="D502" s="8">
        <f t="shared" si="47"/>
        <v>53.300000000000487</v>
      </c>
      <c r="E502" s="14">
        <f t="shared" si="44"/>
        <v>40.270932030155009</v>
      </c>
      <c r="F502" s="14">
        <f t="shared" si="45"/>
        <v>40.271033897285299</v>
      </c>
      <c r="G502" s="14">
        <f t="shared" si="46"/>
        <v>40.271033897285292</v>
      </c>
    </row>
    <row r="503" spans="2:7" x14ac:dyDescent="0.2">
      <c r="B503" s="14">
        <f t="shared" si="43"/>
        <v>10.54681125240193</v>
      </c>
      <c r="C503" s="14">
        <f t="shared" si="42"/>
        <v>4.4531887475980696</v>
      </c>
      <c r="D503" s="8">
        <f t="shared" si="47"/>
        <v>53.400000000000489</v>
      </c>
      <c r="E503" s="14">
        <f t="shared" si="44"/>
        <v>40.391428790332519</v>
      </c>
      <c r="F503" s="14">
        <f t="shared" si="45"/>
        <v>40.391530542609793</v>
      </c>
      <c r="G503" s="14">
        <f t="shared" si="46"/>
        <v>40.391530542609729</v>
      </c>
    </row>
    <row r="504" spans="2:7" x14ac:dyDescent="0.2">
      <c r="B504" s="14">
        <f t="shared" si="43"/>
        <v>10.54928333062732</v>
      </c>
      <c r="C504" s="14">
        <f t="shared" si="42"/>
        <v>4.4507166693726798</v>
      </c>
      <c r="D504" s="8">
        <f t="shared" si="47"/>
        <v>53.50000000000049</v>
      </c>
      <c r="E504" s="14">
        <f t="shared" si="44"/>
        <v>40.512034623191845</v>
      </c>
      <c r="F504" s="14">
        <f t="shared" si="45"/>
        <v>40.512136260955657</v>
      </c>
      <c r="G504" s="14">
        <f t="shared" si="46"/>
        <v>40.512136260955636</v>
      </c>
    </row>
    <row r="505" spans="2:7" x14ac:dyDescent="0.2">
      <c r="B505" s="14">
        <f t="shared" si="43"/>
        <v>10.551748057029499</v>
      </c>
      <c r="C505" s="14">
        <f t="shared" si="42"/>
        <v>4.4482519429705007</v>
      </c>
      <c r="D505" s="8">
        <f t="shared" si="47"/>
        <v>53.600000000000492</v>
      </c>
      <c r="E505" s="14">
        <f t="shared" si="44"/>
        <v>40.632749371490455</v>
      </c>
      <c r="F505" s="14">
        <f t="shared" si="45"/>
        <v>40.632850895075144</v>
      </c>
      <c r="G505" s="14">
        <f t="shared" si="46"/>
        <v>40.632850895075073</v>
      </c>
    </row>
    <row r="506" spans="2:7" x14ac:dyDescent="0.2">
      <c r="B506" s="14">
        <f t="shared" si="43"/>
        <v>10.554205468634066</v>
      </c>
      <c r="C506" s="14">
        <f t="shared" si="42"/>
        <v>4.4457945313659337</v>
      </c>
      <c r="D506" s="8">
        <f t="shared" si="47"/>
        <v>53.700000000000493</v>
      </c>
      <c r="E506" s="14">
        <f t="shared" si="44"/>
        <v>40.753572878548695</v>
      </c>
      <c r="F506" s="14">
        <f t="shared" si="45"/>
        <v>40.75367428821999</v>
      </c>
      <c r="G506" s="14">
        <f t="shared" si="46"/>
        <v>40.753674288219926</v>
      </c>
    </row>
    <row r="507" spans="2:7" x14ac:dyDescent="0.2">
      <c r="B507" s="14">
        <f t="shared" si="43"/>
        <v>10.55665560220587</v>
      </c>
      <c r="C507" s="14">
        <f t="shared" si="42"/>
        <v>4.4433443977941298</v>
      </c>
      <c r="D507" s="8">
        <f t="shared" si="47"/>
        <v>53.800000000000495</v>
      </c>
      <c r="E507" s="14">
        <f t="shared" si="44"/>
        <v>40.874504988046894</v>
      </c>
      <c r="F507" s="14">
        <f t="shared" si="45"/>
        <v>40.87460628413951</v>
      </c>
      <c r="G507" s="14">
        <f t="shared" si="46"/>
        <v>40.874606284139453</v>
      </c>
    </row>
    <row r="508" spans="2:7" x14ac:dyDescent="0.2">
      <c r="B508" s="14">
        <f t="shared" si="43"/>
        <v>10.559098494251343</v>
      </c>
      <c r="C508" s="14">
        <f t="shared" si="42"/>
        <v>4.4409015057486574</v>
      </c>
      <c r="D508" s="8">
        <f t="shared" si="47"/>
        <v>53.900000000000496</v>
      </c>
      <c r="E508" s="14">
        <f t="shared" si="44"/>
        <v>40.995545544239</v>
      </c>
      <c r="F508" s="14">
        <f t="shared" si="45"/>
        <v>40.995646727077855</v>
      </c>
      <c r="G508" s="14">
        <f t="shared" si="46"/>
        <v>40.995646727077848</v>
      </c>
    </row>
    <row r="509" spans="2:7" x14ac:dyDescent="0.2">
      <c r="B509" s="14">
        <f t="shared" si="43"/>
        <v>10.561534181020834</v>
      </c>
      <c r="C509" s="14">
        <f t="shared" si="42"/>
        <v>4.4384658189791661</v>
      </c>
      <c r="D509" s="8">
        <f t="shared" si="47"/>
        <v>54.000000000000497</v>
      </c>
      <c r="E509" s="14">
        <f t="shared" si="44"/>
        <v>41.116694391879385</v>
      </c>
      <c r="F509" s="14">
        <f t="shared" si="45"/>
        <v>41.116795461771744</v>
      </c>
      <c r="G509" s="14">
        <f t="shared" si="46"/>
        <v>41.116795461771737</v>
      </c>
    </row>
    <row r="510" spans="2:7" x14ac:dyDescent="0.2">
      <c r="B510" s="14">
        <f t="shared" si="43"/>
        <v>10.563962698510903</v>
      </c>
      <c r="C510" s="14">
        <f t="shared" si="42"/>
        <v>4.4360373014890975</v>
      </c>
      <c r="D510" s="8">
        <f t="shared" si="47"/>
        <v>54.100000000000499</v>
      </c>
      <c r="E510" s="14">
        <f t="shared" si="44"/>
        <v>41.237951376182906</v>
      </c>
      <c r="F510" s="14">
        <f t="shared" si="45"/>
        <v>41.238052333447833</v>
      </c>
      <c r="G510" s="14">
        <f t="shared" si="46"/>
        <v>41.238052333447847</v>
      </c>
    </row>
    <row r="511" spans="2:7" x14ac:dyDescent="0.2">
      <c r="B511" s="14">
        <f t="shared" si="43"/>
        <v>10.566384082466605</v>
      </c>
      <c r="C511" s="14">
        <f t="shared" si="42"/>
        <v>4.4336159175333947</v>
      </c>
      <c r="D511" s="8">
        <f t="shared" si="47"/>
        <v>54.2000000000005</v>
      </c>
      <c r="E511" s="14">
        <f t="shared" si="44"/>
        <v>41.359316342880426</v>
      </c>
      <c r="F511" s="14">
        <f t="shared" si="45"/>
        <v>41.359417187820561</v>
      </c>
      <c r="G511" s="14">
        <f t="shared" si="46"/>
        <v>41.359417187820554</v>
      </c>
    </row>
    <row r="512" spans="2:7" x14ac:dyDescent="0.2">
      <c r="B512" s="14">
        <f t="shared" si="43"/>
        <v>10.56879836838373</v>
      </c>
      <c r="C512" s="14">
        <f t="shared" si="42"/>
        <v>4.4312016316162701</v>
      </c>
      <c r="D512" s="8">
        <f t="shared" si="47"/>
        <v>54.300000000000502</v>
      </c>
      <c r="E512" s="14">
        <f t="shared" si="44"/>
        <v>41.480789138190211</v>
      </c>
      <c r="F512" s="14">
        <f t="shared" si="45"/>
        <v>41.480889871089488</v>
      </c>
      <c r="G512" s="14">
        <f t="shared" si="46"/>
        <v>41.480889871089495</v>
      </c>
    </row>
    <row r="513" spans="2:7" x14ac:dyDescent="0.2">
      <c r="B513" s="14">
        <f t="shared" si="43"/>
        <v>10.571205591511038</v>
      </c>
      <c r="C513" s="14">
        <f t="shared" si="42"/>
        <v>4.4287944084889617</v>
      </c>
      <c r="D513" s="8">
        <f t="shared" si="47"/>
        <v>54.400000000000503</v>
      </c>
      <c r="E513" s="14">
        <f t="shared" si="44"/>
        <v>41.602369608763134</v>
      </c>
      <c r="F513" s="14">
        <f t="shared" si="45"/>
        <v>41.60247022993719</v>
      </c>
      <c r="G513" s="14">
        <f t="shared" si="46"/>
        <v>41.602470229937197</v>
      </c>
    </row>
    <row r="514" spans="2:7" x14ac:dyDescent="0.2">
      <c r="B514" s="14">
        <f t="shared" si="43"/>
        <v>10.573605786852458</v>
      </c>
      <c r="C514" s="14">
        <f t="shared" si="42"/>
        <v>4.4263942131475424</v>
      </c>
      <c r="D514" s="8">
        <f t="shared" si="47"/>
        <v>54.500000000000504</v>
      </c>
      <c r="E514" s="14">
        <f t="shared" si="44"/>
        <v>41.724057601755185</v>
      </c>
      <c r="F514" s="14">
        <f t="shared" si="45"/>
        <v>41.724158111526734</v>
      </c>
      <c r="G514" s="14">
        <f t="shared" si="46"/>
        <v>41.724158111526755</v>
      </c>
    </row>
    <row r="515" spans="2:7" x14ac:dyDescent="0.2">
      <c r="B515" s="14">
        <f t="shared" si="43"/>
        <v>10.575998989169266</v>
      </c>
      <c r="C515" s="14">
        <f t="shared" si="42"/>
        <v>4.4240010108307342</v>
      </c>
      <c r="D515" s="8">
        <f t="shared" si="47"/>
        <v>54.600000000000506</v>
      </c>
      <c r="E515" s="14">
        <f t="shared" si="44"/>
        <v>41.845852964861386</v>
      </c>
      <c r="F515" s="14">
        <f t="shared" si="45"/>
        <v>41.845953363499447</v>
      </c>
      <c r="G515" s="14">
        <f t="shared" si="46"/>
        <v>41.845953363499426</v>
      </c>
    </row>
    <row r="516" spans="2:7" x14ac:dyDescent="0.2">
      <c r="B516" s="14">
        <f t="shared" si="43"/>
        <v>10.578385232982232</v>
      </c>
      <c r="C516" s="14">
        <f t="shared" si="42"/>
        <v>4.4216147670177683</v>
      </c>
      <c r="D516" s="8">
        <f t="shared" si="47"/>
        <v>54.700000000000507</v>
      </c>
      <c r="E516" s="14">
        <f t="shared" si="44"/>
        <v>41.967755546152901</v>
      </c>
      <c r="F516" s="14">
        <f t="shared" si="45"/>
        <v>41.967855833972358</v>
      </c>
      <c r="G516" s="14">
        <f t="shared" si="46"/>
        <v>41.967855833972386</v>
      </c>
    </row>
    <row r="517" spans="2:7" x14ac:dyDescent="0.2">
      <c r="B517" s="14">
        <f t="shared" si="43"/>
        <v>10.580764552573772</v>
      </c>
      <c r="C517" s="14">
        <f t="shared" si="42"/>
        <v>4.4192354474262281</v>
      </c>
      <c r="D517" s="8">
        <f t="shared" si="47"/>
        <v>54.800000000000509</v>
      </c>
      <c r="E517" s="14">
        <f t="shared" si="44"/>
        <v>42.089765194228519</v>
      </c>
      <c r="F517" s="14">
        <f t="shared" si="45"/>
        <v>42.089865371536348</v>
      </c>
      <c r="G517" s="14">
        <f t="shared" si="46"/>
        <v>42.089865371536327</v>
      </c>
    </row>
    <row r="518" spans="2:7" x14ac:dyDescent="0.2">
      <c r="B518" s="14">
        <f t="shared" si="43"/>
        <v>10.583136981990027</v>
      </c>
      <c r="C518" s="14">
        <f t="shared" si="42"/>
        <v>4.4168630180099733</v>
      </c>
      <c r="D518" s="8">
        <f t="shared" si="47"/>
        <v>54.90000000000051</v>
      </c>
      <c r="E518" s="14">
        <f t="shared" si="44"/>
        <v>42.211881758186898</v>
      </c>
      <c r="F518" s="14">
        <f t="shared" si="45"/>
        <v>42.211981825253254</v>
      </c>
      <c r="G518" s="14">
        <f t="shared" si="46"/>
        <v>42.211981825253268</v>
      </c>
    </row>
    <row r="519" spans="2:7" x14ac:dyDescent="0.2">
      <c r="B519" s="14">
        <f t="shared" si="43"/>
        <v>10.585502555042975</v>
      </c>
      <c r="C519" s="14">
        <f t="shared" si="42"/>
        <v>4.4144974449570249</v>
      </c>
      <c r="D519" s="8">
        <f t="shared" si="47"/>
        <v>55.000000000000512</v>
      </c>
      <c r="E519" s="14">
        <f t="shared" si="44"/>
        <v>42.334105087507552</v>
      </c>
      <c r="F519" s="14">
        <f t="shared" si="45"/>
        <v>42.334205044654169</v>
      </c>
      <c r="G519" s="14">
        <f t="shared" si="46"/>
        <v>42.334205044654176</v>
      </c>
    </row>
    <row r="520" spans="2:7" x14ac:dyDescent="0.2">
      <c r="B520" s="14">
        <f t="shared" si="43"/>
        <v>10.587861305312478</v>
      </c>
      <c r="C520" s="14">
        <f t="shared" si="42"/>
        <v>4.4121386946875223</v>
      </c>
      <c r="D520" s="8">
        <f t="shared" si="47"/>
        <v>55.100000000000513</v>
      </c>
      <c r="E520" s="14">
        <f t="shared" si="44"/>
        <v>42.456435032221158</v>
      </c>
      <c r="F520" s="14">
        <f t="shared" si="45"/>
        <v>42.456534879736751</v>
      </c>
      <c r="G520" s="14">
        <f t="shared" si="46"/>
        <v>42.456534879736765</v>
      </c>
    </row>
    <row r="521" spans="2:7" x14ac:dyDescent="0.2">
      <c r="B521" s="14">
        <f t="shared" si="43"/>
        <v>10.590213266148329</v>
      </c>
      <c r="C521" s="14">
        <f t="shared" si="42"/>
        <v>4.4097867338516714</v>
      </c>
      <c r="D521" s="8">
        <f t="shared" si="47"/>
        <v>55.200000000000514</v>
      </c>
      <c r="E521" s="14">
        <f t="shared" si="44"/>
        <v>42.578871442785008</v>
      </c>
      <c r="F521" s="14">
        <f t="shared" si="45"/>
        <v>42.578971180963222</v>
      </c>
      <c r="G521" s="14">
        <f t="shared" si="46"/>
        <v>42.578971180963222</v>
      </c>
    </row>
    <row r="522" spans="2:7" x14ac:dyDescent="0.2">
      <c r="B522" s="14">
        <f t="shared" si="43"/>
        <v>10.592558470672268</v>
      </c>
      <c r="C522" s="14">
        <f t="shared" si="42"/>
        <v>4.4074415293277323</v>
      </c>
      <c r="D522" s="8">
        <f t="shared" si="47"/>
        <v>55.300000000000516</v>
      </c>
      <c r="E522" s="14">
        <f t="shared" si="44"/>
        <v>42.701414170121225</v>
      </c>
      <c r="F522" s="14">
        <f t="shared" si="45"/>
        <v>42.701513799257981</v>
      </c>
      <c r="G522" s="14">
        <f t="shared" si="46"/>
        <v>42.701513799258009</v>
      </c>
    </row>
    <row r="523" spans="2:7" x14ac:dyDescent="0.2">
      <c r="B523" s="14">
        <f t="shared" si="43"/>
        <v>10.594896951779985</v>
      </c>
      <c r="C523" s="14">
        <f t="shared" si="42"/>
        <v>4.4051030482200151</v>
      </c>
      <c r="D523" s="8">
        <f t="shared" si="47"/>
        <v>55.400000000000517</v>
      </c>
      <c r="E523" s="14">
        <f t="shared" si="44"/>
        <v>42.82406306561257</v>
      </c>
      <c r="F523" s="14">
        <f t="shared" si="45"/>
        <v>42.824162586005528</v>
      </c>
      <c r="G523" s="14">
        <f t="shared" si="46"/>
        <v>42.824162586005535</v>
      </c>
    </row>
    <row r="524" spans="2:7" x14ac:dyDescent="0.2">
      <c r="B524" s="14">
        <f t="shared" si="43"/>
        <v>10.59722874214309</v>
      </c>
      <c r="C524" s="14">
        <f t="shared" si="42"/>
        <v>4.4027712578569105</v>
      </c>
      <c r="D524" s="8">
        <f t="shared" si="47"/>
        <v>55.500000000000519</v>
      </c>
      <c r="E524" s="14">
        <f t="shared" si="44"/>
        <v>42.946817981119516</v>
      </c>
      <c r="F524" s="14">
        <f t="shared" si="45"/>
        <v>42.946917393048111</v>
      </c>
      <c r="G524" s="14">
        <f t="shared" si="46"/>
        <v>42.946917393048118</v>
      </c>
    </row>
    <row r="525" spans="2:7" x14ac:dyDescent="0.2">
      <c r="B525" s="14">
        <f t="shared" si="43"/>
        <v>10.59955387421107</v>
      </c>
      <c r="C525" s="14">
        <f t="shared" si="42"/>
        <v>4.40044612578893</v>
      </c>
      <c r="D525" s="8">
        <f t="shared" si="47"/>
        <v>55.60000000000052</v>
      </c>
      <c r="E525" s="14">
        <f t="shared" si="44"/>
        <v>43.069678768936988</v>
      </c>
      <c r="F525" s="14">
        <f t="shared" si="45"/>
        <v>43.069778072683647</v>
      </c>
      <c r="G525" s="14">
        <f t="shared" si="46"/>
        <v>43.06977807268364</v>
      </c>
    </row>
    <row r="526" spans="2:7" x14ac:dyDescent="0.2">
      <c r="B526" s="14">
        <f t="shared" si="43"/>
        <v>10.601872380213226</v>
      </c>
      <c r="C526" s="14">
        <f t="shared" si="42"/>
        <v>4.3981276197867736</v>
      </c>
      <c r="D526" s="8">
        <f t="shared" si="47"/>
        <v>55.700000000000522</v>
      </c>
      <c r="E526" s="14">
        <f t="shared" si="44"/>
        <v>43.19264528180436</v>
      </c>
      <c r="F526" s="14">
        <f t="shared" si="45"/>
        <v>43.19274447766346</v>
      </c>
      <c r="G526" s="14">
        <f t="shared" si="46"/>
        <v>43.192744477663453</v>
      </c>
    </row>
    <row r="527" spans="2:7" x14ac:dyDescent="0.2">
      <c r="B527" s="14">
        <f t="shared" si="43"/>
        <v>10.604184292160587</v>
      </c>
      <c r="C527" s="14">
        <f t="shared" si="42"/>
        <v>4.3958157078394127</v>
      </c>
      <c r="D527" s="8">
        <f t="shared" si="47"/>
        <v>55.800000000000523</v>
      </c>
      <c r="E527" s="14">
        <f t="shared" si="44"/>
        <v>43.315717372920652</v>
      </c>
      <c r="F527" s="14">
        <f t="shared" si="45"/>
        <v>43.315816461190217</v>
      </c>
      <c r="G527" s="14">
        <f t="shared" si="46"/>
        <v>43.315816461190202</v>
      </c>
    </row>
    <row r="528" spans="2:7" x14ac:dyDescent="0.2">
      <c r="B528" s="14">
        <f t="shared" si="43"/>
        <v>10.6064896418478</v>
      </c>
      <c r="C528" s="14">
        <f t="shared" si="42"/>
        <v>4.3935103581522004</v>
      </c>
      <c r="D528" s="8">
        <f t="shared" si="47"/>
        <v>55.900000000000524</v>
      </c>
      <c r="E528" s="14">
        <f t="shared" si="44"/>
        <v>43.4388948959987</v>
      </c>
      <c r="F528" s="14">
        <f t="shared" si="45"/>
        <v>43.438993876915688</v>
      </c>
      <c r="G528" s="14">
        <f t="shared" si="46"/>
        <v>43.438993876915646</v>
      </c>
    </row>
    <row r="529" spans="2:7" x14ac:dyDescent="0.2">
      <c r="B529" s="14">
        <f t="shared" si="43"/>
        <v>10.608788460854999</v>
      </c>
      <c r="C529" s="14">
        <f t="shared" si="42"/>
        <v>4.3912115391450008</v>
      </c>
      <c r="D529" s="8">
        <f t="shared" si="47"/>
        <v>56.000000000000526</v>
      </c>
      <c r="E529" s="14">
        <f t="shared" si="44"/>
        <v>43.5621777050563</v>
      </c>
      <c r="F529" s="14">
        <f t="shared" si="45"/>
        <v>43.562276578938551</v>
      </c>
      <c r="G529" s="14">
        <f t="shared" si="46"/>
        <v>43.562276578938594</v>
      </c>
    </row>
    <row r="530" spans="2:7" x14ac:dyDescent="0.2">
      <c r="B530" s="14">
        <f t="shared" si="43"/>
        <v>10.611080780549683</v>
      </c>
      <c r="C530" s="14">
        <f t="shared" si="42"/>
        <v>4.388919219450317</v>
      </c>
      <c r="D530" s="8">
        <f t="shared" si="47"/>
        <v>56.100000000000527</v>
      </c>
      <c r="E530" s="14">
        <f t="shared" si="44"/>
        <v>43.685565654628761</v>
      </c>
      <c r="F530" s="14">
        <f t="shared" si="45"/>
        <v>43.685664421802656</v>
      </c>
      <c r="G530" s="14">
        <f t="shared" si="46"/>
        <v>43.68566442180267</v>
      </c>
    </row>
    <row r="531" spans="2:7" x14ac:dyDescent="0.2">
      <c r="B531" s="14">
        <f t="shared" si="43"/>
        <v>10.613366632088518</v>
      </c>
      <c r="C531" s="14">
        <f t="shared" ref="C531:C594" si="48">$C$14-B531</f>
        <v>4.3866333679114824</v>
      </c>
      <c r="D531" s="8">
        <f t="shared" si="47"/>
        <v>56.200000000000529</v>
      </c>
      <c r="E531" s="14">
        <f t="shared" si="44"/>
        <v>43.809058599788997</v>
      </c>
      <c r="F531" s="14">
        <f t="shared" si="45"/>
        <v>43.809157260494324</v>
      </c>
      <c r="G531" s="14">
        <f t="shared" si="46"/>
        <v>43.80915726049431</v>
      </c>
    </row>
    <row r="532" spans="2:7" x14ac:dyDescent="0.2">
      <c r="B532" s="14">
        <f t="shared" ref="B532:B595" si="49">$C$14*(LN(D532)-LN($F$14))/(1+LN(D532)-LN($F$14))</f>
        <v>10.615646046419171</v>
      </c>
      <c r="C532" s="14">
        <f t="shared" si="48"/>
        <v>4.3843539535808294</v>
      </c>
      <c r="D532" s="8">
        <f t="shared" si="47"/>
        <v>56.30000000000053</v>
      </c>
      <c r="E532" s="14">
        <f t="shared" ref="E532:E595" si="50">(D533-D531)/(B533-B531)</f>
        <v>43.9326563959672</v>
      </c>
      <c r="F532" s="14">
        <f t="shared" ref="F532:F595" si="51">D532*$C$14/(C532*C532)</f>
        <v>43.932754950440675</v>
      </c>
      <c r="G532" s="14">
        <f t="shared" ref="G532:G595" si="52">D532*(1+LN(D532/$F$14))*(1+LN(D532/$F$14))/$C$14</f>
        <v>43.93275495044066</v>
      </c>
    </row>
    <row r="533" spans="2:7" x14ac:dyDescent="0.2">
      <c r="B533" s="14">
        <f t="shared" si="49"/>
        <v>10.617919054282099</v>
      </c>
      <c r="C533" s="14">
        <f t="shared" si="48"/>
        <v>4.3820809457179006</v>
      </c>
      <c r="D533" s="8">
        <f t="shared" ref="D533:D596" si="53">D532+0.1</f>
        <v>56.400000000000531</v>
      </c>
      <c r="E533" s="14">
        <f t="shared" si="50"/>
        <v>44.056358898924223</v>
      </c>
      <c r="F533" s="14">
        <f t="shared" si="51"/>
        <v>44.05645734750734</v>
      </c>
      <c r="G533" s="14">
        <f t="shared" si="52"/>
        <v>44.05645734750739</v>
      </c>
    </row>
    <row r="534" spans="2:7" x14ac:dyDescent="0.2">
      <c r="B534" s="14">
        <f t="shared" si="49"/>
        <v>10.620185686212347</v>
      </c>
      <c r="C534" s="14">
        <f t="shared" si="48"/>
        <v>4.3798143137876533</v>
      </c>
      <c r="D534" s="8">
        <f t="shared" si="53"/>
        <v>56.500000000000533</v>
      </c>
      <c r="E534" s="14">
        <f t="shared" si="50"/>
        <v>44.180165965006104</v>
      </c>
      <c r="F534" s="14">
        <f t="shared" si="51"/>
        <v>44.180264307996765</v>
      </c>
      <c r="G534" s="14">
        <f t="shared" si="52"/>
        <v>44.180264307996772</v>
      </c>
    </row>
    <row r="535" spans="2:7" x14ac:dyDescent="0.2">
      <c r="B535" s="14">
        <f t="shared" si="49"/>
        <v>10.622445972541266</v>
      </c>
      <c r="C535" s="14">
        <f t="shared" si="48"/>
        <v>4.3775540274587339</v>
      </c>
      <c r="D535" s="8">
        <f t="shared" si="53"/>
        <v>56.600000000000534</v>
      </c>
      <c r="E535" s="14">
        <f t="shared" si="50"/>
        <v>44.304077451045721</v>
      </c>
      <c r="F535" s="14">
        <f t="shared" si="51"/>
        <v>44.304175688645508</v>
      </c>
      <c r="G535" s="14">
        <f t="shared" si="52"/>
        <v>44.3041756886455</v>
      </c>
    </row>
    <row r="536" spans="2:7" x14ac:dyDescent="0.2">
      <c r="B536" s="14">
        <f t="shared" si="49"/>
        <v>10.624699943398291</v>
      </c>
      <c r="C536" s="14">
        <f t="shared" si="48"/>
        <v>4.3753000566017093</v>
      </c>
      <c r="D536" s="8">
        <f t="shared" si="53"/>
        <v>56.700000000000536</v>
      </c>
      <c r="E536" s="14">
        <f t="shared" si="50"/>
        <v>44.428093214107825</v>
      </c>
      <c r="F536" s="14">
        <f t="shared" si="51"/>
        <v>44.428191346622739</v>
      </c>
      <c r="G536" s="14">
        <f t="shared" si="52"/>
        <v>44.428191346622746</v>
      </c>
    </row>
    <row r="537" spans="2:7" x14ac:dyDescent="0.2">
      <c r="B537" s="14">
        <f t="shared" si="49"/>
        <v>10.626947628712648</v>
      </c>
      <c r="C537" s="14">
        <f t="shared" si="48"/>
        <v>4.3730523712873524</v>
      </c>
      <c r="D537" s="8">
        <f t="shared" si="53"/>
        <v>56.800000000000537</v>
      </c>
      <c r="E537" s="14">
        <f t="shared" si="50"/>
        <v>44.552213111794146</v>
      </c>
      <c r="F537" s="14">
        <f t="shared" si="51"/>
        <v>44.552311139528044</v>
      </c>
      <c r="G537" s="14">
        <f t="shared" si="52"/>
        <v>44.552311139528051</v>
      </c>
    </row>
    <row r="538" spans="2:7" x14ac:dyDescent="0.2">
      <c r="B538" s="14">
        <f t="shared" si="49"/>
        <v>10.62918905821506</v>
      </c>
      <c r="C538" s="14">
        <f t="shared" si="48"/>
        <v>4.3708109417849403</v>
      </c>
      <c r="D538" s="8">
        <f t="shared" si="53"/>
        <v>56.900000000000539</v>
      </c>
      <c r="E538" s="14">
        <f t="shared" si="50"/>
        <v>44.676437002190994</v>
      </c>
      <c r="F538" s="14">
        <f t="shared" si="51"/>
        <v>44.676534925389419</v>
      </c>
      <c r="G538" s="14">
        <f t="shared" si="52"/>
        <v>44.676534925389419</v>
      </c>
    </row>
    <row r="539" spans="2:7" x14ac:dyDescent="0.2">
      <c r="B539" s="14">
        <f t="shared" si="49"/>
        <v>10.631424261439429</v>
      </c>
      <c r="C539" s="14">
        <f t="shared" si="48"/>
        <v>4.3685757385605708</v>
      </c>
      <c r="D539" s="8">
        <f t="shared" si="53"/>
        <v>57.00000000000054</v>
      </c>
      <c r="E539" s="14">
        <f t="shared" si="50"/>
        <v>44.800764743730376</v>
      </c>
      <c r="F539" s="14">
        <f t="shared" si="51"/>
        <v>44.800862562661138</v>
      </c>
      <c r="G539" s="14">
        <f t="shared" si="52"/>
        <v>44.800862562661152</v>
      </c>
    </row>
    <row r="540" spans="2:7" x14ac:dyDescent="0.2">
      <c r="B540" s="14">
        <f t="shared" si="49"/>
        <v>10.633653267724519</v>
      </c>
      <c r="C540" s="14">
        <f t="shared" si="48"/>
        <v>4.3663467322754812</v>
      </c>
      <c r="D540" s="8">
        <f t="shared" si="53"/>
        <v>57.100000000000541</v>
      </c>
      <c r="E540" s="14">
        <f t="shared" si="50"/>
        <v>44.925196195283881</v>
      </c>
      <c r="F540" s="14">
        <f t="shared" si="51"/>
        <v>44.92529391022201</v>
      </c>
      <c r="G540" s="14">
        <f t="shared" si="52"/>
        <v>44.925293910221995</v>
      </c>
    </row>
    <row r="541" spans="2:7" x14ac:dyDescent="0.2">
      <c r="B541" s="14">
        <f t="shared" si="49"/>
        <v>10.635876106215591</v>
      </c>
      <c r="C541" s="14">
        <f t="shared" si="48"/>
        <v>4.3641238937844093</v>
      </c>
      <c r="D541" s="8">
        <f t="shared" si="53"/>
        <v>57.200000000000543</v>
      </c>
      <c r="E541" s="14">
        <f t="shared" si="50"/>
        <v>45.0497312161379</v>
      </c>
      <c r="F541" s="14">
        <f t="shared" si="51"/>
        <v>45.049828827373155</v>
      </c>
      <c r="G541" s="14">
        <f t="shared" si="52"/>
        <v>45.049828827373162</v>
      </c>
    </row>
    <row r="542" spans="2:7" x14ac:dyDescent="0.2">
      <c r="B542" s="14">
        <f t="shared" si="49"/>
        <v>10.638092805866055</v>
      </c>
      <c r="C542" s="14">
        <f t="shared" si="48"/>
        <v>4.3619071941339449</v>
      </c>
      <c r="D542" s="8">
        <f t="shared" si="53"/>
        <v>57.300000000000544</v>
      </c>
      <c r="E542" s="14">
        <f t="shared" si="50"/>
        <v>45.174369666044853</v>
      </c>
      <c r="F542" s="14">
        <f t="shared" si="51"/>
        <v>45.174467173836291</v>
      </c>
      <c r="G542" s="14">
        <f t="shared" si="52"/>
        <v>45.174467173836277</v>
      </c>
    </row>
    <row r="543" spans="2:7" x14ac:dyDescent="0.2">
      <c r="B543" s="14">
        <f t="shared" si="49"/>
        <v>10.640303395439071</v>
      </c>
      <c r="C543" s="14">
        <f t="shared" si="48"/>
        <v>4.3596966045609289</v>
      </c>
      <c r="D543" s="8">
        <f t="shared" si="53"/>
        <v>57.400000000000546</v>
      </c>
      <c r="E543" s="14">
        <f t="shared" si="50"/>
        <v>45.299111405171054</v>
      </c>
      <c r="F543" s="14">
        <f t="shared" si="51"/>
        <v>45.299208809751462</v>
      </c>
      <c r="G543" s="14">
        <f t="shared" si="52"/>
        <v>45.299208809751448</v>
      </c>
    </row>
    <row r="544" spans="2:7" x14ac:dyDescent="0.2">
      <c r="B544" s="14">
        <f t="shared" si="49"/>
        <v>10.642507903509166</v>
      </c>
      <c r="C544" s="14">
        <f t="shared" si="48"/>
        <v>4.3574920964908337</v>
      </c>
      <c r="D544" s="8">
        <f t="shared" si="53"/>
        <v>57.500000000000547</v>
      </c>
      <c r="E544" s="14">
        <f t="shared" si="50"/>
        <v>45.423956294010402</v>
      </c>
      <c r="F544" s="14">
        <f t="shared" si="51"/>
        <v>45.42405359567541</v>
      </c>
      <c r="G544" s="14">
        <f t="shared" si="52"/>
        <v>45.424053595675431</v>
      </c>
    </row>
    <row r="545" spans="2:7" x14ac:dyDescent="0.2">
      <c r="B545" s="14">
        <f t="shared" si="49"/>
        <v>10.644706358463813</v>
      </c>
      <c r="C545" s="14">
        <f t="shared" si="48"/>
        <v>4.3552936415361874</v>
      </c>
      <c r="D545" s="8">
        <f t="shared" si="53"/>
        <v>57.600000000000549</v>
      </c>
      <c r="E545" s="14">
        <f t="shared" si="50"/>
        <v>45.54890419353903</v>
      </c>
      <c r="F545" s="14">
        <f t="shared" si="51"/>
        <v>45.549001392579513</v>
      </c>
      <c r="G545" s="14">
        <f t="shared" si="52"/>
        <v>45.549001392579541</v>
      </c>
    </row>
    <row r="546" spans="2:7" x14ac:dyDescent="0.2">
      <c r="B546" s="14">
        <f t="shared" si="49"/>
        <v>10.646898788504998</v>
      </c>
      <c r="C546" s="14">
        <f t="shared" si="48"/>
        <v>4.3531012114950016</v>
      </c>
      <c r="D546" s="8">
        <f t="shared" si="53"/>
        <v>57.70000000000055</v>
      </c>
      <c r="E546" s="14">
        <f t="shared" si="50"/>
        <v>45.673954965175398</v>
      </c>
      <c r="F546" s="14">
        <f t="shared" si="51"/>
        <v>45.674052061847888</v>
      </c>
      <c r="G546" s="14">
        <f t="shared" si="52"/>
        <v>45.674052061847874</v>
      </c>
    </row>
    <row r="547" spans="2:7" x14ac:dyDescent="0.2">
      <c r="B547" s="14">
        <f t="shared" si="49"/>
        <v>10.649085221650775</v>
      </c>
      <c r="C547" s="14">
        <f t="shared" si="48"/>
        <v>4.3509147783492246</v>
      </c>
      <c r="D547" s="8">
        <f t="shared" si="53"/>
        <v>57.800000000000551</v>
      </c>
      <c r="E547" s="14">
        <f t="shared" si="50"/>
        <v>45.799108470761901</v>
      </c>
      <c r="F547" s="14">
        <f t="shared" si="51"/>
        <v>45.79920546527535</v>
      </c>
      <c r="G547" s="14">
        <f t="shared" si="52"/>
        <v>45.799205465275321</v>
      </c>
    </row>
    <row r="548" spans="2:7" x14ac:dyDescent="0.2">
      <c r="B548" s="14">
        <f t="shared" si="49"/>
        <v>10.651265685736801</v>
      </c>
      <c r="C548" s="14">
        <f t="shared" si="48"/>
        <v>4.3487343142631989</v>
      </c>
      <c r="D548" s="8">
        <f t="shared" si="53"/>
        <v>57.900000000000553</v>
      </c>
      <c r="E548" s="14">
        <f t="shared" si="50"/>
        <v>45.92436457241876</v>
      </c>
      <c r="F548" s="14">
        <f t="shared" si="51"/>
        <v>45.924461465065704</v>
      </c>
      <c r="G548" s="14">
        <f t="shared" si="52"/>
        <v>45.924461465065704</v>
      </c>
    </row>
    <row r="549" spans="2:7" x14ac:dyDescent="0.2">
      <c r="B549" s="14">
        <f t="shared" si="49"/>
        <v>10.653440208417868</v>
      </c>
      <c r="C549" s="14">
        <f t="shared" si="48"/>
        <v>4.3465597915821323</v>
      </c>
      <c r="D549" s="8">
        <f t="shared" si="53"/>
        <v>58.000000000000554</v>
      </c>
      <c r="E549" s="14">
        <f t="shared" si="50"/>
        <v>46.049723132773927</v>
      </c>
      <c r="F549" s="14">
        <f t="shared" si="51"/>
        <v>46.049819923829936</v>
      </c>
      <c r="G549" s="14">
        <f t="shared" si="52"/>
        <v>46.049819923829922</v>
      </c>
    </row>
    <row r="550" spans="2:7" x14ac:dyDescent="0.2">
      <c r="B550" s="14">
        <f t="shared" si="49"/>
        <v>10.655608817169391</v>
      </c>
      <c r="C550" s="14">
        <f t="shared" si="48"/>
        <v>4.3443911828306092</v>
      </c>
      <c r="D550" s="8">
        <f t="shared" si="53"/>
        <v>58.100000000000556</v>
      </c>
      <c r="E550" s="14">
        <f t="shared" si="50"/>
        <v>46.175184014882646</v>
      </c>
      <c r="F550" s="14">
        <f t="shared" si="51"/>
        <v>46.175280704584026</v>
      </c>
      <c r="G550" s="14">
        <f t="shared" si="52"/>
        <v>46.17528070458404</v>
      </c>
    </row>
    <row r="551" spans="2:7" x14ac:dyDescent="0.2">
      <c r="B551" s="14">
        <f t="shared" si="49"/>
        <v>10.657771539288916</v>
      </c>
      <c r="C551" s="14">
        <f t="shared" si="48"/>
        <v>4.3422284607110839</v>
      </c>
      <c r="D551" s="8">
        <f t="shared" si="53"/>
        <v>58.200000000000557</v>
      </c>
      <c r="E551" s="14">
        <f t="shared" si="50"/>
        <v>46.300747082110327</v>
      </c>
      <c r="F551" s="14">
        <f t="shared" si="51"/>
        <v>46.300843670747405</v>
      </c>
      <c r="G551" s="14">
        <f t="shared" si="52"/>
        <v>46.300843670747419</v>
      </c>
    </row>
    <row r="552" spans="2:7" x14ac:dyDescent="0.2">
      <c r="B552" s="14">
        <f t="shared" si="49"/>
        <v>10.659928401897588</v>
      </c>
      <c r="C552" s="14">
        <f t="shared" si="48"/>
        <v>4.3400715981024121</v>
      </c>
      <c r="D552" s="8">
        <f t="shared" si="53"/>
        <v>58.300000000000558</v>
      </c>
      <c r="E552" s="14">
        <f t="shared" si="50"/>
        <v>46.426412198302643</v>
      </c>
      <c r="F552" s="14">
        <f t="shared" si="51"/>
        <v>46.426508686140942</v>
      </c>
      <c r="G552" s="14">
        <f t="shared" si="52"/>
        <v>46.42650868614097</v>
      </c>
    </row>
    <row r="553" spans="2:7" x14ac:dyDescent="0.2">
      <c r="B553" s="14">
        <f t="shared" si="49"/>
        <v>10.66207943194161</v>
      </c>
      <c r="C553" s="14">
        <f t="shared" si="48"/>
        <v>4.3379205680583901</v>
      </c>
      <c r="D553" s="8">
        <f t="shared" si="53"/>
        <v>58.40000000000056</v>
      </c>
      <c r="E553" s="14">
        <f t="shared" si="50"/>
        <v>46.552179227734214</v>
      </c>
      <c r="F553" s="14">
        <f t="shared" si="51"/>
        <v>46.552275614985184</v>
      </c>
      <c r="G553" s="14">
        <f t="shared" si="52"/>
        <v>46.55227561498517</v>
      </c>
    </row>
    <row r="554" spans="2:7" x14ac:dyDescent="0.2">
      <c r="B554" s="14">
        <f t="shared" si="49"/>
        <v>10.664224656193689</v>
      </c>
      <c r="C554" s="14">
        <f t="shared" si="48"/>
        <v>4.3357753438063114</v>
      </c>
      <c r="D554" s="8">
        <f t="shared" si="53"/>
        <v>58.500000000000561</v>
      </c>
      <c r="E554" s="14">
        <f t="shared" si="50"/>
        <v>46.678048034962764</v>
      </c>
      <c r="F554" s="14">
        <f t="shared" si="51"/>
        <v>46.678144321898365</v>
      </c>
      <c r="G554" s="14">
        <f t="shared" si="52"/>
        <v>46.678144321898387</v>
      </c>
    </row>
    <row r="555" spans="2:7" x14ac:dyDescent="0.2">
      <c r="B555" s="14">
        <f t="shared" si="49"/>
        <v>10.666364101254478</v>
      </c>
      <c r="C555" s="14">
        <f t="shared" si="48"/>
        <v>4.3336358987455217</v>
      </c>
      <c r="D555" s="8">
        <f t="shared" si="53"/>
        <v>58.600000000000563</v>
      </c>
      <c r="E555" s="14">
        <f t="shared" si="50"/>
        <v>46.804018484993613</v>
      </c>
      <c r="F555" s="14">
        <f t="shared" si="51"/>
        <v>46.804114671894986</v>
      </c>
      <c r="G555" s="14">
        <f t="shared" si="52"/>
        <v>46.804114671894986</v>
      </c>
    </row>
    <row r="556" spans="2:7" x14ac:dyDescent="0.2">
      <c r="B556" s="14">
        <f t="shared" si="49"/>
        <v>10.66849779355398</v>
      </c>
      <c r="C556" s="14">
        <f t="shared" si="48"/>
        <v>4.3315022064460198</v>
      </c>
      <c r="D556" s="8">
        <f t="shared" si="53"/>
        <v>58.700000000000564</v>
      </c>
      <c r="E556" s="14">
        <f t="shared" si="50"/>
        <v>46.930090443316587</v>
      </c>
      <c r="F556" s="14">
        <f t="shared" si="51"/>
        <v>46.930186530383551</v>
      </c>
      <c r="G556" s="14">
        <f t="shared" si="52"/>
        <v>46.930186530383544</v>
      </c>
    </row>
    <row r="557" spans="2:7" x14ac:dyDescent="0.2">
      <c r="B557" s="14">
        <f t="shared" si="49"/>
        <v>10.670625759352955</v>
      </c>
      <c r="C557" s="14">
        <f t="shared" si="48"/>
        <v>4.329374240647045</v>
      </c>
      <c r="D557" s="8">
        <f t="shared" si="53"/>
        <v>58.800000000000566</v>
      </c>
      <c r="E557" s="14">
        <f t="shared" si="50"/>
        <v>47.056263775652802</v>
      </c>
      <c r="F557" s="14">
        <f t="shared" si="51"/>
        <v>47.056359763165034</v>
      </c>
      <c r="G557" s="14">
        <f t="shared" si="52"/>
        <v>47.056359763165048</v>
      </c>
    </row>
    <row r="558" spans="2:7" x14ac:dyDescent="0.2">
      <c r="B558" s="14">
        <f t="shared" si="49"/>
        <v>10.672748024744317</v>
      </c>
      <c r="C558" s="14">
        <f t="shared" si="48"/>
        <v>4.3272519752556828</v>
      </c>
      <c r="D558" s="8">
        <f t="shared" si="53"/>
        <v>58.900000000000567</v>
      </c>
      <c r="E558" s="14">
        <f t="shared" si="50"/>
        <v>47.182538348191358</v>
      </c>
      <c r="F558" s="14">
        <f t="shared" si="51"/>
        <v>47.182634236431163</v>
      </c>
      <c r="G558" s="14">
        <f t="shared" si="52"/>
        <v>47.182634236431177</v>
      </c>
    </row>
    <row r="559" spans="2:7" x14ac:dyDescent="0.2">
      <c r="B559" s="14">
        <f t="shared" si="49"/>
        <v>10.674864615654498</v>
      </c>
      <c r="C559" s="14">
        <f t="shared" si="48"/>
        <v>4.3251353843455025</v>
      </c>
      <c r="D559" s="8">
        <f t="shared" si="53"/>
        <v>59.000000000000568</v>
      </c>
      <c r="E559" s="14">
        <f t="shared" si="50"/>
        <v>47.308914027579114</v>
      </c>
      <c r="F559" s="14">
        <f t="shared" si="51"/>
        <v>47.309009816762462</v>
      </c>
      <c r="G559" s="14">
        <f t="shared" si="52"/>
        <v>47.309009816762469</v>
      </c>
    </row>
    <row r="560" spans="2:7" x14ac:dyDescent="0.2">
      <c r="B560" s="14">
        <f t="shared" si="49"/>
        <v>10.676975557844811</v>
      </c>
      <c r="C560" s="14">
        <f t="shared" si="48"/>
        <v>4.3230244421551891</v>
      </c>
      <c r="D560" s="8">
        <f t="shared" si="53"/>
        <v>59.10000000000057</v>
      </c>
      <c r="E560" s="14">
        <f t="shared" si="50"/>
        <v>47.435390680753819</v>
      </c>
      <c r="F560" s="14">
        <f t="shared" si="51"/>
        <v>47.435486371126565</v>
      </c>
      <c r="G560" s="14">
        <f t="shared" si="52"/>
        <v>47.435486371126579</v>
      </c>
    </row>
    <row r="561" spans="2:7" x14ac:dyDescent="0.2">
      <c r="B561" s="14">
        <f t="shared" si="49"/>
        <v>10.679080876912806</v>
      </c>
      <c r="C561" s="14">
        <f t="shared" si="48"/>
        <v>4.3209191230871937</v>
      </c>
      <c r="D561" s="8">
        <f t="shared" si="53"/>
        <v>59.200000000000571</v>
      </c>
      <c r="E561" s="14">
        <f t="shared" si="50"/>
        <v>47.56196817503686</v>
      </c>
      <c r="F561" s="14">
        <f t="shared" si="51"/>
        <v>47.562063766876548</v>
      </c>
      <c r="G561" s="14">
        <f t="shared" si="52"/>
        <v>47.56206376687657</v>
      </c>
    </row>
    <row r="562" spans="2:7" x14ac:dyDescent="0.2">
      <c r="B562" s="14">
        <f t="shared" si="49"/>
        <v>10.681180598293599</v>
      </c>
      <c r="C562" s="14">
        <f t="shared" si="48"/>
        <v>4.318819401706401</v>
      </c>
      <c r="D562" s="8">
        <f t="shared" si="53"/>
        <v>59.300000000000573</v>
      </c>
      <c r="E562" s="14">
        <f t="shared" si="50"/>
        <v>47.688646378212361</v>
      </c>
      <c r="F562" s="14">
        <f t="shared" si="51"/>
        <v>47.688741871749151</v>
      </c>
      <c r="G562" s="14">
        <f t="shared" si="52"/>
        <v>47.688741871749144</v>
      </c>
    </row>
    <row r="563" spans="2:7" x14ac:dyDescent="0.2">
      <c r="B563" s="14">
        <f t="shared" si="49"/>
        <v>10.683274747261187</v>
      </c>
      <c r="C563" s="14">
        <f t="shared" si="48"/>
        <v>4.3167252527388129</v>
      </c>
      <c r="D563" s="8">
        <f t="shared" si="53"/>
        <v>59.400000000000574</v>
      </c>
      <c r="E563" s="14">
        <f t="shared" si="50"/>
        <v>47.815425158389175</v>
      </c>
      <c r="F563" s="14">
        <f t="shared" si="51"/>
        <v>47.81552055386291</v>
      </c>
      <c r="G563" s="14">
        <f t="shared" si="52"/>
        <v>47.815520553862925</v>
      </c>
    </row>
    <row r="564" spans="2:7" x14ac:dyDescent="0.2">
      <c r="B564" s="14">
        <f t="shared" si="49"/>
        <v>10.685363348929769</v>
      </c>
      <c r="C564" s="14">
        <f t="shared" si="48"/>
        <v>4.3146366510702308</v>
      </c>
      <c r="D564" s="8">
        <f t="shared" si="53"/>
        <v>59.500000000000576</v>
      </c>
      <c r="E564" s="14">
        <f t="shared" si="50"/>
        <v>47.942304384066112</v>
      </c>
      <c r="F564" s="14">
        <f t="shared" si="51"/>
        <v>47.942399681716758</v>
      </c>
      <c r="G564" s="14">
        <f t="shared" si="52"/>
        <v>47.942399681716758</v>
      </c>
    </row>
    <row r="565" spans="2:7" x14ac:dyDescent="0.2">
      <c r="B565" s="14">
        <f t="shared" si="49"/>
        <v>10.687446428255029</v>
      </c>
      <c r="C565" s="14">
        <f t="shared" si="48"/>
        <v>4.3125535717449708</v>
      </c>
      <c r="D565" s="8">
        <f t="shared" si="53"/>
        <v>59.600000000000577</v>
      </c>
      <c r="E565" s="14">
        <f t="shared" si="50"/>
        <v>48.069283924100212</v>
      </c>
      <c r="F565" s="14">
        <f t="shared" si="51"/>
        <v>48.06937912418794</v>
      </c>
      <c r="G565" s="14">
        <f t="shared" si="52"/>
        <v>48.069379124187975</v>
      </c>
    </row>
    <row r="566" spans="2:7" x14ac:dyDescent="0.2">
      <c r="B566" s="14">
        <f t="shared" si="49"/>
        <v>10.689524010035431</v>
      </c>
      <c r="C566" s="14">
        <f t="shared" si="48"/>
        <v>4.3104759899645693</v>
      </c>
      <c r="D566" s="8">
        <f t="shared" si="53"/>
        <v>59.700000000000578</v>
      </c>
      <c r="E566" s="14">
        <f t="shared" si="50"/>
        <v>48.196363647739496</v>
      </c>
      <c r="F566" s="14">
        <f t="shared" si="51"/>
        <v>48.196458750530752</v>
      </c>
      <c r="G566" s="14">
        <f t="shared" si="52"/>
        <v>48.196458750530766</v>
      </c>
    </row>
    <row r="567" spans="2:7" x14ac:dyDescent="0.2">
      <c r="B567" s="14">
        <f t="shared" si="49"/>
        <v>10.691596118913473</v>
      </c>
      <c r="C567" s="14">
        <f t="shared" si="48"/>
        <v>4.3084038810865266</v>
      </c>
      <c r="D567" s="8">
        <f t="shared" si="53"/>
        <v>59.80000000000058</v>
      </c>
      <c r="E567" s="14">
        <f t="shared" si="50"/>
        <v>48.323543424680956</v>
      </c>
      <c r="F567" s="14">
        <f t="shared" si="51"/>
        <v>48.32363843037443</v>
      </c>
      <c r="G567" s="14">
        <f t="shared" si="52"/>
        <v>48.323638430374437</v>
      </c>
    </row>
    <row r="568" spans="2:7" x14ac:dyDescent="0.2">
      <c r="B568" s="14">
        <f t="shared" si="49"/>
        <v>10.693662779376957</v>
      </c>
      <c r="C568" s="14">
        <f t="shared" si="48"/>
        <v>4.3063372206230426</v>
      </c>
      <c r="D568" s="8">
        <f t="shared" si="53"/>
        <v>59.900000000000581</v>
      </c>
      <c r="E568" s="14">
        <f t="shared" si="50"/>
        <v>48.450823124862843</v>
      </c>
      <c r="F568" s="14">
        <f t="shared" si="51"/>
        <v>48.450918033721727</v>
      </c>
      <c r="G568" s="14">
        <f t="shared" si="52"/>
        <v>48.450918033721727</v>
      </c>
    </row>
    <row r="569" spans="2:7" x14ac:dyDescent="0.2">
      <c r="B569" s="14">
        <f t="shared" si="49"/>
        <v>10.695724015760232</v>
      </c>
      <c r="C569" s="14">
        <f t="shared" si="48"/>
        <v>4.3042759842397675</v>
      </c>
      <c r="D569" s="8">
        <f t="shared" si="53"/>
        <v>60.000000000000583</v>
      </c>
      <c r="E569" s="14">
        <f t="shared" si="50"/>
        <v>48.578202618693936</v>
      </c>
      <c r="F569" s="14">
        <f t="shared" si="51"/>
        <v>48.578297430947259</v>
      </c>
      <c r="G569" s="14">
        <f t="shared" si="52"/>
        <v>48.578297430947245</v>
      </c>
    </row>
    <row r="570" spans="2:7" x14ac:dyDescent="0.2">
      <c r="B570" s="14">
        <f t="shared" si="49"/>
        <v>10.697779852245418</v>
      </c>
      <c r="C570" s="14">
        <f t="shared" si="48"/>
        <v>4.3022201477545821</v>
      </c>
      <c r="D570" s="8">
        <f t="shared" si="53"/>
        <v>60.100000000000584</v>
      </c>
      <c r="E570" s="14">
        <f t="shared" si="50"/>
        <v>48.705681776914282</v>
      </c>
      <c r="F570" s="14">
        <f t="shared" si="51"/>
        <v>48.705776492795657</v>
      </c>
      <c r="G570" s="14">
        <f t="shared" si="52"/>
        <v>48.705776492795685</v>
      </c>
    </row>
    <row r="571" spans="2:7" x14ac:dyDescent="0.2">
      <c r="B571" s="14">
        <f t="shared" si="49"/>
        <v>10.699830312863639</v>
      </c>
      <c r="C571" s="14">
        <f t="shared" si="48"/>
        <v>4.3001696871363606</v>
      </c>
      <c r="D571" s="8">
        <f t="shared" si="53"/>
        <v>60.200000000000585</v>
      </c>
      <c r="E571" s="14">
        <f t="shared" si="50"/>
        <v>48.833260470603157</v>
      </c>
      <c r="F571" s="14">
        <f t="shared" si="51"/>
        <v>48.833355090380245</v>
      </c>
      <c r="G571" s="14">
        <f t="shared" si="52"/>
        <v>48.833355090380259</v>
      </c>
    </row>
    <row r="572" spans="2:7" x14ac:dyDescent="0.2">
      <c r="B572" s="14">
        <f t="shared" si="49"/>
        <v>10.701875421496224</v>
      </c>
      <c r="C572" s="14">
        <f t="shared" si="48"/>
        <v>4.298124578503776</v>
      </c>
      <c r="D572" s="8">
        <f t="shared" si="53"/>
        <v>60.300000000000587</v>
      </c>
      <c r="E572" s="14">
        <f t="shared" si="50"/>
        <v>48.960938571275861</v>
      </c>
      <c r="F572" s="14">
        <f t="shared" si="51"/>
        <v>48.961033095181094</v>
      </c>
      <c r="G572" s="14">
        <f t="shared" si="52"/>
        <v>48.961033095181115</v>
      </c>
    </row>
    <row r="573" spans="2:7" x14ac:dyDescent="0.2">
      <c r="B573" s="14">
        <f t="shared" si="49"/>
        <v>10.703915201875905</v>
      </c>
      <c r="C573" s="14">
        <f t="shared" si="48"/>
        <v>4.2960847981240953</v>
      </c>
      <c r="D573" s="8">
        <f t="shared" si="53"/>
        <v>60.400000000000588</v>
      </c>
      <c r="E573" s="14">
        <f t="shared" si="50"/>
        <v>49.088715950794217</v>
      </c>
      <c r="F573" s="14">
        <f t="shared" si="51"/>
        <v>49.088810379043586</v>
      </c>
      <c r="G573" s="14">
        <f t="shared" si="52"/>
        <v>49.088810379043572</v>
      </c>
    </row>
    <row r="574" spans="2:7" x14ac:dyDescent="0.2">
      <c r="B574" s="14">
        <f t="shared" si="49"/>
        <v>10.705949677588</v>
      </c>
      <c r="C574" s="14">
        <f t="shared" si="48"/>
        <v>4.2940503224119997</v>
      </c>
      <c r="D574" s="8">
        <f t="shared" si="53"/>
        <v>60.50000000000059</v>
      </c>
      <c r="E574" s="14">
        <f t="shared" si="50"/>
        <v>49.216592481342154</v>
      </c>
      <c r="F574" s="14">
        <f t="shared" si="51"/>
        <v>49.216686814176668</v>
      </c>
      <c r="G574" s="14">
        <f t="shared" si="52"/>
        <v>49.216686814176668</v>
      </c>
    </row>
    <row r="575" spans="2:7" x14ac:dyDescent="0.2">
      <c r="B575" s="14">
        <f t="shared" si="49"/>
        <v>10.707978872071598</v>
      </c>
      <c r="C575" s="14">
        <f t="shared" si="48"/>
        <v>4.2920211279284022</v>
      </c>
      <c r="D575" s="8">
        <f t="shared" si="53"/>
        <v>60.600000000000591</v>
      </c>
      <c r="E575" s="14">
        <f t="shared" si="50"/>
        <v>49.344568035490298</v>
      </c>
      <c r="F575" s="14">
        <f t="shared" si="51"/>
        <v>49.344662273151428</v>
      </c>
      <c r="G575" s="14">
        <f t="shared" si="52"/>
        <v>49.344662273151428</v>
      </c>
    </row>
    <row r="576" spans="2:7" x14ac:dyDescent="0.2">
      <c r="B576" s="14">
        <f t="shared" si="49"/>
        <v>10.710002808620704</v>
      </c>
      <c r="C576" s="14">
        <f t="shared" si="48"/>
        <v>4.289997191379296</v>
      </c>
      <c r="D576" s="8">
        <f t="shared" si="53"/>
        <v>60.700000000000593</v>
      </c>
      <c r="E576" s="14">
        <f t="shared" si="50"/>
        <v>49.472642486178906</v>
      </c>
      <c r="F576" s="14">
        <f t="shared" si="51"/>
        <v>49.472736628899327</v>
      </c>
      <c r="G576" s="14">
        <f t="shared" si="52"/>
        <v>49.472736628899334</v>
      </c>
    </row>
    <row r="577" spans="2:7" x14ac:dyDescent="0.2">
      <c r="B577" s="14">
        <f t="shared" si="49"/>
        <v>10.712021510385407</v>
      </c>
      <c r="C577" s="14">
        <f t="shared" si="48"/>
        <v>4.2879784896145932</v>
      </c>
      <c r="D577" s="8">
        <f t="shared" si="53"/>
        <v>60.800000000000594</v>
      </c>
      <c r="E577" s="14">
        <f t="shared" si="50"/>
        <v>49.60081570668163</v>
      </c>
      <c r="F577" s="14">
        <f t="shared" si="51"/>
        <v>49.600909754710749</v>
      </c>
      <c r="G577" s="14">
        <f t="shared" si="52"/>
        <v>49.600909754710749</v>
      </c>
    </row>
    <row r="578" spans="2:7" x14ac:dyDescent="0.2">
      <c r="B578" s="14">
        <f t="shared" si="49"/>
        <v>10.714035000373007</v>
      </c>
      <c r="C578" s="14">
        <f t="shared" si="48"/>
        <v>4.2859649996269926</v>
      </c>
      <c r="D578" s="8">
        <f t="shared" si="53"/>
        <v>60.900000000000595</v>
      </c>
      <c r="E578" s="14">
        <f t="shared" si="50"/>
        <v>49.729087570681244</v>
      </c>
      <c r="F578" s="14">
        <f t="shared" si="51"/>
        <v>49.729181524233333</v>
      </c>
      <c r="G578" s="14">
        <f t="shared" si="52"/>
        <v>49.729181524233312</v>
      </c>
    </row>
    <row r="579" spans="2:7" x14ac:dyDescent="0.2">
      <c r="B579" s="14">
        <f t="shared" si="49"/>
        <v>10.716043301449153</v>
      </c>
      <c r="C579" s="14">
        <f t="shared" si="48"/>
        <v>4.2839566985508473</v>
      </c>
      <c r="D579" s="8">
        <f t="shared" si="53"/>
        <v>61.000000000000597</v>
      </c>
      <c r="E579" s="14">
        <f t="shared" si="50"/>
        <v>49.857457952196256</v>
      </c>
      <c r="F579" s="14">
        <f t="shared" si="51"/>
        <v>49.857551811470415</v>
      </c>
      <c r="G579" s="14">
        <f t="shared" si="52"/>
        <v>49.85755181147038</v>
      </c>
    </row>
    <row r="580" spans="2:7" x14ac:dyDescent="0.2">
      <c r="B580" s="14">
        <f t="shared" si="49"/>
        <v>10.718046436338952</v>
      </c>
      <c r="C580" s="14">
        <f t="shared" si="48"/>
        <v>4.2819535636610482</v>
      </c>
      <c r="D580" s="8">
        <f t="shared" si="53"/>
        <v>61.100000000000598</v>
      </c>
      <c r="E580" s="14">
        <f t="shared" si="50"/>
        <v>49.985926725530682</v>
      </c>
      <c r="F580" s="14">
        <f t="shared" si="51"/>
        <v>49.986020490779495</v>
      </c>
      <c r="G580" s="14">
        <f t="shared" si="52"/>
        <v>49.986020490779502</v>
      </c>
    </row>
    <row r="581" spans="2:7" x14ac:dyDescent="0.2">
      <c r="B581" s="14">
        <f t="shared" si="49"/>
        <v>10.720044427628091</v>
      </c>
      <c r="C581" s="14">
        <f t="shared" si="48"/>
        <v>4.2799555723719092</v>
      </c>
      <c r="D581" s="8">
        <f t="shared" si="53"/>
        <v>61.2000000000006</v>
      </c>
      <c r="E581" s="14">
        <f t="shared" si="50"/>
        <v>50.1144937653592</v>
      </c>
      <c r="F581" s="14">
        <f t="shared" si="51"/>
        <v>50.114587436870799</v>
      </c>
      <c r="G581" s="14">
        <f t="shared" si="52"/>
        <v>50.114587436870828</v>
      </c>
    </row>
    <row r="582" spans="2:7" x14ac:dyDescent="0.2">
      <c r="B582" s="14">
        <f t="shared" si="49"/>
        <v>10.72203729776392</v>
      </c>
      <c r="C582" s="14">
        <f t="shared" si="48"/>
        <v>4.2779627022360796</v>
      </c>
      <c r="D582" s="8">
        <f t="shared" si="53"/>
        <v>61.300000000000601</v>
      </c>
      <c r="E582" s="14">
        <f t="shared" si="50"/>
        <v>50.243158946862891</v>
      </c>
      <c r="F582" s="14">
        <f t="shared" si="51"/>
        <v>50.243252524805619</v>
      </c>
      <c r="G582" s="14">
        <f t="shared" si="52"/>
        <v>50.243252524805591</v>
      </c>
    </row>
    <row r="583" spans="2:7" x14ac:dyDescent="0.2">
      <c r="B583" s="14">
        <f t="shared" si="49"/>
        <v>10.724025069056539</v>
      </c>
      <c r="C583" s="14">
        <f t="shared" si="48"/>
        <v>4.2759749309434607</v>
      </c>
      <c r="D583" s="8">
        <f t="shared" si="53"/>
        <v>61.400000000000603</v>
      </c>
      <c r="E583" s="14">
        <f t="shared" si="50"/>
        <v>50.37192214539904</v>
      </c>
      <c r="F583" s="14">
        <f t="shared" si="51"/>
        <v>50.3720156299946</v>
      </c>
      <c r="G583" s="14">
        <f t="shared" si="52"/>
        <v>50.372015629994607</v>
      </c>
    </row>
    <row r="584" spans="2:7" x14ac:dyDescent="0.2">
      <c r="B584" s="14">
        <f t="shared" si="49"/>
        <v>10.726007763679887</v>
      </c>
      <c r="C584" s="14">
        <f t="shared" si="48"/>
        <v>4.2739922363201135</v>
      </c>
      <c r="D584" s="8">
        <f t="shared" si="53"/>
        <v>61.500000000000604</v>
      </c>
      <c r="E584" s="14">
        <f t="shared" si="50"/>
        <v>50.500783236684704</v>
      </c>
      <c r="F584" s="14">
        <f t="shared" si="51"/>
        <v>50.500876628196707</v>
      </c>
      <c r="G584" s="14">
        <f t="shared" si="52"/>
        <v>50.500876628196707</v>
      </c>
    </row>
    <row r="585" spans="2:7" x14ac:dyDescent="0.2">
      <c r="B585" s="14">
        <f t="shared" si="49"/>
        <v>10.72798540367279</v>
      </c>
      <c r="C585" s="14">
        <f t="shared" si="48"/>
        <v>4.2720145963272103</v>
      </c>
      <c r="D585" s="8">
        <f t="shared" si="53"/>
        <v>61.600000000000605</v>
      </c>
      <c r="E585" s="14">
        <f t="shared" si="50"/>
        <v>50.629742096875191</v>
      </c>
      <c r="F585" s="14">
        <f t="shared" si="51"/>
        <v>50.629835395517254</v>
      </c>
      <c r="G585" s="14">
        <f t="shared" si="52"/>
        <v>50.629835395517262</v>
      </c>
    </row>
    <row r="586" spans="2:7" x14ac:dyDescent="0.2">
      <c r="B586" s="14">
        <f t="shared" si="49"/>
        <v>10.729958010940031</v>
      </c>
      <c r="C586" s="14">
        <f t="shared" si="48"/>
        <v>4.270041989059969</v>
      </c>
      <c r="D586" s="8">
        <f t="shared" si="53"/>
        <v>61.700000000000607</v>
      </c>
      <c r="E586" s="14">
        <f t="shared" si="50"/>
        <v>50.758798602442063</v>
      </c>
      <c r="F586" s="14">
        <f t="shared" si="51"/>
        <v>50.758891808406673</v>
      </c>
      <c r="G586" s="14">
        <f t="shared" si="52"/>
        <v>50.758891808406638</v>
      </c>
    </row>
    <row r="587" spans="2:7" x14ac:dyDescent="0.2">
      <c r="B587" s="14">
        <f t="shared" si="49"/>
        <v>10.731925607253384</v>
      </c>
      <c r="C587" s="14">
        <f t="shared" si="48"/>
        <v>4.268074392746616</v>
      </c>
      <c r="D587" s="8">
        <f t="shared" si="53"/>
        <v>61.800000000000608</v>
      </c>
      <c r="E587" s="14">
        <f t="shared" si="50"/>
        <v>50.887952630119251</v>
      </c>
      <c r="F587" s="14">
        <f t="shared" si="51"/>
        <v>50.8880457436588</v>
      </c>
      <c r="G587" s="14">
        <f t="shared" si="52"/>
        <v>50.888045743658829</v>
      </c>
    </row>
    <row r="588" spans="2:7" x14ac:dyDescent="0.2">
      <c r="B588" s="14">
        <f t="shared" si="49"/>
        <v>10.733888214252664</v>
      </c>
      <c r="C588" s="14">
        <f t="shared" si="48"/>
        <v>4.2661117857473361</v>
      </c>
      <c r="D588" s="8">
        <f t="shared" si="53"/>
        <v>61.90000000000061</v>
      </c>
      <c r="E588" s="14">
        <f t="shared" si="50"/>
        <v>51.017204057058656</v>
      </c>
      <c r="F588" s="14">
        <f t="shared" si="51"/>
        <v>51.017297078409761</v>
      </c>
      <c r="G588" s="14">
        <f t="shared" si="52"/>
        <v>51.017297078409761</v>
      </c>
    </row>
    <row r="589" spans="2:7" x14ac:dyDescent="0.2">
      <c r="B589" s="14">
        <f t="shared" si="49"/>
        <v>10.735845853446733</v>
      </c>
      <c r="C589" s="14">
        <f t="shared" si="48"/>
        <v>4.2641541465532669</v>
      </c>
      <c r="D589" s="8">
        <f t="shared" si="53"/>
        <v>62.000000000000611</v>
      </c>
      <c r="E589" s="14">
        <f t="shared" si="50"/>
        <v>51.146552760784282</v>
      </c>
      <c r="F589" s="14">
        <f t="shared" si="51"/>
        <v>51.146645690136005</v>
      </c>
      <c r="G589" s="14">
        <f t="shared" si="52"/>
        <v>51.146645690135998</v>
      </c>
    </row>
    <row r="590" spans="2:7" x14ac:dyDescent="0.2">
      <c r="B590" s="14">
        <f t="shared" si="49"/>
        <v>10.737798546214535</v>
      </c>
      <c r="C590" s="14">
        <f t="shared" si="48"/>
        <v>4.2622014537854653</v>
      </c>
      <c r="D590" s="8">
        <f t="shared" si="53"/>
        <v>62.100000000000612</v>
      </c>
      <c r="E590" s="14">
        <f t="shared" si="50"/>
        <v>51.275998619054498</v>
      </c>
      <c r="F590" s="14">
        <f t="shared" si="51"/>
        <v>51.276091456653241</v>
      </c>
      <c r="G590" s="14">
        <f t="shared" si="52"/>
        <v>51.276091456653248</v>
      </c>
    </row>
    <row r="591" spans="2:7" x14ac:dyDescent="0.2">
      <c r="B591" s="14">
        <f t="shared" si="49"/>
        <v>10.739746313806089</v>
      </c>
      <c r="C591" s="14">
        <f t="shared" si="48"/>
        <v>4.2602536861939111</v>
      </c>
      <c r="D591" s="8">
        <f t="shared" si="53"/>
        <v>62.200000000000614</v>
      </c>
      <c r="E591" s="14">
        <f t="shared" si="50"/>
        <v>51.405541510075025</v>
      </c>
      <c r="F591" s="14">
        <f t="shared" si="51"/>
        <v>51.405634256114787</v>
      </c>
      <c r="G591" s="14">
        <f t="shared" si="52"/>
        <v>51.405634256114794</v>
      </c>
    </row>
    <row r="592" spans="2:7" x14ac:dyDescent="0.2">
      <c r="B592" s="14">
        <f t="shared" si="49"/>
        <v>10.741689177343492</v>
      </c>
      <c r="C592" s="14">
        <f t="shared" si="48"/>
        <v>4.2583108226565081</v>
      </c>
      <c r="D592" s="8">
        <f t="shared" si="53"/>
        <v>62.300000000000615</v>
      </c>
      <c r="E592" s="14">
        <f t="shared" si="50"/>
        <v>51.535181312273124</v>
      </c>
      <c r="F592" s="14">
        <f t="shared" si="51"/>
        <v>51.535273967010156</v>
      </c>
      <c r="G592" s="14">
        <f t="shared" si="52"/>
        <v>51.535273967010191</v>
      </c>
    </row>
    <row r="593" spans="2:7" x14ac:dyDescent="0.2">
      <c r="B593" s="14">
        <f t="shared" si="49"/>
        <v>10.74362715782191</v>
      </c>
      <c r="C593" s="14">
        <f t="shared" si="48"/>
        <v>4.2563728421780898</v>
      </c>
      <c r="D593" s="8">
        <f t="shared" si="53"/>
        <v>62.400000000000617</v>
      </c>
      <c r="E593" s="14">
        <f t="shared" si="50"/>
        <v>51.664917904494487</v>
      </c>
      <c r="F593" s="14">
        <f t="shared" si="51"/>
        <v>51.665010468163715</v>
      </c>
      <c r="G593" s="14">
        <f t="shared" si="52"/>
        <v>51.665010468163715</v>
      </c>
    </row>
    <row r="594" spans="2:7" x14ac:dyDescent="0.2">
      <c r="B594" s="14">
        <f t="shared" si="49"/>
        <v>10.745560276110545</v>
      </c>
      <c r="C594" s="14">
        <f t="shared" si="48"/>
        <v>4.2544397238894547</v>
      </c>
      <c r="D594" s="8">
        <f t="shared" si="53"/>
        <v>62.500000000000618</v>
      </c>
      <c r="E594" s="14">
        <f t="shared" si="50"/>
        <v>51.794751165970673</v>
      </c>
      <c r="F594" s="14">
        <f t="shared" si="51"/>
        <v>51.79484363873302</v>
      </c>
      <c r="G594" s="14">
        <f t="shared" si="52"/>
        <v>51.794843638733013</v>
      </c>
    </row>
    <row r="595" spans="2:7" x14ac:dyDescent="0.2">
      <c r="B595" s="14">
        <f t="shared" si="49"/>
        <v>10.747488552953612</v>
      </c>
      <c r="C595" s="14">
        <f t="shared" ref="C595:C658" si="54">$C$14-B595</f>
        <v>4.2525114470463876</v>
      </c>
      <c r="D595" s="8">
        <f t="shared" si="53"/>
        <v>62.60000000000062</v>
      </c>
      <c r="E595" s="14">
        <f t="shared" si="50"/>
        <v>51.924680976120719</v>
      </c>
      <c r="F595" s="14">
        <f t="shared" si="51"/>
        <v>51.924773358207588</v>
      </c>
      <c r="G595" s="14">
        <f t="shared" si="52"/>
        <v>51.924773358207567</v>
      </c>
    </row>
    <row r="596" spans="2:7" x14ac:dyDescent="0.2">
      <c r="B596" s="14">
        <f t="shared" ref="B596:B659" si="55">$C$14*(LN(D596)-LN($F$14))/(1+LN(D596)-LN($F$14))</f>
        <v>10.749412008971301</v>
      </c>
      <c r="C596" s="14">
        <f t="shared" si="54"/>
        <v>4.2505879910286986</v>
      </c>
      <c r="D596" s="8">
        <f t="shared" si="53"/>
        <v>62.700000000000621</v>
      </c>
      <c r="E596" s="14">
        <f t="shared" ref="E596:E659" si="56">(D597-D595)/(B597-B595)</f>
        <v>52.054707214782731</v>
      </c>
      <c r="F596" s="14">
        <f t="shared" ref="F596:F659" si="57">D596*$C$14/(C596*C596)</f>
        <v>52.05479950640747</v>
      </c>
      <c r="G596" s="14">
        <f t="shared" ref="G596:G659" si="58">D596*(1+LN(D596/$F$14))*(1+LN(D596/$F$14))/$C$14</f>
        <v>52.054799506407448</v>
      </c>
    </row>
    <row r="597" spans="2:7" x14ac:dyDescent="0.2">
      <c r="B597" s="14">
        <f t="shared" si="55"/>
        <v>10.751330664660721</v>
      </c>
      <c r="C597" s="14">
        <f t="shared" si="54"/>
        <v>4.2486693353392795</v>
      </c>
      <c r="D597" s="8">
        <f t="shared" ref="D597:D660" si="59">D596+0.1</f>
        <v>62.800000000000622</v>
      </c>
      <c r="E597" s="14">
        <f t="shared" si="56"/>
        <v>52.184829762092463</v>
      </c>
      <c r="F597" s="14">
        <f t="shared" si="57"/>
        <v>52.184921963481727</v>
      </c>
      <c r="G597" s="14">
        <f t="shared" si="58"/>
        <v>52.184921963481756</v>
      </c>
    </row>
    <row r="598" spans="2:7" x14ac:dyDescent="0.2">
      <c r="B598" s="14">
        <f t="shared" si="55"/>
        <v>10.753244540396848</v>
      </c>
      <c r="C598" s="14">
        <f t="shared" si="54"/>
        <v>4.2467554596031523</v>
      </c>
      <c r="D598" s="8">
        <f t="shared" si="59"/>
        <v>62.900000000000624</v>
      </c>
      <c r="E598" s="14">
        <f t="shared" si="56"/>
        <v>52.315048498506783</v>
      </c>
      <c r="F598" s="14">
        <f t="shared" si="57"/>
        <v>52.315140609907232</v>
      </c>
      <c r="G598" s="14">
        <f t="shared" si="58"/>
        <v>52.315140609907239</v>
      </c>
    </row>
    <row r="599" spans="2:7" x14ac:dyDescent="0.2">
      <c r="B599" s="14">
        <f t="shared" si="55"/>
        <v>10.755153656433455</v>
      </c>
      <c r="C599" s="14">
        <f t="shared" si="54"/>
        <v>4.2448463435665449</v>
      </c>
      <c r="D599" s="8">
        <f t="shared" si="59"/>
        <v>63.000000000000625</v>
      </c>
      <c r="E599" s="14">
        <f t="shared" si="56"/>
        <v>52.445363304903893</v>
      </c>
      <c r="F599" s="14">
        <f t="shared" si="57"/>
        <v>52.445455326487036</v>
      </c>
      <c r="G599" s="14">
        <f t="shared" si="58"/>
        <v>52.445455326487028</v>
      </c>
    </row>
    <row r="600" spans="2:7" x14ac:dyDescent="0.2">
      <c r="B600" s="14">
        <f t="shared" si="55"/>
        <v>10.757058032904036</v>
      </c>
      <c r="C600" s="14">
        <f t="shared" si="54"/>
        <v>4.2429419670959643</v>
      </c>
      <c r="D600" s="8">
        <f t="shared" si="59"/>
        <v>63.100000000000627</v>
      </c>
      <c r="E600" s="14">
        <f t="shared" si="56"/>
        <v>52.575774062370044</v>
      </c>
      <c r="F600" s="14">
        <f t="shared" si="57"/>
        <v>52.575865994349101</v>
      </c>
      <c r="G600" s="14">
        <f t="shared" si="58"/>
        <v>52.575865994349094</v>
      </c>
    </row>
    <row r="601" spans="2:7" x14ac:dyDescent="0.2">
      <c r="B601" s="14">
        <f t="shared" si="55"/>
        <v>10.758957689822726</v>
      </c>
      <c r="C601" s="14">
        <f t="shared" si="54"/>
        <v>4.2410423101772743</v>
      </c>
      <c r="D601" s="8">
        <f t="shared" si="59"/>
        <v>63.200000000000628</v>
      </c>
      <c r="E601" s="14">
        <f t="shared" si="56"/>
        <v>52.70628065232799</v>
      </c>
      <c r="F601" s="14">
        <f t="shared" si="57"/>
        <v>52.706372494944979</v>
      </c>
      <c r="G601" s="14">
        <f t="shared" si="58"/>
        <v>52.706372494944972</v>
      </c>
    </row>
    <row r="602" spans="2:7" x14ac:dyDescent="0.2">
      <c r="B602" s="14">
        <f t="shared" si="55"/>
        <v>10.760852647085205</v>
      </c>
      <c r="C602" s="14">
        <f t="shared" si="54"/>
        <v>4.2391473529147952</v>
      </c>
      <c r="D602" s="8">
        <f t="shared" si="59"/>
        <v>63.30000000000063</v>
      </c>
      <c r="E602" s="14">
        <f t="shared" si="56"/>
        <v>52.83688295662234</v>
      </c>
      <c r="F602" s="14">
        <f t="shared" si="57"/>
        <v>52.836974710048388</v>
      </c>
      <c r="G602" s="14">
        <f t="shared" si="58"/>
        <v>52.836974710048366</v>
      </c>
    </row>
    <row r="603" spans="2:7" x14ac:dyDescent="0.2">
      <c r="B603" s="14">
        <f t="shared" si="55"/>
        <v>10.762742924469595</v>
      </c>
      <c r="C603" s="14">
        <f t="shared" si="54"/>
        <v>4.2372570755304046</v>
      </c>
      <c r="D603" s="8">
        <f t="shared" si="59"/>
        <v>63.400000000000631</v>
      </c>
      <c r="E603" s="14">
        <f t="shared" si="56"/>
        <v>52.96758085728618</v>
      </c>
      <c r="F603" s="14">
        <f t="shared" si="57"/>
        <v>52.967672521753762</v>
      </c>
      <c r="G603" s="14">
        <f t="shared" si="58"/>
        <v>52.967672521753776</v>
      </c>
    </row>
    <row r="604" spans="2:7" x14ac:dyDescent="0.2">
      <c r="B604" s="14">
        <f t="shared" si="55"/>
        <v>10.764628541637363</v>
      </c>
      <c r="C604" s="14">
        <f t="shared" si="54"/>
        <v>4.2353714583626374</v>
      </c>
      <c r="D604" s="8">
        <f t="shared" si="59"/>
        <v>63.500000000000632</v>
      </c>
      <c r="E604" s="14">
        <f t="shared" si="56"/>
        <v>53.098374236754054</v>
      </c>
      <c r="F604" s="14">
        <f t="shared" si="57"/>
        <v>53.098465812475155</v>
      </c>
      <c r="G604" s="14">
        <f t="shared" si="58"/>
        <v>53.098465812475148</v>
      </c>
    </row>
    <row r="605" spans="2:7" x14ac:dyDescent="0.2">
      <c r="B605" s="14">
        <f t="shared" si="55"/>
        <v>10.766509518134182</v>
      </c>
      <c r="C605" s="14">
        <f t="shared" si="54"/>
        <v>4.2334904818658181</v>
      </c>
      <c r="D605" s="8">
        <f t="shared" si="59"/>
        <v>63.600000000000634</v>
      </c>
      <c r="E605" s="14">
        <f t="shared" si="56"/>
        <v>53.229262977756818</v>
      </c>
      <c r="F605" s="14">
        <f t="shared" si="57"/>
        <v>53.229354464944542</v>
      </c>
      <c r="G605" s="14">
        <f t="shared" si="58"/>
        <v>53.229354464944564</v>
      </c>
    </row>
    <row r="606" spans="2:7" x14ac:dyDescent="0.2">
      <c r="B606" s="14">
        <f t="shared" si="55"/>
        <v>10.76838587339083</v>
      </c>
      <c r="C606" s="14">
        <f t="shared" si="54"/>
        <v>4.2316141266091698</v>
      </c>
      <c r="D606" s="8">
        <f t="shared" si="59"/>
        <v>63.700000000000635</v>
      </c>
      <c r="E606" s="14">
        <f t="shared" si="56"/>
        <v>53.360246963342277</v>
      </c>
      <c r="F606" s="14">
        <f t="shared" si="57"/>
        <v>53.360338362210889</v>
      </c>
      <c r="G606" s="14">
        <f t="shared" si="58"/>
        <v>53.360338362210875</v>
      </c>
    </row>
    <row r="607" spans="2:7" x14ac:dyDescent="0.2">
      <c r="B607" s="14">
        <f t="shared" si="55"/>
        <v>10.770257626724035</v>
      </c>
      <c r="C607" s="14">
        <f t="shared" si="54"/>
        <v>4.2297423732759647</v>
      </c>
      <c r="D607" s="8">
        <f t="shared" si="59"/>
        <v>63.800000000000637</v>
      </c>
      <c r="E607" s="14">
        <f t="shared" si="56"/>
        <v>53.491326076899092</v>
      </c>
      <c r="F607" s="14">
        <f t="shared" si="57"/>
        <v>53.491417387638386</v>
      </c>
      <c r="G607" s="14">
        <f t="shared" si="58"/>
        <v>53.491417387638393</v>
      </c>
    </row>
    <row r="608" spans="2:7" x14ac:dyDescent="0.2">
      <c r="B608" s="14">
        <f t="shared" si="55"/>
        <v>10.77212479733735</v>
      </c>
      <c r="C608" s="14">
        <f t="shared" si="54"/>
        <v>4.2278752026626503</v>
      </c>
      <c r="D608" s="8">
        <f t="shared" si="59"/>
        <v>63.900000000000638</v>
      </c>
      <c r="E608" s="14">
        <f t="shared" si="56"/>
        <v>53.622500202081739</v>
      </c>
      <c r="F608" s="14">
        <f t="shared" si="57"/>
        <v>53.622591424905515</v>
      </c>
      <c r="G608" s="14">
        <f t="shared" si="58"/>
        <v>53.622591424905494</v>
      </c>
    </row>
    <row r="609" spans="2:7" x14ac:dyDescent="0.2">
      <c r="B609" s="14">
        <f t="shared" si="55"/>
        <v>10.773987404321989</v>
      </c>
      <c r="C609" s="14">
        <f t="shared" si="54"/>
        <v>4.2260125956780108</v>
      </c>
      <c r="D609" s="8">
        <f t="shared" si="59"/>
        <v>64.000000000000639</v>
      </c>
      <c r="E609" s="14">
        <f t="shared" si="56"/>
        <v>53.753769222913469</v>
      </c>
      <c r="F609" s="14">
        <f t="shared" si="57"/>
        <v>53.753860358003458</v>
      </c>
      <c r="G609" s="14">
        <f t="shared" si="58"/>
        <v>53.753860358003443</v>
      </c>
    </row>
    <row r="610" spans="2:7" x14ac:dyDescent="0.2">
      <c r="B610" s="14">
        <f t="shared" si="55"/>
        <v>10.775845466657684</v>
      </c>
      <c r="C610" s="14">
        <f t="shared" si="54"/>
        <v>4.2241545333423165</v>
      </c>
      <c r="D610" s="8">
        <f t="shared" si="59"/>
        <v>64.100000000000634</v>
      </c>
      <c r="E610" s="14">
        <f t="shared" si="56"/>
        <v>53.885133023670463</v>
      </c>
      <c r="F610" s="14">
        <f t="shared" si="57"/>
        <v>53.885224071234958</v>
      </c>
      <c r="G610" s="14">
        <f t="shared" si="58"/>
        <v>53.885224071234951</v>
      </c>
    </row>
    <row r="611" spans="2:7" x14ac:dyDescent="0.2">
      <c r="B611" s="14">
        <f t="shared" si="55"/>
        <v>10.777699003213508</v>
      </c>
      <c r="C611" s="14">
        <f t="shared" si="54"/>
        <v>4.2223009967864922</v>
      </c>
      <c r="D611" s="8">
        <f t="shared" si="59"/>
        <v>64.200000000000628</v>
      </c>
      <c r="E611" s="14">
        <f t="shared" si="56"/>
        <v>54.016591488936704</v>
      </c>
      <c r="F611" s="14">
        <f t="shared" si="57"/>
        <v>54.016682449212958</v>
      </c>
      <c r="G611" s="14">
        <f t="shared" si="58"/>
        <v>54.016682449213008</v>
      </c>
    </row>
    <row r="612" spans="2:7" x14ac:dyDescent="0.2">
      <c r="B612" s="14">
        <f t="shared" si="55"/>
        <v>10.779548032748714</v>
      </c>
      <c r="C612" s="14">
        <f t="shared" si="54"/>
        <v>4.2204519672512859</v>
      </c>
      <c r="D612" s="8">
        <f t="shared" si="59"/>
        <v>64.300000000000622</v>
      </c>
      <c r="E612" s="14">
        <f t="shared" si="56"/>
        <v>54.148144503637027</v>
      </c>
      <c r="F612" s="14">
        <f t="shared" si="57"/>
        <v>54.14823537685939</v>
      </c>
      <c r="G612" s="14">
        <f t="shared" si="58"/>
        <v>54.148235376859425</v>
      </c>
    </row>
    <row r="613" spans="2:7" x14ac:dyDescent="0.2">
      <c r="B613" s="14">
        <f t="shared" si="55"/>
        <v>10.781392573913545</v>
      </c>
      <c r="C613" s="14">
        <f t="shared" si="54"/>
        <v>4.2186074260864554</v>
      </c>
      <c r="D613" s="8">
        <f t="shared" si="59"/>
        <v>64.400000000000617</v>
      </c>
      <c r="E613" s="14">
        <f t="shared" si="56"/>
        <v>54.27979195308319</v>
      </c>
      <c r="F613" s="14">
        <f t="shared" si="57"/>
        <v>54.279882739403732</v>
      </c>
      <c r="G613" s="14">
        <f t="shared" si="58"/>
        <v>54.279882739403732</v>
      </c>
    </row>
    <row r="614" spans="2:7" x14ac:dyDescent="0.2">
      <c r="B614" s="14">
        <f t="shared" si="55"/>
        <v>10.783232645250045</v>
      </c>
      <c r="C614" s="14">
        <f t="shared" si="54"/>
        <v>4.2167673547499547</v>
      </c>
      <c r="D614" s="8">
        <f t="shared" si="59"/>
        <v>64.500000000000611</v>
      </c>
      <c r="E614" s="14">
        <f t="shared" si="56"/>
        <v>54.411533722753013</v>
      </c>
      <c r="F614" s="14">
        <f t="shared" si="57"/>
        <v>54.411624422381749</v>
      </c>
      <c r="G614" s="14">
        <f t="shared" si="58"/>
        <v>54.411624422381735</v>
      </c>
    </row>
    <row r="615" spans="2:7" x14ac:dyDescent="0.2">
      <c r="B615" s="14">
        <f t="shared" si="55"/>
        <v>10.78506826519288</v>
      </c>
      <c r="C615" s="14">
        <f t="shared" si="54"/>
        <v>4.21493173480712</v>
      </c>
      <c r="D615" s="8">
        <f t="shared" si="59"/>
        <v>64.600000000000605</v>
      </c>
      <c r="E615" s="14">
        <f t="shared" si="56"/>
        <v>54.543369698516578</v>
      </c>
      <c r="F615" s="14">
        <f t="shared" si="57"/>
        <v>54.543460311634455</v>
      </c>
      <c r="G615" s="14">
        <f t="shared" si="58"/>
        <v>54.543460311634405</v>
      </c>
    </row>
    <row r="616" spans="2:7" x14ac:dyDescent="0.2">
      <c r="B616" s="14">
        <f t="shared" si="55"/>
        <v>10.786899452070113</v>
      </c>
      <c r="C616" s="14">
        <f t="shared" si="54"/>
        <v>4.2131005479298871</v>
      </c>
      <c r="D616" s="8">
        <f t="shared" si="59"/>
        <v>64.7000000000006</v>
      </c>
      <c r="E616" s="14">
        <f t="shared" si="56"/>
        <v>54.67529976649972</v>
      </c>
      <c r="F616" s="14">
        <f t="shared" si="57"/>
        <v>54.675390293306478</v>
      </c>
      <c r="G616" s="14">
        <f t="shared" si="58"/>
        <v>54.675390293306471</v>
      </c>
    </row>
    <row r="617" spans="2:7" x14ac:dyDescent="0.2">
      <c r="B617" s="14">
        <f t="shared" si="55"/>
        <v>10.788726224104018</v>
      </c>
      <c r="C617" s="14">
        <f t="shared" si="54"/>
        <v>4.2112737758959824</v>
      </c>
      <c r="D617" s="8">
        <f t="shared" si="59"/>
        <v>64.800000000000594</v>
      </c>
      <c r="E617" s="14">
        <f t="shared" si="56"/>
        <v>54.807323813105974</v>
      </c>
      <c r="F617" s="14">
        <f t="shared" si="57"/>
        <v>54.807414253845273</v>
      </c>
      <c r="G617" s="14">
        <f t="shared" si="58"/>
        <v>54.807414253845259</v>
      </c>
    </row>
    <row r="618" spans="2:7" x14ac:dyDescent="0.2">
      <c r="B618" s="14">
        <f t="shared" si="55"/>
        <v>10.790548599411844</v>
      </c>
      <c r="C618" s="14">
        <f t="shared" si="54"/>
        <v>4.209451400588156</v>
      </c>
      <c r="D618" s="8">
        <f t="shared" si="59"/>
        <v>64.900000000000588</v>
      </c>
      <c r="E618" s="14">
        <f t="shared" si="56"/>
        <v>54.939441725175634</v>
      </c>
      <c r="F618" s="14">
        <f t="shared" si="57"/>
        <v>54.939532079999417</v>
      </c>
      <c r="G618" s="14">
        <f t="shared" si="58"/>
        <v>54.939532079999388</v>
      </c>
    </row>
    <row r="619" spans="2:7" x14ac:dyDescent="0.2">
      <c r="B619" s="14">
        <f t="shared" si="55"/>
        <v>10.792366596006602</v>
      </c>
      <c r="C619" s="14">
        <f t="shared" si="54"/>
        <v>4.2076334039933982</v>
      </c>
      <c r="D619" s="8">
        <f t="shared" si="59"/>
        <v>65.000000000000583</v>
      </c>
      <c r="E619" s="14">
        <f t="shared" si="56"/>
        <v>55.071653389693708</v>
      </c>
      <c r="F619" s="14">
        <f t="shared" si="57"/>
        <v>55.071743658817596</v>
      </c>
      <c r="G619" s="14">
        <f t="shared" si="58"/>
        <v>55.071743658817603</v>
      </c>
    </row>
    <row r="620" spans="2:7" x14ac:dyDescent="0.2">
      <c r="B620" s="14">
        <f t="shared" si="55"/>
        <v>10.794180231797833</v>
      </c>
      <c r="C620" s="14">
        <f t="shared" si="54"/>
        <v>4.2058197682021667</v>
      </c>
      <c r="D620" s="8">
        <f t="shared" si="59"/>
        <v>65.100000000000577</v>
      </c>
      <c r="E620" s="14">
        <f t="shared" si="56"/>
        <v>55.203958693979018</v>
      </c>
      <c r="F620" s="14">
        <f t="shared" si="57"/>
        <v>55.204048877647416</v>
      </c>
      <c r="G620" s="14">
        <f t="shared" si="58"/>
        <v>55.204048877647438</v>
      </c>
    </row>
    <row r="621" spans="2:7" x14ac:dyDescent="0.2">
      <c r="B621" s="14">
        <f t="shared" si="55"/>
        <v>10.79598952459237</v>
      </c>
      <c r="C621" s="14">
        <f t="shared" si="54"/>
        <v>4.20401047540763</v>
      </c>
      <c r="D621" s="8">
        <f t="shared" si="59"/>
        <v>65.200000000000571</v>
      </c>
      <c r="E621" s="14">
        <f t="shared" si="56"/>
        <v>55.336357525772243</v>
      </c>
      <c r="F621" s="14">
        <f t="shared" si="57"/>
        <v>55.336447624134067</v>
      </c>
      <c r="G621" s="14">
        <f t="shared" si="58"/>
        <v>55.336447624134045</v>
      </c>
    </row>
    <row r="622" spans="2:7" x14ac:dyDescent="0.2">
      <c r="B622" s="14">
        <f t="shared" si="55"/>
        <v>10.797794492095086</v>
      </c>
      <c r="C622" s="14">
        <f t="shared" si="54"/>
        <v>4.2022055079049139</v>
      </c>
      <c r="D622" s="8">
        <f t="shared" si="59"/>
        <v>65.300000000000566</v>
      </c>
      <c r="E622" s="14">
        <f t="shared" si="56"/>
        <v>55.468849772973563</v>
      </c>
      <c r="F622" s="14">
        <f t="shared" si="57"/>
        <v>55.468939786219025</v>
      </c>
      <c r="G622" s="14">
        <f t="shared" si="58"/>
        <v>55.468939786219018</v>
      </c>
    </row>
    <row r="623" spans="2:7" x14ac:dyDescent="0.2">
      <c r="B623" s="14">
        <f t="shared" si="55"/>
        <v>10.799595151909658</v>
      </c>
      <c r="C623" s="14">
        <f t="shared" si="54"/>
        <v>4.2004048480903418</v>
      </c>
      <c r="D623" s="8">
        <f t="shared" si="59"/>
        <v>65.40000000000056</v>
      </c>
      <c r="E623" s="14">
        <f t="shared" si="56"/>
        <v>55.601435323814293</v>
      </c>
      <c r="F623" s="14">
        <f t="shared" si="57"/>
        <v>55.601525252139112</v>
      </c>
      <c r="G623" s="14">
        <f t="shared" si="58"/>
        <v>55.601525252139076</v>
      </c>
    </row>
    <row r="624" spans="2:7" x14ac:dyDescent="0.2">
      <c r="B624" s="14">
        <f t="shared" si="55"/>
        <v>10.801391521539294</v>
      </c>
      <c r="C624" s="14">
        <f t="shared" si="54"/>
        <v>4.1986084784607058</v>
      </c>
      <c r="D624" s="8">
        <f t="shared" si="59"/>
        <v>65.500000000000554</v>
      </c>
      <c r="E624" s="14">
        <f t="shared" si="56"/>
        <v>55.73411406681501</v>
      </c>
      <c r="F624" s="14">
        <f t="shared" si="57"/>
        <v>55.734203910424938</v>
      </c>
      <c r="G624" s="14">
        <f t="shared" si="58"/>
        <v>55.734203910424938</v>
      </c>
    </row>
    <row r="625" spans="2:7" x14ac:dyDescent="0.2">
      <c r="B625" s="14">
        <f t="shared" si="55"/>
        <v>10.803183618387482</v>
      </c>
      <c r="C625" s="14">
        <f t="shared" si="54"/>
        <v>4.1968163816125177</v>
      </c>
      <c r="D625" s="8">
        <f t="shared" si="59"/>
        <v>65.600000000000549</v>
      </c>
      <c r="E625" s="14">
        <f t="shared" si="56"/>
        <v>55.866885890800162</v>
      </c>
      <c r="F625" s="14">
        <f t="shared" si="57"/>
        <v>55.866975649900105</v>
      </c>
      <c r="G625" s="14">
        <f t="shared" si="58"/>
        <v>55.866975649900091</v>
      </c>
    </row>
    <row r="626" spans="2:7" x14ac:dyDescent="0.2">
      <c r="B626" s="14">
        <f t="shared" si="55"/>
        <v>10.804971459758706</v>
      </c>
      <c r="C626" s="14">
        <f t="shared" si="54"/>
        <v>4.1950285402412941</v>
      </c>
      <c r="D626" s="8">
        <f t="shared" si="59"/>
        <v>65.700000000000543</v>
      </c>
      <c r="E626" s="14">
        <f t="shared" si="56"/>
        <v>55.999750684915327</v>
      </c>
      <c r="F626" s="14">
        <f t="shared" si="57"/>
        <v>55.999840359679588</v>
      </c>
      <c r="G626" s="14">
        <f t="shared" si="58"/>
        <v>55.999840359679595</v>
      </c>
    </row>
    <row r="627" spans="2:7" x14ac:dyDescent="0.2">
      <c r="B627" s="14">
        <f t="shared" si="55"/>
        <v>10.806755062859178</v>
      </c>
      <c r="C627" s="14">
        <f t="shared" si="54"/>
        <v>4.1932449371408218</v>
      </c>
      <c r="D627" s="8">
        <f t="shared" si="59"/>
        <v>65.800000000000537</v>
      </c>
      <c r="E627" s="14">
        <f t="shared" si="56"/>
        <v>56.132708338535195</v>
      </c>
      <c r="F627" s="14">
        <f t="shared" si="57"/>
        <v>56.132797929168902</v>
      </c>
      <c r="G627" s="14">
        <f t="shared" si="58"/>
        <v>56.132797929168909</v>
      </c>
    </row>
    <row r="628" spans="2:7" x14ac:dyDescent="0.2">
      <c r="B628" s="14">
        <f t="shared" si="55"/>
        <v>10.80853444479755</v>
      </c>
      <c r="C628" s="14">
        <f t="shared" si="54"/>
        <v>4.1914655552024502</v>
      </c>
      <c r="D628" s="8">
        <f t="shared" si="59"/>
        <v>65.900000000000531</v>
      </c>
      <c r="E628" s="14">
        <f t="shared" si="56"/>
        <v>56.265758741367911</v>
      </c>
      <c r="F628" s="14">
        <f t="shared" si="57"/>
        <v>56.265848248062667</v>
      </c>
      <c r="G628" s="14">
        <f t="shared" si="58"/>
        <v>56.265848248062689</v>
      </c>
    </row>
    <row r="629" spans="2:7" x14ac:dyDescent="0.2">
      <c r="B629" s="14">
        <f t="shared" si="55"/>
        <v>10.810309622585624</v>
      </c>
      <c r="C629" s="14">
        <f t="shared" si="54"/>
        <v>4.1896903774143759</v>
      </c>
      <c r="D629" s="8">
        <f t="shared" si="59"/>
        <v>66.000000000000526</v>
      </c>
      <c r="E629" s="14">
        <f t="shared" si="56"/>
        <v>56.398901783366853</v>
      </c>
      <c r="F629" s="14">
        <f t="shared" si="57"/>
        <v>56.398991206343609</v>
      </c>
      <c r="G629" s="14">
        <f t="shared" si="58"/>
        <v>56.398991206343631</v>
      </c>
    </row>
    <row r="630" spans="2:7" x14ac:dyDescent="0.2">
      <c r="B630" s="14">
        <f t="shared" si="55"/>
        <v>10.812080613139058</v>
      </c>
      <c r="C630" s="14">
        <f t="shared" si="54"/>
        <v>4.1879193868609423</v>
      </c>
      <c r="D630" s="8">
        <f t="shared" si="59"/>
        <v>66.10000000000052</v>
      </c>
      <c r="E630" s="14">
        <f t="shared" si="56"/>
        <v>56.532137354897507</v>
      </c>
      <c r="F630" s="14">
        <f t="shared" si="57"/>
        <v>56.532226694281334</v>
      </c>
      <c r="G630" s="14">
        <f t="shared" si="58"/>
        <v>56.532226694281299</v>
      </c>
    </row>
    <row r="631" spans="2:7" x14ac:dyDescent="0.2">
      <c r="B631" s="14">
        <f t="shared" si="55"/>
        <v>10.813847433278053</v>
      </c>
      <c r="C631" s="14">
        <f t="shared" si="54"/>
        <v>4.1861525667219475</v>
      </c>
      <c r="D631" s="8">
        <f t="shared" si="59"/>
        <v>66.200000000000514</v>
      </c>
      <c r="E631" s="14">
        <f t="shared" si="56"/>
        <v>56.665465346426338</v>
      </c>
      <c r="F631" s="14">
        <f t="shared" si="57"/>
        <v>56.665554602430952</v>
      </c>
      <c r="G631" s="14">
        <f t="shared" si="58"/>
        <v>56.66555460243098</v>
      </c>
    </row>
    <row r="632" spans="2:7" x14ac:dyDescent="0.2">
      <c r="B632" s="14">
        <f t="shared" si="55"/>
        <v>10.815610099728064</v>
      </c>
      <c r="C632" s="14">
        <f t="shared" si="54"/>
        <v>4.1843899002719365</v>
      </c>
      <c r="D632" s="8">
        <f t="shared" si="59"/>
        <v>66.300000000000509</v>
      </c>
      <c r="E632" s="14">
        <f t="shared" si="56"/>
        <v>56.798885648804735</v>
      </c>
      <c r="F632" s="14">
        <f t="shared" si="57"/>
        <v>56.79897482163247</v>
      </c>
      <c r="G632" s="14">
        <f t="shared" si="58"/>
        <v>56.798974821632463</v>
      </c>
    </row>
    <row r="633" spans="2:7" x14ac:dyDescent="0.2">
      <c r="B633" s="14">
        <f t="shared" si="55"/>
        <v>10.817368629120461</v>
      </c>
      <c r="C633" s="14">
        <f t="shared" si="54"/>
        <v>4.1826313708795393</v>
      </c>
      <c r="D633" s="8">
        <f t="shared" si="59"/>
        <v>66.400000000000503</v>
      </c>
      <c r="E633" s="14">
        <f t="shared" si="56"/>
        <v>56.932398153160065</v>
      </c>
      <c r="F633" s="14">
        <f t="shared" si="57"/>
        <v>56.932487243008971</v>
      </c>
      <c r="G633" s="14">
        <f t="shared" si="58"/>
        <v>56.932487243009014</v>
      </c>
    </row>
    <row r="634" spans="2:7" x14ac:dyDescent="0.2">
      <c r="B634" s="14">
        <f t="shared" si="55"/>
        <v>10.819123037993231</v>
      </c>
      <c r="C634" s="14">
        <f t="shared" si="54"/>
        <v>4.1808769620067689</v>
      </c>
      <c r="D634" s="8">
        <f t="shared" si="59"/>
        <v>66.500000000000497</v>
      </c>
      <c r="E634" s="14">
        <f t="shared" si="56"/>
        <v>57.066002750901397</v>
      </c>
      <c r="F634" s="14">
        <f t="shared" si="57"/>
        <v>57.06609175796612</v>
      </c>
      <c r="G634" s="14">
        <f t="shared" si="58"/>
        <v>57.066091757966106</v>
      </c>
    </row>
    <row r="635" spans="2:7" x14ac:dyDescent="0.2">
      <c r="B635" s="14">
        <f t="shared" si="55"/>
        <v>10.820873342791629</v>
      </c>
      <c r="C635" s="14">
        <f t="shared" si="54"/>
        <v>4.1791266572083714</v>
      </c>
      <c r="D635" s="8">
        <f t="shared" si="59"/>
        <v>66.600000000000492</v>
      </c>
      <c r="E635" s="14">
        <f t="shared" si="56"/>
        <v>57.199699333785617</v>
      </c>
      <c r="F635" s="14">
        <f t="shared" si="57"/>
        <v>57.199788258190353</v>
      </c>
      <c r="G635" s="14">
        <f t="shared" si="58"/>
        <v>57.199788258190331</v>
      </c>
    </row>
    <row r="636" spans="2:7" x14ac:dyDescent="0.2">
      <c r="B636" s="14">
        <f t="shared" si="55"/>
        <v>10.82261955986886</v>
      </c>
      <c r="C636" s="14">
        <f t="shared" si="54"/>
        <v>4.1773804401311398</v>
      </c>
      <c r="D636" s="8">
        <f t="shared" si="59"/>
        <v>66.700000000000486</v>
      </c>
      <c r="E636" s="14">
        <f t="shared" si="56"/>
        <v>57.333487793666279</v>
      </c>
      <c r="F636" s="14">
        <f t="shared" si="57"/>
        <v>57.333576635648313</v>
      </c>
      <c r="G636" s="14">
        <f t="shared" si="58"/>
        <v>57.333576635648321</v>
      </c>
    </row>
    <row r="637" spans="2:7" x14ac:dyDescent="0.2">
      <c r="B637" s="14">
        <f t="shared" si="55"/>
        <v>10.824361705486739</v>
      </c>
      <c r="C637" s="14">
        <f t="shared" si="54"/>
        <v>4.1756382945132611</v>
      </c>
      <c r="D637" s="8">
        <f t="shared" si="59"/>
        <v>66.80000000000048</v>
      </c>
      <c r="E637" s="14">
        <f t="shared" si="56"/>
        <v>57.4673680228534</v>
      </c>
      <c r="F637" s="14">
        <f t="shared" si="57"/>
        <v>57.467456782585529</v>
      </c>
      <c r="G637" s="14">
        <f t="shared" si="58"/>
        <v>57.467456782585529</v>
      </c>
    </row>
    <row r="638" spans="2:7" x14ac:dyDescent="0.2">
      <c r="B638" s="14">
        <f t="shared" si="55"/>
        <v>10.826099795816337</v>
      </c>
      <c r="C638" s="14">
        <f t="shared" si="54"/>
        <v>4.1739002041836635</v>
      </c>
      <c r="D638" s="8">
        <f t="shared" si="59"/>
        <v>66.900000000000475</v>
      </c>
      <c r="E638" s="14">
        <f t="shared" si="56"/>
        <v>57.601339913866596</v>
      </c>
      <c r="F638" s="14">
        <f t="shared" si="57"/>
        <v>57.601428591525185</v>
      </c>
      <c r="G638" s="14">
        <f t="shared" si="58"/>
        <v>57.601428591525199</v>
      </c>
    </row>
    <row r="639" spans="2:7" x14ac:dyDescent="0.2">
      <c r="B639" s="14">
        <f t="shared" si="55"/>
        <v>10.82783384693864</v>
      </c>
      <c r="C639" s="14">
        <f t="shared" si="54"/>
        <v>4.1721661530613599</v>
      </c>
      <c r="D639" s="8">
        <f t="shared" si="59"/>
        <v>67.000000000000469</v>
      </c>
      <c r="E639" s="14">
        <f t="shared" si="56"/>
        <v>57.735403359449741</v>
      </c>
      <c r="F639" s="14">
        <f t="shared" si="57"/>
        <v>57.735491955267172</v>
      </c>
      <c r="G639" s="14">
        <f t="shared" si="58"/>
        <v>57.735491955267193</v>
      </c>
    </row>
    <row r="640" spans="2:7" x14ac:dyDescent="0.2">
      <c r="B640" s="14">
        <f t="shared" si="55"/>
        <v>10.829563874845192</v>
      </c>
      <c r="C640" s="14">
        <f t="shared" si="54"/>
        <v>4.1704361251548079</v>
      </c>
      <c r="D640" s="8">
        <f t="shared" si="59"/>
        <v>67.100000000000463</v>
      </c>
      <c r="E640" s="14">
        <f t="shared" si="56"/>
        <v>57.869558252796196</v>
      </c>
      <c r="F640" s="14">
        <f t="shared" si="57"/>
        <v>57.869646766886937</v>
      </c>
      <c r="G640" s="14">
        <f t="shared" si="58"/>
        <v>57.869646766886916</v>
      </c>
    </row>
    <row r="641" spans="2:7" x14ac:dyDescent="0.2">
      <c r="B641" s="14">
        <f t="shared" si="55"/>
        <v>10.831289895438722</v>
      </c>
      <c r="C641" s="14">
        <f t="shared" si="54"/>
        <v>4.1687101045612778</v>
      </c>
      <c r="D641" s="8">
        <f t="shared" si="59"/>
        <v>67.200000000000458</v>
      </c>
      <c r="E641" s="14">
        <f t="shared" si="56"/>
        <v>58.003804487154873</v>
      </c>
      <c r="F641" s="14">
        <f t="shared" si="57"/>
        <v>58.003892919734184</v>
      </c>
      <c r="G641" s="14">
        <f t="shared" si="58"/>
        <v>58.00389291973422</v>
      </c>
    </row>
    <row r="642" spans="2:7" x14ac:dyDescent="0.2">
      <c r="B642" s="14">
        <f t="shared" si="55"/>
        <v>10.8330119245338</v>
      </c>
      <c r="C642" s="14">
        <f t="shared" si="54"/>
        <v>4.1669880754662003</v>
      </c>
      <c r="D642" s="8">
        <f t="shared" si="59"/>
        <v>67.300000000000452</v>
      </c>
      <c r="E642" s="14">
        <f t="shared" si="56"/>
        <v>58.138141956117657</v>
      </c>
      <c r="F642" s="14">
        <f t="shared" si="57"/>
        <v>58.138230307432302</v>
      </c>
      <c r="G642" s="14">
        <f t="shared" si="58"/>
        <v>58.138230307432295</v>
      </c>
    </row>
    <row r="643" spans="2:7" x14ac:dyDescent="0.2">
      <c r="B643" s="14">
        <f t="shared" si="55"/>
        <v>10.834729977857437</v>
      </c>
      <c r="C643" s="14">
        <f t="shared" si="54"/>
        <v>4.1652700221425629</v>
      </c>
      <c r="D643" s="8">
        <f t="shared" si="59"/>
        <v>67.400000000000446</v>
      </c>
      <c r="E643" s="14">
        <f t="shared" si="56"/>
        <v>58.272570553766137</v>
      </c>
      <c r="F643" s="14">
        <f t="shared" si="57"/>
        <v>58.272658823876618</v>
      </c>
      <c r="G643" s="14">
        <f t="shared" si="58"/>
        <v>58.272658823876576</v>
      </c>
    </row>
    <row r="644" spans="2:7" x14ac:dyDescent="0.2">
      <c r="B644" s="14">
        <f t="shared" si="55"/>
        <v>10.836444071049723</v>
      </c>
      <c r="C644" s="14">
        <f t="shared" si="54"/>
        <v>4.1635559289502773</v>
      </c>
      <c r="D644" s="8">
        <f t="shared" si="59"/>
        <v>67.500000000000441</v>
      </c>
      <c r="E644" s="14">
        <f t="shared" si="56"/>
        <v>58.407090174127312</v>
      </c>
      <c r="F644" s="14">
        <f t="shared" si="57"/>
        <v>58.407178363233676</v>
      </c>
      <c r="G644" s="14">
        <f t="shared" si="58"/>
        <v>58.407178363233683</v>
      </c>
    </row>
    <row r="645" spans="2:7" x14ac:dyDescent="0.2">
      <c r="B645" s="14">
        <f t="shared" si="55"/>
        <v>10.838154219664446</v>
      </c>
      <c r="C645" s="14">
        <f t="shared" si="54"/>
        <v>4.161845780335554</v>
      </c>
      <c r="D645" s="8">
        <f t="shared" si="59"/>
        <v>67.600000000000435</v>
      </c>
      <c r="E645" s="14">
        <f t="shared" si="56"/>
        <v>58.541700711590245</v>
      </c>
      <c r="F645" s="14">
        <f t="shared" si="57"/>
        <v>58.541788819940294</v>
      </c>
      <c r="G645" s="14">
        <f t="shared" si="58"/>
        <v>58.541788819940322</v>
      </c>
    </row>
    <row r="646" spans="2:7" x14ac:dyDescent="0.2">
      <c r="B646" s="14">
        <f t="shared" si="55"/>
        <v>10.839860439169694</v>
      </c>
      <c r="C646" s="14">
        <f t="shared" si="54"/>
        <v>4.1601395608303058</v>
      </c>
      <c r="D646" s="8">
        <f t="shared" si="59"/>
        <v>67.700000000000429</v>
      </c>
      <c r="E646" s="14">
        <f t="shared" si="56"/>
        <v>58.676402060938685</v>
      </c>
      <c r="F646" s="14">
        <f t="shared" si="57"/>
        <v>58.676490088702216</v>
      </c>
      <c r="G646" s="14">
        <f t="shared" si="58"/>
        <v>58.676490088702245</v>
      </c>
    </row>
    <row r="647" spans="2:7" x14ac:dyDescent="0.2">
      <c r="B647" s="14">
        <f t="shared" si="55"/>
        <v>10.841562744948465</v>
      </c>
      <c r="C647" s="14">
        <f t="shared" si="54"/>
        <v>4.1584372550515347</v>
      </c>
      <c r="D647" s="8">
        <f t="shared" si="59"/>
        <v>67.800000000000423</v>
      </c>
      <c r="E647" s="14">
        <f t="shared" si="56"/>
        <v>58.811194117171404</v>
      </c>
      <c r="F647" s="14">
        <f t="shared" si="57"/>
        <v>58.811282064493156</v>
      </c>
      <c r="G647" s="14">
        <f t="shared" si="58"/>
        <v>58.811282064493156</v>
      </c>
    </row>
    <row r="648" spans="2:7" x14ac:dyDescent="0.2">
      <c r="B648" s="14">
        <f t="shared" si="55"/>
        <v>10.843261152299265</v>
      </c>
      <c r="C648" s="14">
        <f t="shared" si="54"/>
        <v>4.1567388477007352</v>
      </c>
      <c r="D648" s="8">
        <f t="shared" si="59"/>
        <v>67.900000000000418</v>
      </c>
      <c r="E648" s="14">
        <f t="shared" si="56"/>
        <v>58.946076775442911</v>
      </c>
      <c r="F648" s="14">
        <f t="shared" si="57"/>
        <v>58.946164642553626</v>
      </c>
      <c r="G648" s="14">
        <f t="shared" si="58"/>
        <v>58.946164642553661</v>
      </c>
    </row>
    <row r="649" spans="2:7" x14ac:dyDescent="0.2">
      <c r="B649" s="14">
        <f t="shared" si="55"/>
        <v>10.844955676436712</v>
      </c>
      <c r="C649" s="14">
        <f t="shared" si="54"/>
        <v>4.1550443235632883</v>
      </c>
      <c r="D649" s="8">
        <f t="shared" si="59"/>
        <v>68.000000000000412</v>
      </c>
      <c r="E649" s="14">
        <f t="shared" si="56"/>
        <v>59.081049931376391</v>
      </c>
      <c r="F649" s="14">
        <f t="shared" si="57"/>
        <v>59.081137718390274</v>
      </c>
      <c r="G649" s="14">
        <f t="shared" si="58"/>
        <v>59.081137718390238</v>
      </c>
    </row>
    <row r="650" spans="2:7" x14ac:dyDescent="0.2">
      <c r="B650" s="14">
        <f t="shared" si="55"/>
        <v>10.846646332492107</v>
      </c>
      <c r="C650" s="14">
        <f t="shared" si="54"/>
        <v>4.1533536675078935</v>
      </c>
      <c r="D650" s="8">
        <f t="shared" si="59"/>
        <v>68.100000000000406</v>
      </c>
      <c r="E650" s="14">
        <f t="shared" si="56"/>
        <v>59.21611348067092</v>
      </c>
      <c r="F650" s="14">
        <f t="shared" si="57"/>
        <v>59.216201187774104</v>
      </c>
      <c r="G650" s="14">
        <f t="shared" si="58"/>
        <v>59.216201187774139</v>
      </c>
    </row>
    <row r="651" spans="2:7" x14ac:dyDescent="0.2">
      <c r="B651" s="14">
        <f t="shared" si="55"/>
        <v>10.84833313551405</v>
      </c>
      <c r="C651" s="14">
        <f t="shared" si="54"/>
        <v>4.15166686448595</v>
      </c>
      <c r="D651" s="8">
        <f t="shared" si="59"/>
        <v>68.200000000000401</v>
      </c>
      <c r="E651" s="14">
        <f t="shared" si="56"/>
        <v>59.351267319325309</v>
      </c>
      <c r="F651" s="14">
        <f t="shared" si="57"/>
        <v>59.351354946740408</v>
      </c>
      <c r="G651" s="14">
        <f t="shared" si="58"/>
        <v>59.351354946740408</v>
      </c>
    </row>
    <row r="652" spans="2:7" x14ac:dyDescent="0.2">
      <c r="B652" s="14">
        <f t="shared" si="55"/>
        <v>10.850016100468988</v>
      </c>
      <c r="C652" s="14">
        <f t="shared" si="54"/>
        <v>4.1499838995310121</v>
      </c>
      <c r="D652" s="8">
        <f t="shared" si="59"/>
        <v>68.300000000000395</v>
      </c>
      <c r="E652" s="14">
        <f t="shared" si="56"/>
        <v>59.486511343744311</v>
      </c>
      <c r="F652" s="14">
        <f t="shared" si="57"/>
        <v>59.486598891586759</v>
      </c>
      <c r="G652" s="14">
        <f t="shared" si="58"/>
        <v>59.486598891586773</v>
      </c>
    </row>
    <row r="653" spans="2:7" x14ac:dyDescent="0.2">
      <c r="B653" s="14">
        <f t="shared" si="55"/>
        <v>10.851695242241814</v>
      </c>
      <c r="C653" s="14">
        <f t="shared" si="54"/>
        <v>4.1483047577581864</v>
      </c>
      <c r="D653" s="8">
        <f t="shared" si="59"/>
        <v>68.400000000000389</v>
      </c>
      <c r="E653" s="14">
        <f t="shared" si="56"/>
        <v>59.621845450375986</v>
      </c>
      <c r="F653" s="14">
        <f t="shared" si="57"/>
        <v>59.621932918872702</v>
      </c>
      <c r="G653" s="14">
        <f t="shared" si="58"/>
        <v>59.621932918872709</v>
      </c>
    </row>
    <row r="654" spans="2:7" x14ac:dyDescent="0.2">
      <c r="B654" s="14">
        <f t="shared" si="55"/>
        <v>10.853370575636424</v>
      </c>
      <c r="C654" s="14">
        <f t="shared" si="54"/>
        <v>4.1466294243635762</v>
      </c>
      <c r="D654" s="8">
        <f t="shared" si="59"/>
        <v>68.500000000000384</v>
      </c>
      <c r="E654" s="14">
        <f t="shared" si="56"/>
        <v>59.757269536133741</v>
      </c>
      <c r="F654" s="14">
        <f t="shared" si="57"/>
        <v>59.757356925418321</v>
      </c>
      <c r="G654" s="14">
        <f t="shared" si="58"/>
        <v>59.757356925418335</v>
      </c>
    </row>
    <row r="655" spans="2:7" x14ac:dyDescent="0.2">
      <c r="B655" s="14">
        <f t="shared" si="55"/>
        <v>10.855042115376287</v>
      </c>
      <c r="C655" s="14">
        <f t="shared" si="54"/>
        <v>4.1449578846237127</v>
      </c>
      <c r="D655" s="8">
        <f t="shared" si="59"/>
        <v>68.600000000000378</v>
      </c>
      <c r="E655" s="14">
        <f t="shared" si="56"/>
        <v>59.892783498003482</v>
      </c>
      <c r="F655" s="14">
        <f t="shared" si="57"/>
        <v>59.8928708083034</v>
      </c>
      <c r="G655" s="14">
        <f t="shared" si="58"/>
        <v>59.892870808303435</v>
      </c>
    </row>
    <row r="656" spans="2:7" x14ac:dyDescent="0.2">
      <c r="B656" s="14">
        <f t="shared" si="55"/>
        <v>10.856709876105013</v>
      </c>
      <c r="C656" s="14">
        <f t="shared" si="54"/>
        <v>4.1432901238949871</v>
      </c>
      <c r="D656" s="8">
        <f t="shared" si="59"/>
        <v>68.700000000000372</v>
      </c>
      <c r="E656" s="14">
        <f t="shared" si="56"/>
        <v>60.028387233409795</v>
      </c>
      <c r="F656" s="14">
        <f t="shared" si="57"/>
        <v>60.028474464866441</v>
      </c>
      <c r="G656" s="14">
        <f t="shared" si="58"/>
        <v>60.028474464866427</v>
      </c>
    </row>
    <row r="657" spans="2:7" x14ac:dyDescent="0.2">
      <c r="B657" s="14">
        <f t="shared" si="55"/>
        <v>10.858373872386888</v>
      </c>
      <c r="C657" s="14">
        <f t="shared" si="54"/>
        <v>4.1416261276131117</v>
      </c>
      <c r="D657" s="8">
        <f t="shared" si="59"/>
        <v>68.800000000000367</v>
      </c>
      <c r="E657" s="14">
        <f t="shared" si="56"/>
        <v>60.164080639983148</v>
      </c>
      <c r="F657" s="14">
        <f t="shared" si="57"/>
        <v>60.164167792703296</v>
      </c>
      <c r="G657" s="14">
        <f t="shared" si="58"/>
        <v>60.16416779270331</v>
      </c>
    </row>
    <row r="658" spans="2:7" x14ac:dyDescent="0.2">
      <c r="B658" s="14">
        <f t="shared" si="55"/>
        <v>10.860034118707452</v>
      </c>
      <c r="C658" s="14">
        <f t="shared" si="54"/>
        <v>4.1399658812925484</v>
      </c>
      <c r="D658" s="8">
        <f t="shared" si="59"/>
        <v>68.900000000000361</v>
      </c>
      <c r="E658" s="14">
        <f t="shared" si="56"/>
        <v>60.299863615387039</v>
      </c>
      <c r="F658" s="14">
        <f t="shared" si="57"/>
        <v>60.299950689666744</v>
      </c>
      <c r="G658" s="14">
        <f t="shared" si="58"/>
        <v>60.299950689666794</v>
      </c>
    </row>
    <row r="659" spans="2:7" x14ac:dyDescent="0.2">
      <c r="B659" s="14">
        <f t="shared" si="55"/>
        <v>10.86169062947403</v>
      </c>
      <c r="C659" s="14">
        <f t="shared" ref="C659:C722" si="60">$C$14-B659</f>
        <v>4.1383093705259704</v>
      </c>
      <c r="D659" s="8">
        <f t="shared" si="59"/>
        <v>69.000000000000355</v>
      </c>
      <c r="E659" s="14">
        <f t="shared" si="56"/>
        <v>60.435736057855877</v>
      </c>
      <c r="F659" s="14">
        <f t="shared" si="57"/>
        <v>60.435823053865143</v>
      </c>
      <c r="G659" s="14">
        <f t="shared" si="58"/>
        <v>60.435823053865143</v>
      </c>
    </row>
    <row r="660" spans="2:7" x14ac:dyDescent="0.2">
      <c r="B660" s="14">
        <f t="shared" ref="B660:B723" si="61">$C$14*(LN(D660)-LN($F$14))/(1+LN(D660)-LN($F$14))</f>
        <v>10.863343419016271</v>
      </c>
      <c r="C660" s="14">
        <f t="shared" si="60"/>
        <v>4.136656580983729</v>
      </c>
      <c r="D660" s="8">
        <f t="shared" si="59"/>
        <v>69.10000000000035</v>
      </c>
      <c r="E660" s="14">
        <f t="shared" ref="E660:E723" si="62">(D661-D659)/(B661-B659)</f>
        <v>60.571697865902053</v>
      </c>
      <c r="F660" s="14">
        <f t="shared" ref="F660:F723" si="63">D660*$C$14/(C660*C660)</f>
        <v>60.571784783661343</v>
      </c>
      <c r="G660" s="14">
        <f t="shared" ref="G660:G723" si="64">D660*(1+LN(D660/$F$14))*(1+LN(D660/$F$14))/$C$14</f>
        <v>60.571784783661293</v>
      </c>
    </row>
    <row r="661" spans="2:7" x14ac:dyDescent="0.2">
      <c r="B661" s="14">
        <f t="shared" si="61"/>
        <v>10.864992501586691</v>
      </c>
      <c r="C661" s="14">
        <f t="shared" si="60"/>
        <v>4.1350074984133087</v>
      </c>
      <c r="D661" s="8">
        <f t="shared" ref="D661:D724" si="65">D660+0.1</f>
        <v>69.200000000000344</v>
      </c>
      <c r="E661" s="14">
        <f t="shared" si="62"/>
        <v>60.70774893791841</v>
      </c>
      <c r="F661" s="14">
        <f t="shared" si="63"/>
        <v>60.707835777671782</v>
      </c>
      <c r="G661" s="14">
        <f t="shared" si="64"/>
        <v>60.707835777671811</v>
      </c>
    </row>
    <row r="662" spans="2:7" x14ac:dyDescent="0.2">
      <c r="B662" s="14">
        <f t="shared" si="61"/>
        <v>10.866637891361218</v>
      </c>
      <c r="C662" s="14">
        <f t="shared" si="60"/>
        <v>4.1333621086387815</v>
      </c>
      <c r="D662" s="8">
        <f t="shared" si="65"/>
        <v>69.300000000000338</v>
      </c>
      <c r="E662" s="14">
        <f t="shared" si="62"/>
        <v>60.843889172758182</v>
      </c>
      <c r="F662" s="14">
        <f t="shared" si="63"/>
        <v>60.843975934765908</v>
      </c>
      <c r="G662" s="14">
        <f t="shared" si="64"/>
        <v>60.843975934765936</v>
      </c>
    </row>
    <row r="663" spans="2:7" x14ac:dyDescent="0.2">
      <c r="B663" s="14">
        <f t="shared" si="61"/>
        <v>10.868279602439697</v>
      </c>
      <c r="C663" s="14">
        <f t="shared" si="60"/>
        <v>4.1317203975603025</v>
      </c>
      <c r="D663" s="8">
        <f t="shared" si="65"/>
        <v>69.400000000000333</v>
      </c>
      <c r="E663" s="14">
        <f t="shared" si="62"/>
        <v>60.980118469737839</v>
      </c>
      <c r="F663" s="14">
        <f t="shared" si="63"/>
        <v>60.980205154064564</v>
      </c>
      <c r="G663" s="14">
        <f t="shared" si="64"/>
        <v>60.980205154064556</v>
      </c>
    </row>
    <row r="664" spans="2:7" x14ac:dyDescent="0.2">
      <c r="B664" s="14">
        <f t="shared" si="61"/>
        <v>10.869917648846426</v>
      </c>
      <c r="C664" s="14">
        <f t="shared" si="60"/>
        <v>4.1300823511535736</v>
      </c>
      <c r="D664" s="8">
        <f t="shared" si="65"/>
        <v>69.500000000000327</v>
      </c>
      <c r="E664" s="14">
        <f t="shared" si="62"/>
        <v>61.116436728077637</v>
      </c>
      <c r="F664" s="14">
        <f t="shared" si="63"/>
        <v>61.116523334939309</v>
      </c>
      <c r="G664" s="14">
        <f t="shared" si="64"/>
        <v>61.116523334939338</v>
      </c>
    </row>
    <row r="665" spans="2:7" x14ac:dyDescent="0.2">
      <c r="B665" s="14">
        <f t="shared" si="61"/>
        <v>10.871552044530683</v>
      </c>
      <c r="C665" s="14">
        <f t="shared" si="60"/>
        <v>4.1284479554693174</v>
      </c>
      <c r="D665" s="8">
        <f t="shared" si="65"/>
        <v>69.600000000000321</v>
      </c>
      <c r="E665" s="14">
        <f t="shared" si="62"/>
        <v>61.252843847428444</v>
      </c>
      <c r="F665" s="14">
        <f t="shared" si="63"/>
        <v>61.252930377011637</v>
      </c>
      <c r="G665" s="14">
        <f t="shared" si="64"/>
        <v>61.25293037701163</v>
      </c>
    </row>
    <row r="666" spans="2:7" x14ac:dyDescent="0.2">
      <c r="B666" s="14">
        <f t="shared" si="61"/>
        <v>10.873182803367222</v>
      </c>
      <c r="C666" s="14">
        <f t="shared" si="60"/>
        <v>4.1268171966327785</v>
      </c>
      <c r="D666" s="8">
        <f t="shared" si="65"/>
        <v>69.700000000000315</v>
      </c>
      <c r="E666" s="14">
        <f t="shared" si="62"/>
        <v>61.389339727745018</v>
      </c>
      <c r="F666" s="14">
        <f t="shared" si="63"/>
        <v>61.389426180151624</v>
      </c>
      <c r="G666" s="14">
        <f t="shared" si="64"/>
        <v>61.389426180151617</v>
      </c>
    </row>
    <row r="667" spans="2:7" x14ac:dyDescent="0.2">
      <c r="B667" s="14">
        <f t="shared" si="61"/>
        <v>10.874809939156801</v>
      </c>
      <c r="C667" s="14">
        <f t="shared" si="60"/>
        <v>4.1251900608431988</v>
      </c>
      <c r="D667" s="8">
        <f t="shared" si="65"/>
        <v>69.80000000000031</v>
      </c>
      <c r="E667" s="14">
        <f t="shared" si="62"/>
        <v>61.525924269090218</v>
      </c>
      <c r="F667" s="14">
        <f t="shared" si="63"/>
        <v>61.52601064447726</v>
      </c>
      <c r="G667" s="14">
        <f t="shared" si="64"/>
        <v>61.52601064447726</v>
      </c>
    </row>
    <row r="668" spans="2:7" x14ac:dyDescent="0.2">
      <c r="B668" s="14">
        <f t="shared" si="61"/>
        <v>10.876433465626683</v>
      </c>
      <c r="C668" s="14">
        <f t="shared" si="60"/>
        <v>4.1235665343733174</v>
      </c>
      <c r="D668" s="8">
        <f t="shared" si="65"/>
        <v>69.900000000000304</v>
      </c>
      <c r="E668" s="14">
        <f t="shared" si="62"/>
        <v>61.662597371773359</v>
      </c>
      <c r="F668" s="14">
        <f t="shared" si="63"/>
        <v>61.662683670353388</v>
      </c>
      <c r="G668" s="14">
        <f t="shared" si="64"/>
        <v>61.662683670353424</v>
      </c>
    </row>
    <row r="669" spans="2:7" x14ac:dyDescent="0.2">
      <c r="B669" s="14">
        <f t="shared" si="61"/>
        <v>10.878053396431138</v>
      </c>
      <c r="C669" s="14">
        <f t="shared" si="60"/>
        <v>4.1219466035688619</v>
      </c>
      <c r="D669" s="8">
        <f t="shared" si="65"/>
        <v>70.000000000000298</v>
      </c>
      <c r="E669" s="14">
        <f t="shared" si="62"/>
        <v>61.799358936392117</v>
      </c>
      <c r="F669" s="14">
        <f t="shared" si="63"/>
        <v>61.799445158390881</v>
      </c>
      <c r="G669" s="14">
        <f t="shared" si="64"/>
        <v>61.79944515839091</v>
      </c>
    </row>
    <row r="670" spans="2:7" x14ac:dyDescent="0.2">
      <c r="B670" s="14">
        <f t="shared" si="61"/>
        <v>10.879669745151942</v>
      </c>
      <c r="C670" s="14">
        <f t="shared" si="60"/>
        <v>4.1203302548480583</v>
      </c>
      <c r="D670" s="8">
        <f t="shared" si="65"/>
        <v>70.100000000000293</v>
      </c>
      <c r="E670" s="14">
        <f t="shared" si="62"/>
        <v>61.936208863911268</v>
      </c>
      <c r="F670" s="14">
        <f t="shared" si="63"/>
        <v>61.936295009445502</v>
      </c>
      <c r="G670" s="14">
        <f t="shared" si="64"/>
        <v>61.936295009445494</v>
      </c>
    </row>
    <row r="671" spans="2:7" x14ac:dyDescent="0.2">
      <c r="B671" s="14">
        <f t="shared" si="61"/>
        <v>10.881282525298865</v>
      </c>
      <c r="C671" s="14">
        <f t="shared" si="60"/>
        <v>4.1187174747011355</v>
      </c>
      <c r="D671" s="8">
        <f t="shared" si="65"/>
        <v>70.200000000000287</v>
      </c>
      <c r="E671" s="14">
        <f t="shared" si="62"/>
        <v>62.073147055437111</v>
      </c>
      <c r="F671" s="14">
        <f t="shared" si="63"/>
        <v>62.073233124617012</v>
      </c>
      <c r="G671" s="14">
        <f t="shared" si="64"/>
        <v>62.073233124616998</v>
      </c>
    </row>
    <row r="672" spans="2:7" x14ac:dyDescent="0.2">
      <c r="B672" s="14">
        <f t="shared" si="61"/>
        <v>10.882891750310169</v>
      </c>
      <c r="C672" s="14">
        <f t="shared" si="60"/>
        <v>4.1171082496898315</v>
      </c>
      <c r="D672" s="8">
        <f t="shared" si="65"/>
        <v>70.300000000000281</v>
      </c>
      <c r="E672" s="14">
        <f t="shared" si="62"/>
        <v>62.210173412228045</v>
      </c>
      <c r="F672" s="14">
        <f t="shared" si="63"/>
        <v>62.210259405248351</v>
      </c>
      <c r="G672" s="14">
        <f t="shared" si="64"/>
        <v>62.210259405248344</v>
      </c>
    </row>
    <row r="673" spans="2:7" x14ac:dyDescent="0.2">
      <c r="B673" s="14">
        <f t="shared" si="61"/>
        <v>10.884497433553094</v>
      </c>
      <c r="C673" s="14">
        <f t="shared" si="60"/>
        <v>4.1155025664469065</v>
      </c>
      <c r="D673" s="8">
        <f t="shared" si="65"/>
        <v>70.400000000000276</v>
      </c>
      <c r="E673" s="14">
        <f t="shared" si="62"/>
        <v>62.347287835879683</v>
      </c>
      <c r="F673" s="14">
        <f t="shared" si="63"/>
        <v>62.347373752924675</v>
      </c>
      <c r="G673" s="14">
        <f t="shared" si="64"/>
        <v>62.347373752924675</v>
      </c>
    </row>
    <row r="674" spans="2:7" x14ac:dyDescent="0.2">
      <c r="B674" s="14">
        <f t="shared" si="61"/>
        <v>10.886099588324333</v>
      </c>
      <c r="C674" s="14">
        <f t="shared" si="60"/>
        <v>4.113900411675667</v>
      </c>
      <c r="D674" s="8">
        <f t="shared" si="65"/>
        <v>70.50000000000027</v>
      </c>
      <c r="E674" s="14">
        <f t="shared" si="62"/>
        <v>62.484490228273749</v>
      </c>
      <c r="F674" s="14">
        <f t="shared" si="63"/>
        <v>62.484576069472368</v>
      </c>
      <c r="G674" s="14">
        <f t="shared" si="64"/>
        <v>62.484576069472368</v>
      </c>
    </row>
    <row r="675" spans="2:7" x14ac:dyDescent="0.2">
      <c r="B675" s="14">
        <f t="shared" si="61"/>
        <v>10.887698227850516</v>
      </c>
      <c r="C675" s="14">
        <f t="shared" si="60"/>
        <v>4.1123017721494843</v>
      </c>
      <c r="D675" s="8">
        <f t="shared" si="65"/>
        <v>70.600000000000264</v>
      </c>
      <c r="E675" s="14">
        <f t="shared" si="62"/>
        <v>62.621780491387803</v>
      </c>
      <c r="F675" s="14">
        <f t="shared" si="63"/>
        <v>62.621866256958143</v>
      </c>
      <c r="G675" s="14">
        <f t="shared" si="64"/>
        <v>62.621866256958157</v>
      </c>
    </row>
    <row r="676" spans="2:7" x14ac:dyDescent="0.2">
      <c r="B676" s="14">
        <f t="shared" si="61"/>
        <v>10.889293365288683</v>
      </c>
      <c r="C676" s="14">
        <f t="shared" si="60"/>
        <v>4.1107066347113168</v>
      </c>
      <c r="D676" s="8">
        <f t="shared" si="65"/>
        <v>70.700000000000259</v>
      </c>
      <c r="E676" s="14">
        <f t="shared" si="62"/>
        <v>62.759158527626212</v>
      </c>
      <c r="F676" s="14">
        <f t="shared" si="63"/>
        <v>62.759244217688263</v>
      </c>
      <c r="G676" s="14">
        <f t="shared" si="64"/>
        <v>62.759244217688234</v>
      </c>
    </row>
    <row r="677" spans="2:7" x14ac:dyDescent="0.2">
      <c r="B677" s="14">
        <f t="shared" si="61"/>
        <v>10.890885013726747</v>
      </c>
      <c r="C677" s="14">
        <f t="shared" si="60"/>
        <v>4.1091149862732532</v>
      </c>
      <c r="D677" s="8">
        <f t="shared" si="65"/>
        <v>70.800000000000253</v>
      </c>
      <c r="E677" s="14">
        <f t="shared" si="62"/>
        <v>62.896624239493896</v>
      </c>
      <c r="F677" s="14">
        <f t="shared" si="63"/>
        <v>62.896709854207295</v>
      </c>
      <c r="G677" s="14">
        <f t="shared" si="64"/>
        <v>62.896709854207295</v>
      </c>
    </row>
    <row r="678" spans="2:7" x14ac:dyDescent="0.2">
      <c r="B678" s="14">
        <f t="shared" si="61"/>
        <v>10.892473186183974</v>
      </c>
      <c r="C678" s="14">
        <f t="shared" si="60"/>
        <v>4.1075268138160261</v>
      </c>
      <c r="D678" s="8">
        <f t="shared" si="65"/>
        <v>70.900000000000247</v>
      </c>
      <c r="E678" s="14">
        <f t="shared" si="62"/>
        <v>63.034177529756938</v>
      </c>
      <c r="F678" s="14">
        <f t="shared" si="63"/>
        <v>63.034263069297666</v>
      </c>
      <c r="G678" s="14">
        <f t="shared" si="64"/>
        <v>63.034263069297666</v>
      </c>
    </row>
    <row r="679" spans="2:7" x14ac:dyDescent="0.2">
      <c r="B679" s="14">
        <f t="shared" si="61"/>
        <v>10.894057895611429</v>
      </c>
      <c r="C679" s="14">
        <f t="shared" si="60"/>
        <v>4.1059421043885713</v>
      </c>
      <c r="D679" s="8">
        <f t="shared" si="65"/>
        <v>71.000000000000242</v>
      </c>
      <c r="E679" s="14">
        <f t="shared" si="62"/>
        <v>63.171818301467283</v>
      </c>
      <c r="F679" s="14">
        <f t="shared" si="63"/>
        <v>63.171903765978335</v>
      </c>
      <c r="G679" s="14">
        <f t="shared" si="64"/>
        <v>63.171903765978342</v>
      </c>
    </row>
    <row r="680" spans="2:7" x14ac:dyDescent="0.2">
      <c r="B680" s="14">
        <f t="shared" si="61"/>
        <v>10.89563915489245</v>
      </c>
      <c r="C680" s="14">
        <f t="shared" si="60"/>
        <v>4.1043608451075499</v>
      </c>
      <c r="D680" s="8">
        <f t="shared" si="65"/>
        <v>71.100000000000236</v>
      </c>
      <c r="E680" s="14">
        <f t="shared" si="62"/>
        <v>63.309546457847127</v>
      </c>
      <c r="F680" s="14">
        <f t="shared" si="63"/>
        <v>63.309631847504249</v>
      </c>
      <c r="G680" s="14">
        <f t="shared" si="64"/>
        <v>63.309631847504228</v>
      </c>
    </row>
    <row r="681" spans="2:7" x14ac:dyDescent="0.2">
      <c r="B681" s="14">
        <f t="shared" si="61"/>
        <v>10.89721697684309</v>
      </c>
      <c r="C681" s="14">
        <f t="shared" si="60"/>
        <v>4.1027830231569098</v>
      </c>
      <c r="D681" s="8">
        <f t="shared" si="65"/>
        <v>71.20000000000023</v>
      </c>
      <c r="E681" s="14">
        <f t="shared" si="62"/>
        <v>63.447361902422067</v>
      </c>
      <c r="F681" s="14">
        <f t="shared" si="63"/>
        <v>63.447447217365109</v>
      </c>
      <c r="G681" s="14">
        <f t="shared" si="64"/>
        <v>63.447447217365131</v>
      </c>
    </row>
    <row r="682" spans="2:7" x14ac:dyDescent="0.2">
      <c r="B682" s="14">
        <f t="shared" si="61"/>
        <v>10.898791374212578</v>
      </c>
      <c r="C682" s="14">
        <f t="shared" si="60"/>
        <v>4.1012086257874216</v>
      </c>
      <c r="D682" s="8">
        <f t="shared" si="65"/>
        <v>71.300000000000225</v>
      </c>
      <c r="E682" s="14">
        <f t="shared" si="62"/>
        <v>63.585264538871954</v>
      </c>
      <c r="F682" s="14">
        <f t="shared" si="63"/>
        <v>63.58534977928489</v>
      </c>
      <c r="G682" s="14">
        <f t="shared" si="64"/>
        <v>63.585349779284911</v>
      </c>
    </row>
    <row r="683" spans="2:7" x14ac:dyDescent="0.2">
      <c r="B683" s="14">
        <f t="shared" si="61"/>
        <v>10.90036235968376</v>
      </c>
      <c r="C683" s="14">
        <f t="shared" si="60"/>
        <v>4.0996376403162405</v>
      </c>
      <c r="D683" s="8">
        <f t="shared" si="65"/>
        <v>71.400000000000219</v>
      </c>
      <c r="E683" s="14">
        <f t="shared" si="62"/>
        <v>63.723254271167846</v>
      </c>
      <c r="F683" s="14">
        <f t="shared" si="63"/>
        <v>63.723339437220538</v>
      </c>
      <c r="G683" s="14">
        <f t="shared" si="64"/>
        <v>63.723339437220567</v>
      </c>
    </row>
    <row r="684" spans="2:7" x14ac:dyDescent="0.2">
      <c r="B684" s="14">
        <f t="shared" si="61"/>
        <v>10.901929945873544</v>
      </c>
      <c r="C684" s="14">
        <f t="shared" si="60"/>
        <v>4.0980700541264561</v>
      </c>
      <c r="D684" s="8">
        <f t="shared" si="65"/>
        <v>71.500000000000213</v>
      </c>
      <c r="E684" s="14">
        <f t="shared" si="62"/>
        <v>63.861331003569106</v>
      </c>
      <c r="F684" s="14">
        <f t="shared" si="63"/>
        <v>63.861416095361477</v>
      </c>
      <c r="G684" s="14">
        <f t="shared" si="64"/>
        <v>63.861416095361463</v>
      </c>
    </row>
    <row r="685" spans="2:7" x14ac:dyDescent="0.2">
      <c r="B685" s="14">
        <f t="shared" si="61"/>
        <v>10.903494145333338</v>
      </c>
      <c r="C685" s="14">
        <f t="shared" si="60"/>
        <v>4.0965058546666615</v>
      </c>
      <c r="D685" s="8">
        <f t="shared" si="65"/>
        <v>71.600000000000207</v>
      </c>
      <c r="E685" s="14">
        <f t="shared" si="62"/>
        <v>63.999494640403618</v>
      </c>
      <c r="F685" s="14">
        <f t="shared" si="63"/>
        <v>63.999579658128276</v>
      </c>
      <c r="G685" s="14">
        <f t="shared" si="64"/>
        <v>63.999579658128326</v>
      </c>
    </row>
    <row r="686" spans="2:7" x14ac:dyDescent="0.2">
      <c r="B686" s="14">
        <f t="shared" si="61"/>
        <v>10.9050549705495</v>
      </c>
      <c r="C686" s="14">
        <f t="shared" si="60"/>
        <v>4.0949450294504999</v>
      </c>
      <c r="D686" s="8">
        <f t="shared" si="65"/>
        <v>71.700000000000202</v>
      </c>
      <c r="E686" s="14">
        <f t="shared" si="62"/>
        <v>64.137745086318702</v>
      </c>
      <c r="F686" s="14">
        <f t="shared" si="63"/>
        <v>64.137830030172438</v>
      </c>
      <c r="G686" s="14">
        <f t="shared" si="64"/>
        <v>64.137830030172452</v>
      </c>
    </row>
    <row r="687" spans="2:7" x14ac:dyDescent="0.2">
      <c r="B687" s="14">
        <f t="shared" si="61"/>
        <v>10.906612433943748</v>
      </c>
      <c r="C687" s="14">
        <f t="shared" si="60"/>
        <v>4.0933875660562524</v>
      </c>
      <c r="D687" s="8">
        <f t="shared" si="65"/>
        <v>71.800000000000196</v>
      </c>
      <c r="E687" s="14">
        <f t="shared" si="62"/>
        <v>64.276082246283124</v>
      </c>
      <c r="F687" s="14">
        <f t="shared" si="63"/>
        <v>64.276167116374836</v>
      </c>
      <c r="G687" s="14">
        <f t="shared" si="64"/>
        <v>64.276167116374836</v>
      </c>
    </row>
    <row r="688" spans="2:7" x14ac:dyDescent="0.2">
      <c r="B688" s="14">
        <f t="shared" si="61"/>
        <v>10.908166547873607</v>
      </c>
      <c r="C688" s="14">
        <f t="shared" si="60"/>
        <v>4.0918334521263926</v>
      </c>
      <c r="D688" s="8">
        <f t="shared" si="65"/>
        <v>71.90000000000019</v>
      </c>
      <c r="E688" s="14">
        <f t="shared" si="62"/>
        <v>64.414506025406311</v>
      </c>
      <c r="F688" s="14">
        <f t="shared" si="63"/>
        <v>64.414590821845351</v>
      </c>
      <c r="G688" s="14">
        <f t="shared" si="64"/>
        <v>64.414590821845323</v>
      </c>
    </row>
    <row r="689" spans="2:7" x14ac:dyDescent="0.2">
      <c r="B689" s="14">
        <f t="shared" si="61"/>
        <v>10.909717324632828</v>
      </c>
      <c r="C689" s="14">
        <f t="shared" si="60"/>
        <v>4.0902826753671722</v>
      </c>
      <c r="D689" s="8">
        <f t="shared" si="65"/>
        <v>72.000000000000185</v>
      </c>
      <c r="E689" s="14">
        <f t="shared" si="62"/>
        <v>64.553016328939407</v>
      </c>
      <c r="F689" s="14">
        <f t="shared" si="63"/>
        <v>64.553101051921658</v>
      </c>
      <c r="G689" s="14">
        <f t="shared" si="64"/>
        <v>64.553101051921715</v>
      </c>
    </row>
    <row r="690" spans="2:7" x14ac:dyDescent="0.2">
      <c r="B690" s="14">
        <f t="shared" si="61"/>
        <v>10.911264776451818</v>
      </c>
      <c r="C690" s="14">
        <f t="shared" si="60"/>
        <v>4.0887352235481824</v>
      </c>
      <c r="D690" s="8">
        <f t="shared" si="65"/>
        <v>72.100000000000179</v>
      </c>
      <c r="E690" s="14">
        <f t="shared" si="62"/>
        <v>64.691613062426327</v>
      </c>
      <c r="F690" s="14">
        <f t="shared" si="63"/>
        <v>64.691697712168875</v>
      </c>
      <c r="G690" s="14">
        <f t="shared" si="64"/>
        <v>64.691697712168917</v>
      </c>
    </row>
    <row r="691" spans="2:7" x14ac:dyDescent="0.2">
      <c r="B691" s="14">
        <f t="shared" si="61"/>
        <v>10.912808915498045</v>
      </c>
      <c r="C691" s="14">
        <f t="shared" si="60"/>
        <v>4.0871910845019546</v>
      </c>
      <c r="D691" s="8">
        <f t="shared" si="65"/>
        <v>72.200000000000173</v>
      </c>
      <c r="E691" s="14">
        <f t="shared" si="62"/>
        <v>64.830296131785659</v>
      </c>
      <c r="F691" s="14">
        <f t="shared" si="63"/>
        <v>64.830380708378144</v>
      </c>
      <c r="G691" s="14">
        <f t="shared" si="64"/>
        <v>64.830380708378172</v>
      </c>
    </row>
    <row r="692" spans="2:7" x14ac:dyDescent="0.2">
      <c r="B692" s="14">
        <f t="shared" si="61"/>
        <v>10.914349753876468</v>
      </c>
      <c r="C692" s="14">
        <f t="shared" si="60"/>
        <v>4.0856502461235316</v>
      </c>
      <c r="D692" s="8">
        <f t="shared" si="65"/>
        <v>72.300000000000168</v>
      </c>
      <c r="E692" s="14">
        <f t="shared" si="62"/>
        <v>64.969065442945947</v>
      </c>
      <c r="F692" s="14">
        <f t="shared" si="63"/>
        <v>64.96914994656612</v>
      </c>
      <c r="G692" s="14">
        <f t="shared" si="64"/>
        <v>64.969149946566134</v>
      </c>
    </row>
    <row r="693" spans="2:7" x14ac:dyDescent="0.2">
      <c r="B693" s="14">
        <f t="shared" si="61"/>
        <v>10.915887303629942</v>
      </c>
      <c r="C693" s="14">
        <f t="shared" si="60"/>
        <v>4.0841126963700578</v>
      </c>
      <c r="D693" s="8">
        <f t="shared" si="65"/>
        <v>72.400000000000162</v>
      </c>
      <c r="E693" s="14">
        <f t="shared" si="62"/>
        <v>65.107920902150866</v>
      </c>
      <c r="F693" s="14">
        <f t="shared" si="63"/>
        <v>65.108005332974088</v>
      </c>
      <c r="G693" s="14">
        <f t="shared" si="64"/>
        <v>65.108005332974074</v>
      </c>
    </row>
    <row r="694" spans="2:7" x14ac:dyDescent="0.2">
      <c r="B694" s="14">
        <f t="shared" si="61"/>
        <v>10.917421576739628</v>
      </c>
      <c r="C694" s="14">
        <f t="shared" si="60"/>
        <v>4.0825784232603723</v>
      </c>
      <c r="D694" s="8">
        <f t="shared" si="65"/>
        <v>72.500000000000156</v>
      </c>
      <c r="E694" s="14">
        <f t="shared" si="62"/>
        <v>65.246862416008838</v>
      </c>
      <c r="F694" s="14">
        <f t="shared" si="63"/>
        <v>65.246946774067069</v>
      </c>
      <c r="G694" s="14">
        <f t="shared" si="64"/>
        <v>65.246946774067013</v>
      </c>
    </row>
    <row r="695" spans="2:7" x14ac:dyDescent="0.2">
      <c r="B695" s="14">
        <f t="shared" si="61"/>
        <v>10.918952585125393</v>
      </c>
      <c r="C695" s="14">
        <f t="shared" si="60"/>
        <v>4.0810474148746074</v>
      </c>
      <c r="D695" s="8">
        <f t="shared" si="65"/>
        <v>72.600000000000151</v>
      </c>
      <c r="E695" s="14">
        <f t="shared" si="62"/>
        <v>65.385889891013619</v>
      </c>
      <c r="F695" s="14">
        <f t="shared" si="63"/>
        <v>65.385974176532898</v>
      </c>
      <c r="G695" s="14">
        <f t="shared" si="64"/>
        <v>65.38597417653294</v>
      </c>
    </row>
    <row r="696" spans="2:7" x14ac:dyDescent="0.2">
      <c r="B696" s="14">
        <f t="shared" si="61"/>
        <v>10.920480340646234</v>
      </c>
      <c r="C696" s="14">
        <f t="shared" si="60"/>
        <v>4.0795196593537657</v>
      </c>
      <c r="D696" s="8">
        <f t="shared" si="65"/>
        <v>72.700000000000145</v>
      </c>
      <c r="E696" s="14">
        <f t="shared" si="62"/>
        <v>65.525003234083727</v>
      </c>
      <c r="F696" s="14">
        <f t="shared" si="63"/>
        <v>65.525087447281948</v>
      </c>
      <c r="G696" s="14">
        <f t="shared" si="64"/>
        <v>65.525087447281948</v>
      </c>
    </row>
    <row r="697" spans="2:7" x14ac:dyDescent="0.2">
      <c r="B697" s="14">
        <f t="shared" si="61"/>
        <v>10.922004855100649</v>
      </c>
      <c r="C697" s="14">
        <f t="shared" si="60"/>
        <v>4.0779951448993508</v>
      </c>
      <c r="D697" s="8">
        <f t="shared" si="65"/>
        <v>72.800000000000139</v>
      </c>
      <c r="E697" s="14">
        <f t="shared" si="62"/>
        <v>65.664202352504162</v>
      </c>
      <c r="F697" s="14">
        <f t="shared" si="63"/>
        <v>65.664286493445402</v>
      </c>
      <c r="G697" s="14">
        <f t="shared" si="64"/>
        <v>65.664286493445388</v>
      </c>
    </row>
    <row r="698" spans="2:7" x14ac:dyDescent="0.2">
      <c r="B698" s="14">
        <f t="shared" si="61"/>
        <v>10.923526140227052</v>
      </c>
      <c r="C698" s="14">
        <f t="shared" si="60"/>
        <v>4.076473859772948</v>
      </c>
      <c r="D698" s="8">
        <f t="shared" si="65"/>
        <v>72.900000000000134</v>
      </c>
      <c r="E698" s="14">
        <f t="shared" si="62"/>
        <v>65.803487153483431</v>
      </c>
      <c r="F698" s="14">
        <f t="shared" si="63"/>
        <v>65.803571222375211</v>
      </c>
      <c r="G698" s="14">
        <f t="shared" si="64"/>
        <v>65.803571222375211</v>
      </c>
    </row>
    <row r="699" spans="2:7" x14ac:dyDescent="0.2">
      <c r="B699" s="14">
        <f t="shared" si="61"/>
        <v>10.925044207704159</v>
      </c>
      <c r="C699" s="14">
        <f t="shared" si="60"/>
        <v>4.0749557922958406</v>
      </c>
      <c r="D699" s="8">
        <f t="shared" si="65"/>
        <v>73.000000000000128</v>
      </c>
      <c r="E699" s="14">
        <f t="shared" si="62"/>
        <v>65.942857544704694</v>
      </c>
      <c r="F699" s="14">
        <f t="shared" si="63"/>
        <v>65.942941541642938</v>
      </c>
      <c r="G699" s="14">
        <f t="shared" si="64"/>
        <v>65.942941541642909</v>
      </c>
    </row>
    <row r="700" spans="2:7" x14ac:dyDescent="0.2">
      <c r="B700" s="14">
        <f t="shared" si="61"/>
        <v>10.926559069151377</v>
      </c>
      <c r="C700" s="14">
        <f t="shared" si="60"/>
        <v>4.0734409308486228</v>
      </c>
      <c r="D700" s="8">
        <f t="shared" si="65"/>
        <v>73.100000000000122</v>
      </c>
      <c r="E700" s="14">
        <f t="shared" si="62"/>
        <v>66.082313433922792</v>
      </c>
      <c r="F700" s="14">
        <f t="shared" si="63"/>
        <v>66.082397359038879</v>
      </c>
      <c r="G700" s="14">
        <f t="shared" si="64"/>
        <v>66.082397359038879</v>
      </c>
    </row>
    <row r="701" spans="2:7" x14ac:dyDescent="0.2">
      <c r="B701" s="14">
        <f t="shared" si="61"/>
        <v>10.928070736129197</v>
      </c>
      <c r="C701" s="14">
        <f t="shared" si="60"/>
        <v>4.0719292638708033</v>
      </c>
      <c r="D701" s="8">
        <f t="shared" si="65"/>
        <v>73.200000000000117</v>
      </c>
      <c r="E701" s="14">
        <f t="shared" si="62"/>
        <v>66.221854729058421</v>
      </c>
      <c r="F701" s="14">
        <f t="shared" si="63"/>
        <v>66.221938582571582</v>
      </c>
      <c r="G701" s="14">
        <f t="shared" si="64"/>
        <v>66.22193858257161</v>
      </c>
    </row>
    <row r="702" spans="2:7" x14ac:dyDescent="0.2">
      <c r="B702" s="14">
        <f t="shared" si="61"/>
        <v>10.929579220139571</v>
      </c>
      <c r="C702" s="14">
        <f t="shared" si="60"/>
        <v>4.0704207798604291</v>
      </c>
      <c r="D702" s="8">
        <f t="shared" si="65"/>
        <v>73.300000000000111</v>
      </c>
      <c r="E702" s="14">
        <f t="shared" si="62"/>
        <v>66.361481338413626</v>
      </c>
      <c r="F702" s="14">
        <f t="shared" si="63"/>
        <v>66.361565120466736</v>
      </c>
      <c r="G702" s="14">
        <f t="shared" si="64"/>
        <v>66.361565120466778</v>
      </c>
    </row>
    <row r="703" spans="2:7" x14ac:dyDescent="0.2">
      <c r="B703" s="14">
        <f t="shared" si="61"/>
        <v>10.931084532626295</v>
      </c>
      <c r="C703" s="14">
        <f t="shared" si="60"/>
        <v>4.0689154673737047</v>
      </c>
      <c r="D703" s="8">
        <f t="shared" si="65"/>
        <v>73.400000000000105</v>
      </c>
      <c r="E703" s="14">
        <f t="shared" si="62"/>
        <v>66.501193170461804</v>
      </c>
      <c r="F703" s="14">
        <f t="shared" si="63"/>
        <v>66.501276881166561</v>
      </c>
      <c r="G703" s="14">
        <f t="shared" si="64"/>
        <v>66.501276881166575</v>
      </c>
    </row>
    <row r="704" spans="2:7" x14ac:dyDescent="0.2">
      <c r="B704" s="14">
        <f t="shared" si="61"/>
        <v>10.932586684975387</v>
      </c>
      <c r="C704" s="14">
        <f t="shared" si="60"/>
        <v>4.0674133150246128</v>
      </c>
      <c r="D704" s="8">
        <f t="shared" si="65"/>
        <v>73.500000000000099</v>
      </c>
      <c r="E704" s="14">
        <f t="shared" si="62"/>
        <v>66.640990133791476</v>
      </c>
      <c r="F704" s="14">
        <f t="shared" si="63"/>
        <v>66.641073773328827</v>
      </c>
      <c r="G704" s="14">
        <f t="shared" si="64"/>
        <v>66.641073773328841</v>
      </c>
    </row>
    <row r="705" spans="2:7" x14ac:dyDescent="0.2">
      <c r="B705" s="14">
        <f t="shared" si="61"/>
        <v>10.934085688515463</v>
      </c>
      <c r="C705" s="14">
        <f t="shared" si="60"/>
        <v>4.0659143114845371</v>
      </c>
      <c r="D705" s="8">
        <f t="shared" si="65"/>
        <v>73.600000000000094</v>
      </c>
      <c r="E705" s="14">
        <f t="shared" si="62"/>
        <v>66.780872137327208</v>
      </c>
      <c r="F705" s="14">
        <f t="shared" si="63"/>
        <v>66.780955705826315</v>
      </c>
      <c r="G705" s="14">
        <f t="shared" si="64"/>
        <v>66.780955705826329</v>
      </c>
    </row>
    <row r="706" spans="2:7" x14ac:dyDescent="0.2">
      <c r="B706" s="14">
        <f t="shared" si="61"/>
        <v>10.935581554518102</v>
      </c>
      <c r="C706" s="14">
        <f t="shared" si="60"/>
        <v>4.0644184454818983</v>
      </c>
      <c r="D706" s="8">
        <f t="shared" si="65"/>
        <v>73.700000000000088</v>
      </c>
      <c r="E706" s="14">
        <f t="shared" si="62"/>
        <v>66.920839090119827</v>
      </c>
      <c r="F706" s="14">
        <f t="shared" si="63"/>
        <v>66.920922587745778</v>
      </c>
      <c r="G706" s="14">
        <f t="shared" si="64"/>
        <v>66.920922587745792</v>
      </c>
    </row>
    <row r="707" spans="2:7" x14ac:dyDescent="0.2">
      <c r="B707" s="14">
        <f t="shared" si="61"/>
        <v>10.937074294198226</v>
      </c>
      <c r="C707" s="14">
        <f t="shared" si="60"/>
        <v>4.0629257058017743</v>
      </c>
      <c r="D707" s="8">
        <f t="shared" si="65"/>
        <v>73.800000000000082</v>
      </c>
      <c r="E707" s="14">
        <f t="shared" si="62"/>
        <v>67.060890901532034</v>
      </c>
      <c r="F707" s="14">
        <f t="shared" si="63"/>
        <v>67.060974328387431</v>
      </c>
      <c r="G707" s="14">
        <f t="shared" si="64"/>
        <v>67.06097432838736</v>
      </c>
    </row>
    <row r="708" spans="2:7" x14ac:dyDescent="0.2">
      <c r="B708" s="14">
        <f t="shared" si="61"/>
        <v>10.938563918714451</v>
      </c>
      <c r="C708" s="14">
        <f t="shared" si="60"/>
        <v>4.0614360812855494</v>
      </c>
      <c r="D708" s="8">
        <f t="shared" si="65"/>
        <v>73.900000000000077</v>
      </c>
      <c r="E708" s="14">
        <f t="shared" si="62"/>
        <v>67.201027481068962</v>
      </c>
      <c r="F708" s="14">
        <f t="shared" si="63"/>
        <v>67.201110837263798</v>
      </c>
      <c r="G708" s="14">
        <f t="shared" si="64"/>
        <v>67.201110837263784</v>
      </c>
    </row>
    <row r="709" spans="2:7" x14ac:dyDescent="0.2">
      <c r="B709" s="14">
        <f t="shared" si="61"/>
        <v>10.940050439169466</v>
      </c>
      <c r="C709" s="14">
        <f t="shared" si="60"/>
        <v>4.0599495608305336</v>
      </c>
      <c r="D709" s="8">
        <f t="shared" si="65"/>
        <v>74.000000000000071</v>
      </c>
      <c r="E709" s="14">
        <f t="shared" si="62"/>
        <v>67.341248738326527</v>
      </c>
      <c r="F709" s="14">
        <f t="shared" si="63"/>
        <v>67.341332024099387</v>
      </c>
      <c r="G709" s="14">
        <f t="shared" si="64"/>
        <v>67.341332024099387</v>
      </c>
    </row>
    <row r="710" spans="2:7" x14ac:dyDescent="0.2">
      <c r="B710" s="14">
        <f t="shared" si="61"/>
        <v>10.941533866610385</v>
      </c>
      <c r="C710" s="14">
        <f t="shared" si="60"/>
        <v>4.058466133389615</v>
      </c>
      <c r="D710" s="8">
        <f t="shared" si="65"/>
        <v>74.100000000000065</v>
      </c>
      <c r="E710" s="14">
        <f t="shared" si="62"/>
        <v>67.481554583384565</v>
      </c>
      <c r="F710" s="14">
        <f t="shared" si="63"/>
        <v>67.481637798829667</v>
      </c>
      <c r="G710" s="14">
        <f t="shared" si="64"/>
        <v>67.481637798829652</v>
      </c>
    </row>
    <row r="711" spans="2:7" x14ac:dyDescent="0.2">
      <c r="B711" s="14">
        <f t="shared" si="61"/>
        <v>10.943014212029098</v>
      </c>
      <c r="C711" s="14">
        <f t="shared" si="60"/>
        <v>4.0569857879709019</v>
      </c>
      <c r="D711" s="8">
        <f t="shared" si="65"/>
        <v>74.20000000000006</v>
      </c>
      <c r="E711" s="14">
        <f t="shared" si="62"/>
        <v>67.621944926358367</v>
      </c>
      <c r="F711" s="14">
        <f t="shared" si="63"/>
        <v>67.622028071600212</v>
      </c>
      <c r="G711" s="14">
        <f t="shared" si="64"/>
        <v>67.622028071600226</v>
      </c>
    </row>
    <row r="712" spans="2:7" x14ac:dyDescent="0.2">
      <c r="B712" s="14">
        <f t="shared" si="61"/>
        <v>10.944491486362638</v>
      </c>
      <c r="C712" s="14">
        <f t="shared" si="60"/>
        <v>4.0555085136373616</v>
      </c>
      <c r="D712" s="8">
        <f t="shared" si="65"/>
        <v>74.300000000000054</v>
      </c>
      <c r="E712" s="14">
        <f t="shared" si="62"/>
        <v>67.762419677510863</v>
      </c>
      <c r="F712" s="14">
        <f t="shared" si="63"/>
        <v>67.762502752766196</v>
      </c>
      <c r="G712" s="14">
        <f t="shared" si="64"/>
        <v>67.762502752766224</v>
      </c>
    </row>
    <row r="713" spans="2:7" x14ac:dyDescent="0.2">
      <c r="B713" s="14">
        <f t="shared" si="61"/>
        <v>10.945965700493527</v>
      </c>
      <c r="C713" s="14">
        <f t="shared" si="60"/>
        <v>4.0540342995064726</v>
      </c>
      <c r="D713" s="8">
        <f t="shared" si="65"/>
        <v>74.400000000000048</v>
      </c>
      <c r="E713" s="14">
        <f t="shared" si="62"/>
        <v>67.902978747491915</v>
      </c>
      <c r="F713" s="14">
        <f t="shared" si="63"/>
        <v>67.903061752891475</v>
      </c>
      <c r="G713" s="14">
        <f t="shared" si="64"/>
        <v>67.903061752891503</v>
      </c>
    </row>
    <row r="714" spans="2:7" x14ac:dyDescent="0.2">
      <c r="B714" s="14">
        <f t="shared" si="61"/>
        <v>10.94743686525012</v>
      </c>
      <c r="C714" s="14">
        <f t="shared" si="60"/>
        <v>4.0525631347498798</v>
      </c>
      <c r="D714" s="8">
        <f t="shared" si="65"/>
        <v>74.500000000000043</v>
      </c>
      <c r="E714" s="14">
        <f t="shared" si="62"/>
        <v>68.043622047132317</v>
      </c>
      <c r="F714" s="14">
        <f t="shared" si="63"/>
        <v>68.043704982747812</v>
      </c>
      <c r="G714" s="14">
        <f t="shared" si="64"/>
        <v>68.043704982747826</v>
      </c>
    </row>
    <row r="715" spans="2:7" x14ac:dyDescent="0.2">
      <c r="B715" s="14">
        <f t="shared" si="61"/>
        <v>10.948904991406957</v>
      </c>
      <c r="C715" s="14">
        <f t="shared" si="60"/>
        <v>4.0510950085930428</v>
      </c>
      <c r="D715" s="8">
        <f t="shared" si="65"/>
        <v>74.600000000000037</v>
      </c>
      <c r="E715" s="14">
        <f t="shared" si="62"/>
        <v>68.184349487275185</v>
      </c>
      <c r="F715" s="14">
        <f t="shared" si="63"/>
        <v>68.184432353314151</v>
      </c>
      <c r="G715" s="14">
        <f t="shared" si="64"/>
        <v>68.184432353314193</v>
      </c>
    </row>
    <row r="716" spans="2:7" x14ac:dyDescent="0.2">
      <c r="B716" s="14">
        <f t="shared" si="61"/>
        <v>10.95037008968511</v>
      </c>
      <c r="C716" s="14">
        <f t="shared" si="60"/>
        <v>4.0496299103148896</v>
      </c>
      <c r="D716" s="8">
        <f t="shared" si="65"/>
        <v>74.700000000000031</v>
      </c>
      <c r="E716" s="14">
        <f t="shared" si="62"/>
        <v>68.325160979184844</v>
      </c>
      <c r="F716" s="14">
        <f t="shared" si="63"/>
        <v>68.325243775776102</v>
      </c>
      <c r="G716" s="14">
        <f t="shared" si="64"/>
        <v>68.325243775776087</v>
      </c>
    </row>
    <row r="717" spans="2:7" x14ac:dyDescent="0.2">
      <c r="B717" s="14">
        <f t="shared" si="61"/>
        <v>10.951832170752512</v>
      </c>
      <c r="C717" s="14">
        <f t="shared" si="60"/>
        <v>4.0481678292474879</v>
      </c>
      <c r="D717" s="8">
        <f t="shared" si="65"/>
        <v>74.800000000000026</v>
      </c>
      <c r="E717" s="14">
        <f t="shared" si="62"/>
        <v>68.466056434300825</v>
      </c>
      <c r="F717" s="14">
        <f t="shared" si="63"/>
        <v>68.466139161524666</v>
      </c>
      <c r="G717" s="14">
        <f t="shared" si="64"/>
        <v>68.466139161524652</v>
      </c>
    </row>
    <row r="718" spans="2:7" x14ac:dyDescent="0.2">
      <c r="B718" s="14">
        <f t="shared" si="61"/>
        <v>10.953291245224307</v>
      </c>
      <c r="C718" s="14">
        <f t="shared" si="60"/>
        <v>4.0467087547756933</v>
      </c>
      <c r="D718" s="8">
        <f t="shared" si="65"/>
        <v>74.90000000000002</v>
      </c>
      <c r="E718" s="14">
        <f t="shared" si="62"/>
        <v>68.607035764070645</v>
      </c>
      <c r="F718" s="14">
        <f t="shared" si="63"/>
        <v>68.607118422156049</v>
      </c>
      <c r="G718" s="14">
        <f t="shared" si="64"/>
        <v>68.607118422156091</v>
      </c>
    </row>
    <row r="719" spans="2:7" x14ac:dyDescent="0.2">
      <c r="B719" s="14">
        <f t="shared" si="61"/>
        <v>10.954747323663181</v>
      </c>
      <c r="C719" s="14">
        <f t="shared" si="60"/>
        <v>4.0452526763368191</v>
      </c>
      <c r="D719" s="8">
        <f t="shared" si="65"/>
        <v>75.000000000000014</v>
      </c>
      <c r="E719" s="14">
        <f t="shared" si="62"/>
        <v>68.748098880451167</v>
      </c>
      <c r="F719" s="14">
        <f t="shared" si="63"/>
        <v>68.748181469470765</v>
      </c>
      <c r="G719" s="14">
        <f t="shared" si="64"/>
        <v>68.748181469470737</v>
      </c>
    </row>
    <row r="720" spans="2:7" x14ac:dyDescent="0.2">
      <c r="B720" s="14">
        <f t="shared" si="61"/>
        <v>10.956200416579689</v>
      </c>
      <c r="C720" s="14">
        <f t="shared" si="60"/>
        <v>4.0437995834203111</v>
      </c>
      <c r="D720" s="8">
        <f t="shared" si="65"/>
        <v>75.100000000000009</v>
      </c>
      <c r="E720" s="14">
        <f t="shared" si="62"/>
        <v>68.889245695369823</v>
      </c>
      <c r="F720" s="14">
        <f t="shared" si="63"/>
        <v>68.889328215472489</v>
      </c>
      <c r="G720" s="14">
        <f t="shared" si="64"/>
        <v>68.889328215472517</v>
      </c>
    </row>
    <row r="721" spans="2:7" x14ac:dyDescent="0.2">
      <c r="B721" s="14">
        <f t="shared" si="61"/>
        <v>10.957650534432601</v>
      </c>
      <c r="C721" s="14">
        <f t="shared" si="60"/>
        <v>4.0423494655673995</v>
      </c>
      <c r="D721" s="8">
        <f t="shared" si="65"/>
        <v>75.2</v>
      </c>
      <c r="E721" s="14">
        <f t="shared" si="62"/>
        <v>69.030476121020072</v>
      </c>
      <c r="F721" s="14">
        <f t="shared" si="63"/>
        <v>69.030558572368136</v>
      </c>
      <c r="G721" s="14">
        <f t="shared" si="64"/>
        <v>69.030558572368136</v>
      </c>
    </row>
    <row r="722" spans="2:7" x14ac:dyDescent="0.2">
      <c r="B722" s="14">
        <f t="shared" si="61"/>
        <v>10.959097687629209</v>
      </c>
      <c r="C722" s="14">
        <f t="shared" si="60"/>
        <v>4.0409023123707914</v>
      </c>
      <c r="D722" s="8">
        <f t="shared" si="65"/>
        <v>75.3</v>
      </c>
      <c r="E722" s="14">
        <f t="shared" si="62"/>
        <v>69.171790069825391</v>
      </c>
      <c r="F722" s="14">
        <f t="shared" si="63"/>
        <v>69.171872452566262</v>
      </c>
      <c r="G722" s="14">
        <f t="shared" si="64"/>
        <v>69.171872452566319</v>
      </c>
    </row>
    <row r="723" spans="2:7" x14ac:dyDescent="0.2">
      <c r="B723" s="14">
        <f t="shared" si="61"/>
        <v>10.960541886525673</v>
      </c>
      <c r="C723" s="14">
        <f t="shared" ref="C723:C786" si="66">$C$14-B723</f>
        <v>4.0394581134743266</v>
      </c>
      <c r="D723" s="8">
        <f t="shared" si="65"/>
        <v>75.399999999999991</v>
      </c>
      <c r="E723" s="14">
        <f t="shared" si="62"/>
        <v>69.313187454360786</v>
      </c>
      <c r="F723" s="14">
        <f t="shared" si="63"/>
        <v>69.313269768677131</v>
      </c>
      <c r="G723" s="14">
        <f t="shared" si="64"/>
        <v>69.313269768677145</v>
      </c>
    </row>
    <row r="724" spans="2:7" x14ac:dyDescent="0.2">
      <c r="B724" s="14">
        <f t="shared" ref="B724:B787" si="67">$C$14*(LN(D724)-LN($F$14))/(1+LN(D724)-LN($F$14))</f>
        <v>10.961983141427329</v>
      </c>
      <c r="C724" s="14">
        <f t="shared" si="66"/>
        <v>4.0380168585726715</v>
      </c>
      <c r="D724" s="8">
        <f t="shared" si="65"/>
        <v>75.499999999999986</v>
      </c>
      <c r="E724" s="14">
        <f t="shared" ref="E724:E787" si="68">(D725-D723)/(B725-B723)</f>
        <v>69.454668187573432</v>
      </c>
      <c r="F724" s="14">
        <f t="shared" ref="F724:F787" si="69">D724*$C$14/(C724*C724)</f>
        <v>69.454750433511336</v>
      </c>
      <c r="G724" s="14">
        <f t="shared" ref="G724:G787" si="70">D724*(1+LN(D724/$F$14))*(1+LN(D724/$F$14))/$C$14</f>
        <v>69.454750433511308</v>
      </c>
    </row>
    <row r="725" spans="2:7" x14ac:dyDescent="0.2">
      <c r="B725" s="14">
        <f t="shared" si="67"/>
        <v>10.963421462589011</v>
      </c>
      <c r="C725" s="14">
        <f t="shared" si="66"/>
        <v>4.036578537410989</v>
      </c>
      <c r="D725" s="8">
        <f t="shared" ref="D725:D788" si="71">D724+0.1</f>
        <v>75.59999999999998</v>
      </c>
      <c r="E725" s="14">
        <f t="shared" si="68"/>
        <v>69.596232182364574</v>
      </c>
      <c r="F725" s="14">
        <f t="shared" si="69"/>
        <v>69.596314360079433</v>
      </c>
      <c r="G725" s="14">
        <f t="shared" si="70"/>
        <v>69.59631436007939</v>
      </c>
    </row>
    <row r="726" spans="2:7" x14ac:dyDescent="0.2">
      <c r="B726" s="14">
        <f t="shared" si="67"/>
        <v>10.964856860215379</v>
      </c>
      <c r="C726" s="14">
        <f t="shared" si="66"/>
        <v>4.0351431397846209</v>
      </c>
      <c r="D726" s="8">
        <f t="shared" si="71"/>
        <v>75.699999999999974</v>
      </c>
      <c r="E726" s="14">
        <f t="shared" si="68"/>
        <v>69.737879351939711</v>
      </c>
      <c r="F726" s="14">
        <f t="shared" si="69"/>
        <v>69.737961461591226</v>
      </c>
      <c r="G726" s="14">
        <f t="shared" si="70"/>
        <v>69.737961461591212</v>
      </c>
    </row>
    <row r="727" spans="2:7" x14ac:dyDescent="0.2">
      <c r="B727" s="14">
        <f t="shared" si="67"/>
        <v>10.966289344461224</v>
      </c>
      <c r="C727" s="14">
        <f t="shared" si="66"/>
        <v>4.0337106555387763</v>
      </c>
      <c r="D727" s="8">
        <f t="shared" si="71"/>
        <v>75.799999999999969</v>
      </c>
      <c r="E727" s="14">
        <f t="shared" si="68"/>
        <v>69.879609609778214</v>
      </c>
      <c r="F727" s="14">
        <f t="shared" si="69"/>
        <v>69.879691651455019</v>
      </c>
      <c r="G727" s="14">
        <f t="shared" si="70"/>
        <v>69.879691651455005</v>
      </c>
    </row>
    <row r="728" spans="2:7" x14ac:dyDescent="0.2">
      <c r="B728" s="14">
        <f t="shared" si="67"/>
        <v>10.967718925431782</v>
      </c>
      <c r="C728" s="14">
        <f t="shared" si="66"/>
        <v>4.0322810745682176</v>
      </c>
      <c r="D728" s="8">
        <f t="shared" si="71"/>
        <v>75.899999999999963</v>
      </c>
      <c r="E728" s="14">
        <f t="shared" si="68"/>
        <v>70.021422869385589</v>
      </c>
      <c r="F728" s="14">
        <f t="shared" si="69"/>
        <v>70.021504843276787</v>
      </c>
      <c r="G728" s="14">
        <f t="shared" si="70"/>
        <v>70.021504843276816</v>
      </c>
    </row>
    <row r="729" spans="2:7" x14ac:dyDescent="0.2">
      <c r="B729" s="14">
        <f t="shared" si="67"/>
        <v>10.969145613183056</v>
      </c>
      <c r="C729" s="14">
        <f t="shared" si="66"/>
        <v>4.0308543868169444</v>
      </c>
      <c r="D729" s="8">
        <f t="shared" si="71"/>
        <v>75.999999999999957</v>
      </c>
      <c r="E729" s="14">
        <f t="shared" si="68"/>
        <v>70.163319044609025</v>
      </c>
      <c r="F729" s="14">
        <f t="shared" si="69"/>
        <v>70.163400950859781</v>
      </c>
      <c r="G729" s="14">
        <f t="shared" si="70"/>
        <v>70.163400950859796</v>
      </c>
    </row>
    <row r="730" spans="2:7" x14ac:dyDescent="0.2">
      <c r="B730" s="14">
        <f t="shared" si="67"/>
        <v>10.970569417722103</v>
      </c>
      <c r="C730" s="14">
        <f t="shared" si="66"/>
        <v>4.0294305822778966</v>
      </c>
      <c r="D730" s="8">
        <f t="shared" si="71"/>
        <v>76.099999999999952</v>
      </c>
      <c r="E730" s="14">
        <f t="shared" si="68"/>
        <v>70.305298049479049</v>
      </c>
      <c r="F730" s="14">
        <f t="shared" si="69"/>
        <v>70.30537988820339</v>
      </c>
      <c r="G730" s="14">
        <f t="shared" si="70"/>
        <v>70.305379888203404</v>
      </c>
    </row>
    <row r="731" spans="2:7" x14ac:dyDescent="0.2">
      <c r="B731" s="14">
        <f t="shared" si="67"/>
        <v>10.971990349007363</v>
      </c>
      <c r="C731" s="14">
        <f t="shared" si="66"/>
        <v>4.0280096509926366</v>
      </c>
      <c r="D731" s="8">
        <f t="shared" si="71"/>
        <v>76.199999999999946</v>
      </c>
      <c r="E731" s="14">
        <f t="shared" si="68"/>
        <v>70.447359798180401</v>
      </c>
      <c r="F731" s="14">
        <f t="shared" si="69"/>
        <v>70.447441569502885</v>
      </c>
      <c r="G731" s="14">
        <f t="shared" si="70"/>
        <v>70.447441569502885</v>
      </c>
    </row>
    <row r="732" spans="2:7" x14ac:dyDescent="0.2">
      <c r="B732" s="14">
        <f t="shared" si="67"/>
        <v>10.973408416948944</v>
      </c>
      <c r="C732" s="14">
        <f t="shared" si="66"/>
        <v>4.0265915830510561</v>
      </c>
      <c r="D732" s="8">
        <f t="shared" si="71"/>
        <v>76.29999999999994</v>
      </c>
      <c r="E732" s="14">
        <f t="shared" si="68"/>
        <v>70.589504205111936</v>
      </c>
      <c r="F732" s="14">
        <f t="shared" si="69"/>
        <v>70.589585909148369</v>
      </c>
      <c r="G732" s="14">
        <f t="shared" si="70"/>
        <v>70.589585909148369</v>
      </c>
    </row>
    <row r="733" spans="2:7" x14ac:dyDescent="0.2">
      <c r="B733" s="14">
        <f t="shared" si="67"/>
        <v>10.974823631408935</v>
      </c>
      <c r="C733" s="14">
        <f t="shared" si="66"/>
        <v>4.0251763685910653</v>
      </c>
      <c r="D733" s="8">
        <f t="shared" si="71"/>
        <v>76.399999999999935</v>
      </c>
      <c r="E733" s="14">
        <f t="shared" si="68"/>
        <v>70.731731184771249</v>
      </c>
      <c r="F733" s="14">
        <f t="shared" si="69"/>
        <v>70.731812821724375</v>
      </c>
      <c r="G733" s="14">
        <f t="shared" si="70"/>
        <v>70.73181282172439</v>
      </c>
    </row>
    <row r="734" spans="2:7" x14ac:dyDescent="0.2">
      <c r="B734" s="14">
        <f t="shared" si="67"/>
        <v>10.9762360022017</v>
      </c>
      <c r="C734" s="14">
        <f t="shared" si="66"/>
        <v>4.0237639977982997</v>
      </c>
      <c r="D734" s="8">
        <f t="shared" si="71"/>
        <v>76.499999999999929</v>
      </c>
      <c r="E734" s="14">
        <f t="shared" si="68"/>
        <v>70.874040652039085</v>
      </c>
      <c r="F734" s="14">
        <f t="shared" si="69"/>
        <v>70.874122222009063</v>
      </c>
      <c r="G734" s="14">
        <f t="shared" si="70"/>
        <v>70.874122222009049</v>
      </c>
    </row>
    <row r="735" spans="2:7" x14ac:dyDescent="0.2">
      <c r="B735" s="14">
        <f t="shared" si="67"/>
        <v>10.977645539094175</v>
      </c>
      <c r="C735" s="14">
        <f t="shared" si="66"/>
        <v>4.0223544609058255</v>
      </c>
      <c r="D735" s="8">
        <f t="shared" si="71"/>
        <v>76.599999999999923</v>
      </c>
      <c r="E735" s="14">
        <f t="shared" si="68"/>
        <v>71.016432521889385</v>
      </c>
      <c r="F735" s="14">
        <f t="shared" si="69"/>
        <v>71.016514024973404</v>
      </c>
      <c r="G735" s="14">
        <f t="shared" si="70"/>
        <v>71.016514024973418</v>
      </c>
    </row>
    <row r="736" spans="2:7" x14ac:dyDescent="0.2">
      <c r="B736" s="14">
        <f t="shared" si="67"/>
        <v>10.979052251806161</v>
      </c>
      <c r="C736" s="14">
        <f t="shared" si="66"/>
        <v>4.0209477481938389</v>
      </c>
      <c r="D736" s="8">
        <f t="shared" si="71"/>
        <v>76.699999999999918</v>
      </c>
      <c r="E736" s="14">
        <f t="shared" si="68"/>
        <v>71.158906709408186</v>
      </c>
      <c r="F736" s="14">
        <f t="shared" si="69"/>
        <v>71.158988145780796</v>
      </c>
      <c r="G736" s="14">
        <f t="shared" si="70"/>
        <v>71.158988145780796</v>
      </c>
    </row>
    <row r="737" spans="2:7" x14ac:dyDescent="0.2">
      <c r="B737" s="14">
        <f t="shared" si="67"/>
        <v>10.980456150010623</v>
      </c>
      <c r="C737" s="14">
        <f t="shared" si="66"/>
        <v>4.0195438499893772</v>
      </c>
      <c r="D737" s="8">
        <f t="shared" si="71"/>
        <v>76.799999999999912</v>
      </c>
      <c r="E737" s="14">
        <f t="shared" si="68"/>
        <v>71.301463130039693</v>
      </c>
      <c r="F737" s="14">
        <f t="shared" si="69"/>
        <v>71.301544499786118</v>
      </c>
      <c r="G737" s="14">
        <f t="shared" si="70"/>
        <v>71.301544499786118</v>
      </c>
    </row>
    <row r="738" spans="2:7" x14ac:dyDescent="0.2">
      <c r="B738" s="14">
        <f t="shared" si="67"/>
        <v>10.981857243333968</v>
      </c>
      <c r="C738" s="14">
        <f t="shared" si="66"/>
        <v>4.0181427566660322</v>
      </c>
      <c r="D738" s="8">
        <f t="shared" si="71"/>
        <v>76.899999999999906</v>
      </c>
      <c r="E738" s="14">
        <f t="shared" si="68"/>
        <v>71.444101699250112</v>
      </c>
      <c r="F738" s="14">
        <f t="shared" si="69"/>
        <v>71.444183002535141</v>
      </c>
      <c r="G738" s="14">
        <f t="shared" si="70"/>
        <v>71.444183002535198</v>
      </c>
    </row>
    <row r="739" spans="2:7" x14ac:dyDescent="0.2">
      <c r="B739" s="14">
        <f t="shared" si="67"/>
        <v>10.983255541356348</v>
      </c>
      <c r="C739" s="14">
        <f t="shared" si="66"/>
        <v>4.016744458643652</v>
      </c>
      <c r="D739" s="8">
        <f t="shared" si="71"/>
        <v>76.999999999999901</v>
      </c>
      <c r="E739" s="14">
        <f t="shared" si="68"/>
        <v>71.586822332730506</v>
      </c>
      <c r="F739" s="14">
        <f t="shared" si="69"/>
        <v>71.58690356976409</v>
      </c>
      <c r="G739" s="14">
        <f t="shared" si="70"/>
        <v>71.586903569764132</v>
      </c>
    </row>
    <row r="740" spans="2:7" x14ac:dyDescent="0.2">
      <c r="B740" s="14">
        <f t="shared" si="67"/>
        <v>10.984651053611932</v>
      </c>
      <c r="C740" s="14">
        <f t="shared" si="66"/>
        <v>4.0153489463880678</v>
      </c>
      <c r="D740" s="8">
        <f t="shared" si="71"/>
        <v>77.099999999999895</v>
      </c>
      <c r="E740" s="14">
        <f t="shared" si="68"/>
        <v>71.72962494660554</v>
      </c>
      <c r="F740" s="14">
        <f t="shared" si="69"/>
        <v>71.729706117398592</v>
      </c>
      <c r="G740" s="14">
        <f t="shared" si="70"/>
        <v>71.72970611739855</v>
      </c>
    </row>
    <row r="741" spans="2:7" x14ac:dyDescent="0.2">
      <c r="B741" s="14">
        <f t="shared" si="67"/>
        <v>10.986043789589193</v>
      </c>
      <c r="C741" s="14">
        <f t="shared" si="66"/>
        <v>4.0139562104108073</v>
      </c>
      <c r="D741" s="8">
        <f t="shared" si="71"/>
        <v>77.199999999999889</v>
      </c>
      <c r="E741" s="14">
        <f t="shared" si="68"/>
        <v>71.872509456868357</v>
      </c>
      <c r="F741" s="14">
        <f t="shared" si="69"/>
        <v>71.87259056155311</v>
      </c>
      <c r="G741" s="14">
        <f t="shared" si="70"/>
        <v>71.872590561553125</v>
      </c>
    </row>
    <row r="742" spans="2:7" x14ac:dyDescent="0.2">
      <c r="B742" s="14">
        <f t="shared" si="67"/>
        <v>10.987433758731196</v>
      </c>
      <c r="C742" s="14">
        <f t="shared" si="66"/>
        <v>4.0125662412688037</v>
      </c>
      <c r="D742" s="8">
        <f t="shared" si="71"/>
        <v>77.299999999999883</v>
      </c>
      <c r="E742" s="14">
        <f t="shared" si="68"/>
        <v>72.0154757797701</v>
      </c>
      <c r="F742" s="14">
        <f t="shared" si="69"/>
        <v>72.015556818530627</v>
      </c>
      <c r="G742" s="14">
        <f t="shared" si="70"/>
        <v>72.015556818530641</v>
      </c>
    </row>
    <row r="743" spans="2:7" x14ac:dyDescent="0.2">
      <c r="B743" s="14">
        <f t="shared" si="67"/>
        <v>10.988820970435871</v>
      </c>
      <c r="C743" s="14">
        <f t="shared" si="66"/>
        <v>4.0111790295641292</v>
      </c>
      <c r="D743" s="8">
        <f t="shared" si="71"/>
        <v>77.399999999999878</v>
      </c>
      <c r="E743" s="14">
        <f t="shared" si="68"/>
        <v>72.158523831896233</v>
      </c>
      <c r="F743" s="14">
        <f t="shared" si="69"/>
        <v>72.158604804821579</v>
      </c>
      <c r="G743" s="14">
        <f t="shared" si="70"/>
        <v>72.158604804821607</v>
      </c>
    </row>
    <row r="744" spans="2:7" x14ac:dyDescent="0.2">
      <c r="B744" s="14">
        <f t="shared" si="67"/>
        <v>10.990205434056289</v>
      </c>
      <c r="C744" s="14">
        <f t="shared" si="66"/>
        <v>4.0097945659437109</v>
      </c>
      <c r="D744" s="8">
        <f t="shared" si="71"/>
        <v>77.499999999999872</v>
      </c>
      <c r="E744" s="14">
        <f t="shared" si="68"/>
        <v>72.301653529827576</v>
      </c>
      <c r="F744" s="14">
        <f t="shared" si="69"/>
        <v>72.301734437103377</v>
      </c>
      <c r="G744" s="14">
        <f t="shared" si="70"/>
        <v>72.301734437103434</v>
      </c>
    </row>
    <row r="745" spans="2:7" x14ac:dyDescent="0.2">
      <c r="B745" s="14">
        <f t="shared" si="67"/>
        <v>10.991587158900945</v>
      </c>
      <c r="C745" s="14">
        <f t="shared" si="66"/>
        <v>4.0084128410990552</v>
      </c>
      <c r="D745" s="8">
        <f t="shared" si="71"/>
        <v>77.599999999999866</v>
      </c>
      <c r="E745" s="14">
        <f t="shared" si="68"/>
        <v>72.444864790493668</v>
      </c>
      <c r="F745" s="14">
        <f t="shared" si="69"/>
        <v>72.444945632239794</v>
      </c>
      <c r="G745" s="14">
        <f t="shared" si="70"/>
        <v>72.444945632239822</v>
      </c>
    </row>
    <row r="746" spans="2:7" x14ac:dyDescent="0.2">
      <c r="B746" s="14">
        <f t="shared" si="67"/>
        <v>10.992966154234018</v>
      </c>
      <c r="C746" s="14">
        <f t="shared" si="66"/>
        <v>4.0070338457659815</v>
      </c>
      <c r="D746" s="8">
        <f t="shared" si="71"/>
        <v>77.699999999999861</v>
      </c>
      <c r="E746" s="14">
        <f t="shared" si="68"/>
        <v>72.588157530926949</v>
      </c>
      <c r="F746" s="14">
        <f t="shared" si="69"/>
        <v>72.588238307280207</v>
      </c>
      <c r="G746" s="14">
        <f t="shared" si="70"/>
        <v>72.588238307280236</v>
      </c>
    </row>
    <row r="747" spans="2:7" x14ac:dyDescent="0.2">
      <c r="B747" s="14">
        <f t="shared" si="67"/>
        <v>10.994342429275658</v>
      </c>
      <c r="C747" s="14">
        <f t="shared" si="66"/>
        <v>4.0056575707243418</v>
      </c>
      <c r="D747" s="8">
        <f t="shared" si="71"/>
        <v>77.799999999999855</v>
      </c>
      <c r="E747" s="14">
        <f t="shared" si="68"/>
        <v>72.73153166843511</v>
      </c>
      <c r="F747" s="14">
        <f t="shared" si="69"/>
        <v>72.731612379459065</v>
      </c>
      <c r="G747" s="14">
        <f t="shared" si="70"/>
        <v>72.731612379459023</v>
      </c>
    </row>
    <row r="748" spans="2:7" x14ac:dyDescent="0.2">
      <c r="B748" s="14">
        <f t="shared" si="67"/>
        <v>10.995715993202236</v>
      </c>
      <c r="C748" s="14">
        <f t="shared" si="66"/>
        <v>4.0042840067977643</v>
      </c>
      <c r="D748" s="8">
        <f t="shared" si="71"/>
        <v>77.899999999999849</v>
      </c>
      <c r="E748" s="14">
        <f t="shared" si="68"/>
        <v>72.874987120353794</v>
      </c>
      <c r="F748" s="14">
        <f t="shared" si="69"/>
        <v>72.875067766195016</v>
      </c>
      <c r="G748" s="14">
        <f t="shared" si="70"/>
        <v>72.875067766195045</v>
      </c>
    </row>
    <row r="749" spans="2:7" x14ac:dyDescent="0.2">
      <c r="B749" s="14">
        <f t="shared" si="67"/>
        <v>10.997086855146632</v>
      </c>
      <c r="C749" s="14">
        <f t="shared" si="66"/>
        <v>4.0029131448533679</v>
      </c>
      <c r="D749" s="8">
        <f t="shared" si="71"/>
        <v>77.999999999999844</v>
      </c>
      <c r="E749" s="14">
        <f t="shared" si="68"/>
        <v>73.018523804315407</v>
      </c>
      <c r="F749" s="14">
        <f t="shared" si="69"/>
        <v>73.018604385090782</v>
      </c>
      <c r="G749" s="14">
        <f t="shared" si="70"/>
        <v>73.01860438509074</v>
      </c>
    </row>
    <row r="750" spans="2:7" x14ac:dyDescent="0.2">
      <c r="B750" s="14">
        <f t="shared" si="67"/>
        <v>10.99845502419848</v>
      </c>
      <c r="C750" s="14">
        <f t="shared" si="66"/>
        <v>4.0015449758015205</v>
      </c>
      <c r="D750" s="8">
        <f t="shared" si="71"/>
        <v>78.099999999999838</v>
      </c>
      <c r="E750" s="14">
        <f t="shared" si="68"/>
        <v>73.162141638049832</v>
      </c>
      <c r="F750" s="14">
        <f t="shared" si="69"/>
        <v>73.162222153931765</v>
      </c>
      <c r="G750" s="14">
        <f t="shared" si="70"/>
        <v>73.162222153931836</v>
      </c>
    </row>
    <row r="751" spans="2:7" x14ac:dyDescent="0.2">
      <c r="B751" s="14">
        <f t="shared" si="67"/>
        <v>10.999820509404451</v>
      </c>
      <c r="C751" s="14">
        <f t="shared" si="66"/>
        <v>4.0001794905955492</v>
      </c>
      <c r="D751" s="8">
        <f t="shared" si="71"/>
        <v>78.199999999999832</v>
      </c>
      <c r="E751" s="14">
        <f t="shared" si="68"/>
        <v>73.305840539563192</v>
      </c>
      <c r="F751" s="14">
        <f t="shared" si="69"/>
        <v>73.305920990686417</v>
      </c>
      <c r="G751" s="14">
        <f t="shared" si="70"/>
        <v>73.305920990686403</v>
      </c>
    </row>
    <row r="752" spans="2:7" x14ac:dyDescent="0.2">
      <c r="B752" s="14">
        <f t="shared" si="67"/>
        <v>11.00118331976849</v>
      </c>
      <c r="C752" s="14">
        <f t="shared" si="66"/>
        <v>3.9988166802315099</v>
      </c>
      <c r="D752" s="8">
        <f t="shared" si="71"/>
        <v>78.299999999999827</v>
      </c>
      <c r="E752" s="14">
        <f t="shared" si="68"/>
        <v>73.449620427082223</v>
      </c>
      <c r="F752" s="14">
        <f t="shared" si="69"/>
        <v>73.449700813504379</v>
      </c>
      <c r="G752" s="14">
        <f t="shared" si="70"/>
        <v>73.449700813504393</v>
      </c>
    </row>
    <row r="753" spans="2:7" x14ac:dyDescent="0.2">
      <c r="B753" s="14">
        <f t="shared" si="67"/>
        <v>11.002543464252101</v>
      </c>
      <c r="C753" s="14">
        <f t="shared" si="66"/>
        <v>3.9974565357478991</v>
      </c>
      <c r="D753" s="8">
        <f t="shared" si="71"/>
        <v>78.399999999999821</v>
      </c>
      <c r="E753" s="14">
        <f t="shared" si="68"/>
        <v>73.593481218805749</v>
      </c>
      <c r="F753" s="14">
        <f t="shared" si="69"/>
        <v>73.593561540717019</v>
      </c>
      <c r="G753" s="14">
        <f t="shared" si="70"/>
        <v>73.593561540717019</v>
      </c>
    </row>
    <row r="754" spans="2:7" x14ac:dyDescent="0.2">
      <c r="B754" s="14">
        <f t="shared" si="67"/>
        <v>11.003900951774582</v>
      </c>
      <c r="C754" s="14">
        <f t="shared" si="66"/>
        <v>3.9960990482254175</v>
      </c>
      <c r="D754" s="8">
        <f t="shared" si="71"/>
        <v>78.499999999999815</v>
      </c>
      <c r="E754" s="14">
        <f t="shared" si="68"/>
        <v>73.737422833375788</v>
      </c>
      <c r="F754" s="14">
        <f t="shared" si="69"/>
        <v>73.737503090836043</v>
      </c>
      <c r="G754" s="14">
        <f t="shared" si="70"/>
        <v>73.737503090836057</v>
      </c>
    </row>
    <row r="755" spans="2:7" x14ac:dyDescent="0.2">
      <c r="B755" s="14">
        <f t="shared" si="67"/>
        <v>11.005255791213296</v>
      </c>
      <c r="C755" s="14">
        <f t="shared" si="66"/>
        <v>3.9947442087867042</v>
      </c>
      <c r="D755" s="8">
        <f t="shared" si="71"/>
        <v>78.59999999999981</v>
      </c>
      <c r="E755" s="14">
        <f t="shared" si="68"/>
        <v>73.881445189293899</v>
      </c>
      <c r="F755" s="14">
        <f t="shared" si="69"/>
        <v>73.881525382553207</v>
      </c>
      <c r="G755" s="14">
        <f t="shared" si="70"/>
        <v>73.881525382553249</v>
      </c>
    </row>
    <row r="756" spans="2:7" x14ac:dyDescent="0.2">
      <c r="B756" s="14">
        <f t="shared" si="67"/>
        <v>11.006607991403918</v>
      </c>
      <c r="C756" s="14">
        <f t="shared" si="66"/>
        <v>3.9933920085960821</v>
      </c>
      <c r="D756" s="8">
        <f t="shared" si="71"/>
        <v>78.699999999999804</v>
      </c>
      <c r="E756" s="14">
        <f t="shared" si="68"/>
        <v>74.025548205639041</v>
      </c>
      <c r="F756" s="14">
        <f t="shared" si="69"/>
        <v>74.025628334739821</v>
      </c>
      <c r="G756" s="14">
        <f t="shared" si="70"/>
        <v>74.025628334739764</v>
      </c>
    </row>
    <row r="757" spans="2:7" x14ac:dyDescent="0.2">
      <c r="B757" s="14">
        <f t="shared" si="67"/>
        <v>11.007957561140678</v>
      </c>
      <c r="C757" s="14">
        <f t="shared" si="66"/>
        <v>3.9920424388593219</v>
      </c>
      <c r="D757" s="8">
        <f t="shared" si="71"/>
        <v>78.799999999999798</v>
      </c>
      <c r="E757" s="14">
        <f t="shared" si="68"/>
        <v>74.169731801483763</v>
      </c>
      <c r="F757" s="14">
        <f t="shared" si="69"/>
        <v>74.169811866445471</v>
      </c>
      <c r="G757" s="14">
        <f t="shared" si="70"/>
        <v>74.169811866445443</v>
      </c>
    </row>
    <row r="758" spans="2:7" x14ac:dyDescent="0.2">
      <c r="B758" s="14">
        <f t="shared" si="67"/>
        <v>11.00930450917663</v>
      </c>
      <c r="C758" s="14">
        <f t="shared" si="66"/>
        <v>3.9906954908233701</v>
      </c>
      <c r="D758" s="8">
        <f t="shared" si="71"/>
        <v>78.899999999999793</v>
      </c>
      <c r="E758" s="14">
        <f t="shared" si="68"/>
        <v>74.313995895788281</v>
      </c>
      <c r="F758" s="14">
        <f t="shared" si="69"/>
        <v>74.314075896898302</v>
      </c>
      <c r="G758" s="14">
        <f t="shared" si="70"/>
        <v>74.314075896898331</v>
      </c>
    </row>
    <row r="759" spans="2:7" x14ac:dyDescent="0.2">
      <c r="B759" s="14">
        <f t="shared" si="67"/>
        <v>11.010648844223887</v>
      </c>
      <c r="C759" s="14">
        <f t="shared" si="66"/>
        <v>3.989351155776113</v>
      </c>
      <c r="D759" s="8">
        <f t="shared" si="71"/>
        <v>78.999999999999787</v>
      </c>
      <c r="E759" s="14">
        <f t="shared" si="68"/>
        <v>74.458340408179168</v>
      </c>
      <c r="F759" s="14">
        <f t="shared" si="69"/>
        <v>74.458420345503953</v>
      </c>
      <c r="G759" s="14">
        <f t="shared" si="70"/>
        <v>74.45842034550391</v>
      </c>
    </row>
    <row r="760" spans="2:7" x14ac:dyDescent="0.2">
      <c r="B760" s="14">
        <f t="shared" si="67"/>
        <v>11.011990574953863</v>
      </c>
      <c r="C760" s="14">
        <f t="shared" si="66"/>
        <v>3.9880094250461369</v>
      </c>
      <c r="D760" s="8">
        <f t="shared" si="71"/>
        <v>79.099999999999781</v>
      </c>
      <c r="E760" s="14">
        <f t="shared" si="68"/>
        <v>74.602765258214944</v>
      </c>
      <c r="F760" s="14">
        <f t="shared" si="69"/>
        <v>74.602845131844717</v>
      </c>
      <c r="G760" s="14">
        <f t="shared" si="70"/>
        <v>74.602845131844717</v>
      </c>
    </row>
    <row r="761" spans="2:7" x14ac:dyDescent="0.2">
      <c r="B761" s="14">
        <f t="shared" si="67"/>
        <v>11.013329709997532</v>
      </c>
      <c r="C761" s="14">
        <f t="shared" si="66"/>
        <v>3.9866702900024684</v>
      </c>
      <c r="D761" s="8">
        <f t="shared" si="71"/>
        <v>79.199999999999775</v>
      </c>
      <c r="E761" s="14">
        <f t="shared" si="68"/>
        <v>74.747270365578075</v>
      </c>
      <c r="F761" s="14">
        <f t="shared" si="69"/>
        <v>74.747350175679514</v>
      </c>
      <c r="G761" s="14">
        <f t="shared" si="70"/>
        <v>74.747350175679486</v>
      </c>
    </row>
    <row r="762" spans="2:7" x14ac:dyDescent="0.2">
      <c r="B762" s="14">
        <f t="shared" si="67"/>
        <v>11.014666257945654</v>
      </c>
      <c r="C762" s="14">
        <f t="shared" si="66"/>
        <v>3.9853337420543458</v>
      </c>
      <c r="D762" s="8">
        <f t="shared" si="71"/>
        <v>79.29999999999977</v>
      </c>
      <c r="E762" s="14">
        <f t="shared" si="68"/>
        <v>74.891855650272419</v>
      </c>
      <c r="F762" s="14">
        <f t="shared" si="69"/>
        <v>74.891935396942813</v>
      </c>
      <c r="G762" s="14">
        <f t="shared" si="70"/>
        <v>74.891935396942799</v>
      </c>
    </row>
    <row r="763" spans="2:7" x14ac:dyDescent="0.2">
      <c r="B763" s="14">
        <f t="shared" si="67"/>
        <v>11.01600022734903</v>
      </c>
      <c r="C763" s="14">
        <f t="shared" si="66"/>
        <v>3.9839997726509697</v>
      </c>
      <c r="D763" s="8">
        <f t="shared" si="71"/>
        <v>79.399999999999764</v>
      </c>
      <c r="E763" s="14">
        <f t="shared" si="68"/>
        <v>75.036521032376115</v>
      </c>
      <c r="F763" s="14">
        <f t="shared" si="69"/>
        <v>75.036600715744243</v>
      </c>
      <c r="G763" s="14">
        <f t="shared" si="70"/>
        <v>75.036600715744243</v>
      </c>
    </row>
    <row r="764" spans="2:7" x14ac:dyDescent="0.2">
      <c r="B764" s="14">
        <f t="shared" si="67"/>
        <v>11.017331626718731</v>
      </c>
      <c r="C764" s="14">
        <f t="shared" si="66"/>
        <v>3.9826683732812693</v>
      </c>
      <c r="D764" s="8">
        <f t="shared" si="71"/>
        <v>79.499999999999758</v>
      </c>
      <c r="E764" s="14">
        <f t="shared" si="68"/>
        <v>75.181266432191123</v>
      </c>
      <c r="F764" s="14">
        <f t="shared" si="69"/>
        <v>75.181346052367985</v>
      </c>
      <c r="G764" s="14">
        <f t="shared" si="70"/>
        <v>75.181346052367999</v>
      </c>
    </row>
    <row r="765" spans="2:7" x14ac:dyDescent="0.2">
      <c r="B765" s="14">
        <f t="shared" si="67"/>
        <v>11.018660464526338</v>
      </c>
      <c r="C765" s="14">
        <f t="shared" si="66"/>
        <v>3.981339535473662</v>
      </c>
      <c r="D765" s="8">
        <f t="shared" si="71"/>
        <v>79.599999999999753</v>
      </c>
      <c r="E765" s="14">
        <f t="shared" si="68"/>
        <v>75.326091770145197</v>
      </c>
      <c r="F765" s="14">
        <f t="shared" si="69"/>
        <v>75.326171327272164</v>
      </c>
      <c r="G765" s="14">
        <f t="shared" si="70"/>
        <v>75.326171327272192</v>
      </c>
    </row>
    <row r="766" spans="2:7" x14ac:dyDescent="0.2">
      <c r="B766" s="14">
        <f t="shared" si="67"/>
        <v>11.019986749204181</v>
      </c>
      <c r="C766" s="14">
        <f t="shared" si="66"/>
        <v>3.9800132507958192</v>
      </c>
      <c r="D766" s="8">
        <f t="shared" si="71"/>
        <v>79.699999999999747</v>
      </c>
      <c r="E766" s="14">
        <f t="shared" si="68"/>
        <v>75.470996966844154</v>
      </c>
      <c r="F766" s="14">
        <f t="shared" si="69"/>
        <v>75.471076461088231</v>
      </c>
      <c r="G766" s="14">
        <f t="shared" si="70"/>
        <v>75.471076461088259</v>
      </c>
    </row>
    <row r="767" spans="2:7" x14ac:dyDescent="0.2">
      <c r="B767" s="14">
        <f t="shared" si="67"/>
        <v>11.021310489145568</v>
      </c>
      <c r="C767" s="14">
        <f t="shared" si="66"/>
        <v>3.9786895108544318</v>
      </c>
      <c r="D767" s="8">
        <f t="shared" si="71"/>
        <v>79.799999999999741</v>
      </c>
      <c r="E767" s="14">
        <f t="shared" si="68"/>
        <v>75.615981943227908</v>
      </c>
      <c r="F767" s="14">
        <f t="shared" si="69"/>
        <v>75.6160613746205</v>
      </c>
      <c r="G767" s="14">
        <f t="shared" si="70"/>
        <v>75.616061374620458</v>
      </c>
    </row>
    <row r="768" spans="2:7" x14ac:dyDescent="0.2">
      <c r="B768" s="14">
        <f t="shared" si="67"/>
        <v>11.022631692705016</v>
      </c>
      <c r="C768" s="14">
        <f t="shared" si="66"/>
        <v>3.9773683072949844</v>
      </c>
      <c r="D768" s="8">
        <f t="shared" si="71"/>
        <v>79.899999999999736</v>
      </c>
      <c r="E768" s="14">
        <f t="shared" si="68"/>
        <v>75.761046620119075</v>
      </c>
      <c r="F768" s="14">
        <f t="shared" si="69"/>
        <v>75.76112598884518</v>
      </c>
      <c r="G768" s="14">
        <f t="shared" si="70"/>
        <v>75.76112598884518</v>
      </c>
    </row>
    <row r="769" spans="2:7" x14ac:dyDescent="0.2">
      <c r="B769" s="14">
        <f t="shared" si="67"/>
        <v>11.023950368198491</v>
      </c>
      <c r="C769" s="14">
        <f t="shared" si="66"/>
        <v>3.9760496318015086</v>
      </c>
      <c r="D769" s="8">
        <f t="shared" si="71"/>
        <v>79.99999999999973</v>
      </c>
      <c r="E769" s="14">
        <f t="shared" si="68"/>
        <v>75.906190918785512</v>
      </c>
      <c r="F769" s="14">
        <f t="shared" si="69"/>
        <v>75.906270224910543</v>
      </c>
      <c r="G769" s="14">
        <f t="shared" si="70"/>
        <v>75.906270224910472</v>
      </c>
    </row>
    <row r="770" spans="2:7" x14ac:dyDescent="0.2">
      <c r="B770" s="14">
        <f t="shared" si="67"/>
        <v>11.025266523903619</v>
      </c>
      <c r="C770" s="14">
        <f t="shared" si="66"/>
        <v>3.9747334760963806</v>
      </c>
      <c r="D770" s="8">
        <f t="shared" si="71"/>
        <v>80.099999999999724</v>
      </c>
      <c r="E770" s="14">
        <f t="shared" si="68"/>
        <v>76.051414760540794</v>
      </c>
      <c r="F770" s="14">
        <f t="shared" si="69"/>
        <v>76.051494004135293</v>
      </c>
      <c r="G770" s="14">
        <f t="shared" si="70"/>
        <v>76.051494004135307</v>
      </c>
    </row>
    <row r="771" spans="2:7" x14ac:dyDescent="0.2">
      <c r="B771" s="14">
        <f t="shared" si="67"/>
        <v>11.026580168059937</v>
      </c>
      <c r="C771" s="14">
        <f t="shared" si="66"/>
        <v>3.9734198319400633</v>
      </c>
      <c r="D771" s="8">
        <f t="shared" si="71"/>
        <v>80.199999999999719</v>
      </c>
      <c r="E771" s="14">
        <f t="shared" si="68"/>
        <v>76.196718066697031</v>
      </c>
      <c r="F771" s="14">
        <f t="shared" si="69"/>
        <v>76.19679724800919</v>
      </c>
      <c r="G771" s="14">
        <f t="shared" si="70"/>
        <v>76.196797248009204</v>
      </c>
    </row>
    <row r="772" spans="2:7" x14ac:dyDescent="0.2">
      <c r="B772" s="14">
        <f t="shared" si="67"/>
        <v>11.027891308869094</v>
      </c>
      <c r="C772" s="14">
        <f t="shared" si="66"/>
        <v>3.9721086911309058</v>
      </c>
      <c r="D772" s="8">
        <f t="shared" si="71"/>
        <v>80.299999999999713</v>
      </c>
      <c r="E772" s="14">
        <f t="shared" si="68"/>
        <v>76.342100759087117</v>
      </c>
      <c r="F772" s="14">
        <f t="shared" si="69"/>
        <v>76.342179878191502</v>
      </c>
      <c r="G772" s="14">
        <f t="shared" si="70"/>
        <v>76.34217987819153</v>
      </c>
    </row>
    <row r="773" spans="2:7" x14ac:dyDescent="0.2">
      <c r="B773" s="14">
        <f t="shared" si="67"/>
        <v>11.029199954495093</v>
      </c>
      <c r="C773" s="14">
        <f t="shared" si="66"/>
        <v>3.9708000455049071</v>
      </c>
      <c r="D773" s="8">
        <f t="shared" si="71"/>
        <v>80.399999999999707</v>
      </c>
      <c r="E773" s="14">
        <f t="shared" si="68"/>
        <v>76.487562759508393</v>
      </c>
      <c r="F773" s="14">
        <f t="shared" si="69"/>
        <v>76.487641816510916</v>
      </c>
      <c r="G773" s="14">
        <f t="shared" si="70"/>
        <v>76.487641816510902</v>
      </c>
    </row>
    <row r="774" spans="2:7" x14ac:dyDescent="0.2">
      <c r="B774" s="14">
        <f t="shared" si="67"/>
        <v>11.030506113064501</v>
      </c>
      <c r="C774" s="14">
        <f t="shared" si="66"/>
        <v>3.9694938869354992</v>
      </c>
      <c r="D774" s="8">
        <f t="shared" si="71"/>
        <v>80.499999999999702</v>
      </c>
      <c r="E774" s="14">
        <f t="shared" si="68"/>
        <v>76.633103989989095</v>
      </c>
      <c r="F774" s="14">
        <f t="shared" si="69"/>
        <v>76.633182984964762</v>
      </c>
      <c r="G774" s="14">
        <f t="shared" si="70"/>
        <v>76.633182984964776</v>
      </c>
    </row>
    <row r="775" spans="2:7" x14ac:dyDescent="0.2">
      <c r="B775" s="14">
        <f t="shared" si="67"/>
        <v>11.031809792666676</v>
      </c>
      <c r="C775" s="14">
        <f t="shared" si="66"/>
        <v>3.9681902073333237</v>
      </c>
      <c r="D775" s="8">
        <f t="shared" si="71"/>
        <v>80.599999999999696</v>
      </c>
      <c r="E775" s="14">
        <f t="shared" si="68"/>
        <v>76.778724372590304</v>
      </c>
      <c r="F775" s="14">
        <f t="shared" si="69"/>
        <v>76.77880330571864</v>
      </c>
      <c r="G775" s="14">
        <f t="shared" si="70"/>
        <v>76.778803305718668</v>
      </c>
    </row>
    <row r="776" spans="2:7" x14ac:dyDescent="0.2">
      <c r="B776" s="14">
        <f t="shared" si="67"/>
        <v>11.033111001353989</v>
      </c>
      <c r="C776" s="14">
        <f t="shared" si="66"/>
        <v>3.9668889986460112</v>
      </c>
      <c r="D776" s="8">
        <f t="shared" si="71"/>
        <v>80.69999999999969</v>
      </c>
      <c r="E776" s="14">
        <f t="shared" si="68"/>
        <v>76.92442382972996</v>
      </c>
      <c r="F776" s="14">
        <f t="shared" si="69"/>
        <v>76.924502701105808</v>
      </c>
      <c r="G776" s="14">
        <f t="shared" si="70"/>
        <v>76.924502701105823</v>
      </c>
    </row>
    <row r="777" spans="2:7" x14ac:dyDescent="0.2">
      <c r="B777" s="14">
        <f t="shared" si="67"/>
        <v>11.034409747142028</v>
      </c>
      <c r="C777" s="14">
        <f t="shared" si="66"/>
        <v>3.9655902528579716</v>
      </c>
      <c r="D777" s="8">
        <f t="shared" si="71"/>
        <v>80.799999999999685</v>
      </c>
      <c r="E777" s="14">
        <f t="shared" si="68"/>
        <v>77.070202283881898</v>
      </c>
      <c r="F777" s="14">
        <f t="shared" si="69"/>
        <v>77.070281093626349</v>
      </c>
      <c r="G777" s="14">
        <f t="shared" si="70"/>
        <v>77.070281093626406</v>
      </c>
    </row>
    <row r="778" spans="2:7" x14ac:dyDescent="0.2">
      <c r="B778" s="14">
        <f t="shared" si="67"/>
        <v>11.035706038009833</v>
      </c>
      <c r="C778" s="14">
        <f t="shared" si="66"/>
        <v>3.9642939619901671</v>
      </c>
      <c r="D778" s="8">
        <f t="shared" si="71"/>
        <v>80.899999999999679</v>
      </c>
      <c r="E778" s="14">
        <f t="shared" si="68"/>
        <v>77.216059657639505</v>
      </c>
      <c r="F778" s="14">
        <f t="shared" si="69"/>
        <v>77.216138405947149</v>
      </c>
      <c r="G778" s="14">
        <f t="shared" si="70"/>
        <v>77.216138405947191</v>
      </c>
    </row>
    <row r="779" spans="2:7" x14ac:dyDescent="0.2">
      <c r="B779" s="14">
        <f t="shared" si="67"/>
        <v>11.036999881900092</v>
      </c>
      <c r="C779" s="14">
        <f t="shared" si="66"/>
        <v>3.9630001180999077</v>
      </c>
      <c r="D779" s="8">
        <f t="shared" si="71"/>
        <v>80.999999999999673</v>
      </c>
      <c r="E779" s="14">
        <f t="shared" si="68"/>
        <v>77.361995874047466</v>
      </c>
      <c r="F779" s="14">
        <f t="shared" si="69"/>
        <v>77.362074560900837</v>
      </c>
      <c r="G779" s="14">
        <f t="shared" si="70"/>
        <v>77.362074560900794</v>
      </c>
    </row>
    <row r="780" spans="2:7" x14ac:dyDescent="0.2">
      <c r="B780" s="14">
        <f t="shared" si="67"/>
        <v>11.038291286719362</v>
      </c>
      <c r="C780" s="14">
        <f t="shared" si="66"/>
        <v>3.9617087132806379</v>
      </c>
      <c r="D780" s="8">
        <f t="shared" si="71"/>
        <v>81.099999999999667</v>
      </c>
      <c r="E780" s="14">
        <f t="shared" si="68"/>
        <v>77.508010855981411</v>
      </c>
      <c r="F780" s="14">
        <f t="shared" si="69"/>
        <v>77.508089481485314</v>
      </c>
      <c r="G780" s="14">
        <f t="shared" si="70"/>
        <v>77.508089481485328</v>
      </c>
    </row>
    <row r="781" spans="2:7" x14ac:dyDescent="0.2">
      <c r="B781" s="14">
        <f t="shared" si="67"/>
        <v>11.039580260338285</v>
      </c>
      <c r="C781" s="14">
        <f t="shared" si="66"/>
        <v>3.9604197396617149</v>
      </c>
      <c r="D781" s="8">
        <f t="shared" si="71"/>
        <v>81.199999999999662</v>
      </c>
      <c r="E781" s="14">
        <f t="shared" si="68"/>
        <v>77.654104526478179</v>
      </c>
      <c r="F781" s="14">
        <f t="shared" si="69"/>
        <v>77.654183090863583</v>
      </c>
      <c r="G781" s="14">
        <f t="shared" si="70"/>
        <v>77.654183090863611</v>
      </c>
    </row>
    <row r="782" spans="2:7" x14ac:dyDescent="0.2">
      <c r="B782" s="14">
        <f t="shared" si="67"/>
        <v>11.04086681059179</v>
      </c>
      <c r="C782" s="14">
        <f t="shared" si="66"/>
        <v>3.9591331894082096</v>
      </c>
      <c r="D782" s="8">
        <f t="shared" si="71"/>
        <v>81.299999999999656</v>
      </c>
      <c r="E782" s="14">
        <f t="shared" si="68"/>
        <v>77.800276809020872</v>
      </c>
      <c r="F782" s="14">
        <f t="shared" si="69"/>
        <v>77.800355312362839</v>
      </c>
      <c r="G782" s="14">
        <f t="shared" si="70"/>
        <v>77.800355312362854</v>
      </c>
    </row>
    <row r="783" spans="2:7" x14ac:dyDescent="0.2">
      <c r="B783" s="14">
        <f t="shared" si="67"/>
        <v>11.042150945279303</v>
      </c>
      <c r="C783" s="14">
        <f t="shared" si="66"/>
        <v>3.9578490547206968</v>
      </c>
      <c r="D783" s="8">
        <f t="shared" si="71"/>
        <v>81.39999999999965</v>
      </c>
      <c r="E783" s="14">
        <f t="shared" si="68"/>
        <v>77.94652762707544</v>
      </c>
      <c r="F783" s="14">
        <f t="shared" si="69"/>
        <v>77.946606069473944</v>
      </c>
      <c r="G783" s="14">
        <f t="shared" si="70"/>
        <v>77.946606069473972</v>
      </c>
    </row>
    <row r="784" spans="2:7" x14ac:dyDescent="0.2">
      <c r="B784" s="14">
        <f t="shared" si="67"/>
        <v>11.043432672164956</v>
      </c>
      <c r="C784" s="14">
        <f t="shared" si="66"/>
        <v>3.9565673278350442</v>
      </c>
      <c r="D784" s="8">
        <f t="shared" si="71"/>
        <v>81.499999999999645</v>
      </c>
      <c r="E784" s="14">
        <f t="shared" si="68"/>
        <v>78.09285690426762</v>
      </c>
      <c r="F784" s="14">
        <f t="shared" si="69"/>
        <v>78.092935285851055</v>
      </c>
      <c r="G784" s="14">
        <f t="shared" si="70"/>
        <v>78.092935285851055</v>
      </c>
    </row>
    <row r="785" spans="2:7" x14ac:dyDescent="0.2">
      <c r="B785" s="14">
        <f t="shared" si="67"/>
        <v>11.044711998977789</v>
      </c>
      <c r="C785" s="14">
        <f t="shared" si="66"/>
        <v>3.9552880010222111</v>
      </c>
      <c r="D785" s="8">
        <f t="shared" si="71"/>
        <v>81.599999999999639</v>
      </c>
      <c r="E785" s="14">
        <f t="shared" si="68"/>
        <v>78.239264564455908</v>
      </c>
      <c r="F785" s="14">
        <f t="shared" si="69"/>
        <v>78.239342885310904</v>
      </c>
      <c r="G785" s="14">
        <f t="shared" si="70"/>
        <v>78.23934288531089</v>
      </c>
    </row>
    <row r="786" spans="2:7" x14ac:dyDescent="0.2">
      <c r="B786" s="14">
        <f t="shared" si="67"/>
        <v>11.045988933411957</v>
      </c>
      <c r="C786" s="14">
        <f t="shared" si="66"/>
        <v>3.954011066588043</v>
      </c>
      <c r="D786" s="8">
        <f t="shared" si="71"/>
        <v>81.699999999999633</v>
      </c>
      <c r="E786" s="14">
        <f t="shared" si="68"/>
        <v>78.385750531588641</v>
      </c>
      <c r="F786" s="14">
        <f t="shared" si="69"/>
        <v>78.385828791832409</v>
      </c>
      <c r="G786" s="14">
        <f t="shared" si="70"/>
        <v>78.385828791832395</v>
      </c>
    </row>
    <row r="787" spans="2:7" x14ac:dyDescent="0.2">
      <c r="B787" s="14">
        <f t="shared" si="67"/>
        <v>11.047263483126931</v>
      </c>
      <c r="C787" s="14">
        <f t="shared" ref="C787:C850" si="72">$C$14-B787</f>
        <v>3.9527365168730686</v>
      </c>
      <c r="D787" s="8">
        <f t="shared" si="71"/>
        <v>81.799999999999628</v>
      </c>
      <c r="E787" s="14">
        <f t="shared" si="68"/>
        <v>78.532314729777752</v>
      </c>
      <c r="F787" s="14">
        <f t="shared" si="69"/>
        <v>78.532392929556039</v>
      </c>
      <c r="G787" s="14">
        <f t="shared" si="70"/>
        <v>78.532392929556039</v>
      </c>
    </row>
    <row r="788" spans="2:7" x14ac:dyDescent="0.2">
      <c r="B788" s="14">
        <f t="shared" ref="B788:B851" si="73">$C$14*(LN(D788)-LN($F$14))/(1+LN(D788)-LN($F$14))</f>
        <v>11.048535655747701</v>
      </c>
      <c r="C788" s="14">
        <f t="shared" si="72"/>
        <v>3.9514643442522992</v>
      </c>
      <c r="D788" s="8">
        <f t="shared" si="71"/>
        <v>81.899999999999622</v>
      </c>
      <c r="E788" s="14">
        <f t="shared" ref="E788:E851" si="74">(D789-D787)/(B789-B787)</f>
        <v>78.678957083374925</v>
      </c>
      <c r="F788" s="14">
        <f t="shared" ref="F788:F851" si="75">D788*$C$14/(C788*C788)</f>
        <v>78.679035222783426</v>
      </c>
      <c r="G788" s="14">
        <f t="shared" ref="G788:G851" si="76">D788*(1+LN(D788/$F$14))*(1+LN(D788/$F$14))/$C$14</f>
        <v>78.679035222783398</v>
      </c>
    </row>
    <row r="789" spans="2:7" x14ac:dyDescent="0.2">
      <c r="B789" s="14">
        <f t="shared" si="73"/>
        <v>11.049805458864968</v>
      </c>
      <c r="C789" s="14">
        <f t="shared" si="72"/>
        <v>3.9501945411350317</v>
      </c>
      <c r="D789" s="8">
        <f t="shared" ref="D789:D852" si="77">D788+0.1</f>
        <v>81.999999999999616</v>
      </c>
      <c r="E789" s="14">
        <f t="shared" si="74"/>
        <v>78.825677516884667</v>
      </c>
      <c r="F789" s="14">
        <f t="shared" si="75"/>
        <v>78.82575559597656</v>
      </c>
      <c r="G789" s="14">
        <f t="shared" si="76"/>
        <v>78.825755595976517</v>
      </c>
    </row>
    <row r="790" spans="2:7" x14ac:dyDescent="0.2">
      <c r="B790" s="14">
        <f t="shared" si="73"/>
        <v>11.051072900035352</v>
      </c>
      <c r="C790" s="14">
        <f t="shared" si="72"/>
        <v>3.9489270999646475</v>
      </c>
      <c r="D790" s="8">
        <f t="shared" si="77"/>
        <v>82.099999999999611</v>
      </c>
      <c r="E790" s="14">
        <f t="shared" si="74"/>
        <v>78.972475954820737</v>
      </c>
      <c r="F790" s="14">
        <f t="shared" si="75"/>
        <v>78.972553973757456</v>
      </c>
      <c r="G790" s="14">
        <f t="shared" si="76"/>
        <v>78.972553973757471</v>
      </c>
    </row>
    <row r="791" spans="2:7" x14ac:dyDescent="0.2">
      <c r="B791" s="14">
        <f t="shared" si="73"/>
        <v>11.052337986781586</v>
      </c>
      <c r="C791" s="14">
        <f t="shared" si="72"/>
        <v>3.9476620132184141</v>
      </c>
      <c r="D791" s="8">
        <f t="shared" si="77"/>
        <v>82.199999999999605</v>
      </c>
      <c r="E791" s="14">
        <f t="shared" si="74"/>
        <v>79.119352321949378</v>
      </c>
      <c r="F791" s="14">
        <f t="shared" si="75"/>
        <v>79.119430280907807</v>
      </c>
      <c r="G791" s="14">
        <f t="shared" si="76"/>
        <v>79.119430280907835</v>
      </c>
    </row>
    <row r="792" spans="2:7" x14ac:dyDescent="0.2">
      <c r="B792" s="14">
        <f t="shared" si="73"/>
        <v>11.053600726592705</v>
      </c>
      <c r="C792" s="14">
        <f t="shared" si="72"/>
        <v>3.9463992734072946</v>
      </c>
      <c r="D792" s="8">
        <f t="shared" si="77"/>
        <v>82.299999999999599</v>
      </c>
      <c r="E792" s="14">
        <f t="shared" si="74"/>
        <v>79.266306543315466</v>
      </c>
      <c r="F792" s="14">
        <f t="shared" si="75"/>
        <v>79.266384442368036</v>
      </c>
      <c r="G792" s="14">
        <f t="shared" si="76"/>
        <v>79.266384442368036</v>
      </c>
    </row>
    <row r="793" spans="2:7" x14ac:dyDescent="0.2">
      <c r="B793" s="14">
        <f t="shared" si="73"/>
        <v>11.054861126924248</v>
      </c>
      <c r="C793" s="14">
        <f t="shared" si="72"/>
        <v>3.9451388730757522</v>
      </c>
      <c r="D793" s="8">
        <f t="shared" si="77"/>
        <v>82.399999999999594</v>
      </c>
      <c r="E793" s="14">
        <f t="shared" si="74"/>
        <v>79.413338544045885</v>
      </c>
      <c r="F793" s="14">
        <f t="shared" si="75"/>
        <v>79.413416383237049</v>
      </c>
      <c r="G793" s="14">
        <f t="shared" si="76"/>
        <v>79.413416383237035</v>
      </c>
    </row>
    <row r="794" spans="2:7" x14ac:dyDescent="0.2">
      <c r="B794" s="14">
        <f t="shared" si="73"/>
        <v>11.056119195198443</v>
      </c>
      <c r="C794" s="14">
        <f t="shared" si="72"/>
        <v>3.943880804801557</v>
      </c>
      <c r="D794" s="8">
        <f t="shared" si="77"/>
        <v>82.499999999999588</v>
      </c>
      <c r="E794" s="14">
        <f t="shared" si="74"/>
        <v>79.560448249317986</v>
      </c>
      <c r="F794" s="14">
        <f t="shared" si="75"/>
        <v>79.560526028771648</v>
      </c>
      <c r="G794" s="14">
        <f t="shared" si="76"/>
        <v>79.560526028771648</v>
      </c>
    </row>
    <row r="795" spans="2:7" x14ac:dyDescent="0.2">
      <c r="B795" s="14">
        <f t="shared" si="73"/>
        <v>11.057374938804408</v>
      </c>
      <c r="C795" s="14">
        <f t="shared" si="72"/>
        <v>3.9426250611955922</v>
      </c>
      <c r="D795" s="8">
        <f t="shared" si="77"/>
        <v>82.599999999999582</v>
      </c>
      <c r="E795" s="14">
        <f t="shared" si="74"/>
        <v>79.707635584440879</v>
      </c>
      <c r="F795" s="14">
        <f t="shared" si="75"/>
        <v>79.707713304386061</v>
      </c>
      <c r="G795" s="14">
        <f t="shared" si="76"/>
        <v>79.707713304386104</v>
      </c>
    </row>
    <row r="796" spans="2:7" x14ac:dyDescent="0.2">
      <c r="B796" s="14">
        <f t="shared" si="73"/>
        <v>11.058628365098334</v>
      </c>
      <c r="C796" s="14">
        <f t="shared" si="72"/>
        <v>3.9413716349016656</v>
      </c>
      <c r="D796" s="8">
        <f t="shared" si="77"/>
        <v>82.699999999999577</v>
      </c>
      <c r="E796" s="14">
        <f t="shared" si="74"/>
        <v>79.854900475222436</v>
      </c>
      <c r="F796" s="14">
        <f t="shared" si="75"/>
        <v>79.854978135651521</v>
      </c>
      <c r="G796" s="14">
        <f t="shared" si="76"/>
        <v>79.854978135651493</v>
      </c>
    </row>
    <row r="797" spans="2:7" x14ac:dyDescent="0.2">
      <c r="B797" s="14">
        <f t="shared" si="73"/>
        <v>11.059879481403669</v>
      </c>
      <c r="C797" s="14">
        <f t="shared" si="72"/>
        <v>3.9401205185963306</v>
      </c>
      <c r="D797" s="8">
        <f t="shared" si="77"/>
        <v>82.799999999999571</v>
      </c>
      <c r="E797" s="14">
        <f t="shared" si="74"/>
        <v>80.002242847265151</v>
      </c>
      <c r="F797" s="14">
        <f t="shared" si="75"/>
        <v>80.002320448295251</v>
      </c>
      <c r="G797" s="14">
        <f t="shared" si="76"/>
        <v>80.002320448295265</v>
      </c>
    </row>
    <row r="798" spans="2:7" x14ac:dyDescent="0.2">
      <c r="B798" s="14">
        <f t="shared" si="73"/>
        <v>11.061128295011322</v>
      </c>
      <c r="C798" s="14">
        <f t="shared" si="72"/>
        <v>3.9388717049886779</v>
      </c>
      <c r="D798" s="8">
        <f t="shared" si="77"/>
        <v>82.899999999999565</v>
      </c>
      <c r="E798" s="14">
        <f t="shared" si="74"/>
        <v>80.149662626388121</v>
      </c>
      <c r="F798" s="14">
        <f t="shared" si="75"/>
        <v>80.149740168200779</v>
      </c>
      <c r="G798" s="14">
        <f t="shared" si="76"/>
        <v>80.149740168200793</v>
      </c>
    </row>
    <row r="799" spans="2:7" x14ac:dyDescent="0.2">
      <c r="B799" s="14">
        <f t="shared" si="73"/>
        <v>11.062374813179828</v>
      </c>
      <c r="C799" s="14">
        <f t="shared" si="72"/>
        <v>3.9376251868201724</v>
      </c>
      <c r="D799" s="8">
        <f t="shared" si="77"/>
        <v>82.999999999999559</v>
      </c>
      <c r="E799" s="14">
        <f t="shared" si="74"/>
        <v>80.297159738772805</v>
      </c>
      <c r="F799" s="14">
        <f t="shared" si="75"/>
        <v>80.297237221406675</v>
      </c>
      <c r="G799" s="14">
        <f t="shared" si="76"/>
        <v>80.297237221406689</v>
      </c>
    </row>
    <row r="800" spans="2:7" x14ac:dyDescent="0.2">
      <c r="B800" s="14">
        <f t="shared" si="73"/>
        <v>11.063619043135548</v>
      </c>
      <c r="C800" s="14">
        <f t="shared" si="72"/>
        <v>3.9363809568644523</v>
      </c>
      <c r="D800" s="8">
        <f t="shared" si="77"/>
        <v>83.099999999999554</v>
      </c>
      <c r="E800" s="14">
        <f t="shared" si="74"/>
        <v>80.444734110537979</v>
      </c>
      <c r="F800" s="14">
        <f t="shared" si="75"/>
        <v>80.444811534106506</v>
      </c>
      <c r="G800" s="14">
        <f t="shared" si="76"/>
        <v>80.444811534106506</v>
      </c>
    </row>
    <row r="801" spans="2:7" x14ac:dyDescent="0.2">
      <c r="B801" s="14">
        <f t="shared" si="73"/>
        <v>11.064860992072845</v>
      </c>
      <c r="C801" s="14">
        <f t="shared" si="72"/>
        <v>3.9351390079271553</v>
      </c>
      <c r="D801" s="8">
        <f t="shared" si="77"/>
        <v>83.199999999999548</v>
      </c>
      <c r="E801" s="14">
        <f t="shared" si="74"/>
        <v>80.592385667940491</v>
      </c>
      <c r="F801" s="14">
        <f t="shared" si="75"/>
        <v>80.592463032648041</v>
      </c>
      <c r="G801" s="14">
        <f t="shared" si="76"/>
        <v>80.592463032648084</v>
      </c>
    </row>
    <row r="802" spans="2:7" x14ac:dyDescent="0.2">
      <c r="B802" s="14">
        <f t="shared" si="73"/>
        <v>11.066100667154274</v>
      </c>
      <c r="C802" s="14">
        <f t="shared" si="72"/>
        <v>3.9338993328457263</v>
      </c>
      <c r="D802" s="8">
        <f t="shared" si="77"/>
        <v>83.299999999999542</v>
      </c>
      <c r="E802" s="14">
        <f t="shared" si="74"/>
        <v>80.740114337696994</v>
      </c>
      <c r="F802" s="14">
        <f t="shared" si="75"/>
        <v>80.740191643533194</v>
      </c>
      <c r="G802" s="14">
        <f t="shared" si="76"/>
        <v>80.740191643533123</v>
      </c>
    </row>
    <row r="803" spans="2:7" x14ac:dyDescent="0.2">
      <c r="B803" s="14">
        <f t="shared" si="73"/>
        <v>11.067338075510744</v>
      </c>
      <c r="C803" s="14">
        <f t="shared" si="72"/>
        <v>3.9326619244892562</v>
      </c>
      <c r="D803" s="8">
        <f t="shared" si="77"/>
        <v>83.399999999999537</v>
      </c>
      <c r="E803" s="14">
        <f t="shared" si="74"/>
        <v>80.88792004638367</v>
      </c>
      <c r="F803" s="14">
        <f t="shared" si="75"/>
        <v>80.887997293416674</v>
      </c>
      <c r="G803" s="14">
        <f t="shared" si="76"/>
        <v>80.887997293416717</v>
      </c>
    </row>
    <row r="804" spans="2:7" x14ac:dyDescent="0.2">
      <c r="B804" s="14">
        <f t="shared" si="73"/>
        <v>11.068573224241726</v>
      </c>
      <c r="C804" s="14">
        <f t="shared" si="72"/>
        <v>3.9314267757582737</v>
      </c>
      <c r="D804" s="8">
        <f t="shared" si="77"/>
        <v>83.499999999999531</v>
      </c>
      <c r="E804" s="14">
        <f t="shared" si="74"/>
        <v>81.035802720581643</v>
      </c>
      <c r="F804" s="14">
        <f t="shared" si="75"/>
        <v>81.035879909106654</v>
      </c>
      <c r="G804" s="14">
        <f t="shared" si="76"/>
        <v>81.035879909106725</v>
      </c>
    </row>
    <row r="805" spans="2:7" x14ac:dyDescent="0.2">
      <c r="B805" s="14">
        <f t="shared" si="73"/>
        <v>11.069806120415409</v>
      </c>
      <c r="C805" s="14">
        <f t="shared" si="72"/>
        <v>3.930193879584591</v>
      </c>
      <c r="D805" s="8">
        <f t="shared" si="77"/>
        <v>83.599999999999525</v>
      </c>
      <c r="E805" s="14">
        <f t="shared" si="74"/>
        <v>81.18376228755308</v>
      </c>
      <c r="F805" s="14">
        <f t="shared" si="75"/>
        <v>81.183839417563348</v>
      </c>
      <c r="G805" s="14">
        <f t="shared" si="76"/>
        <v>81.183839417563362</v>
      </c>
    </row>
    <row r="806" spans="2:7" x14ac:dyDescent="0.2">
      <c r="B806" s="14">
        <f t="shared" si="73"/>
        <v>11.071036771068881</v>
      </c>
      <c r="C806" s="14">
        <f t="shared" si="72"/>
        <v>3.9289632289311189</v>
      </c>
      <c r="D806" s="8">
        <f t="shared" si="77"/>
        <v>83.69999999999952</v>
      </c>
      <c r="E806" s="14">
        <f t="shared" si="74"/>
        <v>81.331798674287896</v>
      </c>
      <c r="F806" s="14">
        <f t="shared" si="75"/>
        <v>81.331875745898742</v>
      </c>
      <c r="G806" s="14">
        <f t="shared" si="76"/>
        <v>81.331875745898756</v>
      </c>
    </row>
    <row r="807" spans="2:7" x14ac:dyDescent="0.2">
      <c r="B807" s="14">
        <f t="shared" si="73"/>
        <v>11.072265183208314</v>
      </c>
      <c r="C807" s="14">
        <f t="shared" si="72"/>
        <v>3.9277348167916859</v>
      </c>
      <c r="D807" s="8">
        <f t="shared" si="77"/>
        <v>83.799999999999514</v>
      </c>
      <c r="E807" s="14">
        <f t="shared" si="74"/>
        <v>81.479911808063193</v>
      </c>
      <c r="F807" s="14">
        <f t="shared" si="75"/>
        <v>81.479988821376438</v>
      </c>
      <c r="G807" s="14">
        <f t="shared" si="76"/>
        <v>81.479988821376438</v>
      </c>
    </row>
    <row r="808" spans="2:7" x14ac:dyDescent="0.2">
      <c r="B808" s="14">
        <f t="shared" si="73"/>
        <v>11.073491363809127</v>
      </c>
      <c r="C808" s="14">
        <f t="shared" si="72"/>
        <v>3.9265086361908725</v>
      </c>
      <c r="D808" s="8">
        <f t="shared" si="77"/>
        <v>83.899999999999508</v>
      </c>
      <c r="E808" s="14">
        <f t="shared" si="74"/>
        <v>81.628101616305528</v>
      </c>
      <c r="F808" s="14">
        <f t="shared" si="75"/>
        <v>81.628178571410672</v>
      </c>
      <c r="G808" s="14">
        <f t="shared" si="76"/>
        <v>81.628178571410686</v>
      </c>
    </row>
    <row r="809" spans="2:7" x14ac:dyDescent="0.2">
      <c r="B809" s="14">
        <f t="shared" si="73"/>
        <v>11.074715319816171</v>
      </c>
      <c r="C809" s="14">
        <f t="shared" si="72"/>
        <v>3.9252846801838288</v>
      </c>
      <c r="D809" s="8">
        <f t="shared" si="77"/>
        <v>83.999999999999503</v>
      </c>
      <c r="E809" s="14">
        <f t="shared" si="74"/>
        <v>81.776368026510212</v>
      </c>
      <c r="F809" s="14">
        <f t="shared" si="75"/>
        <v>81.776444923566316</v>
      </c>
      <c r="G809" s="14">
        <f t="shared" si="76"/>
        <v>81.776444923566331</v>
      </c>
    </row>
    <row r="810" spans="2:7" x14ac:dyDescent="0.2">
      <c r="B810" s="14">
        <f t="shared" si="73"/>
        <v>11.075937058143891</v>
      </c>
      <c r="C810" s="14">
        <f t="shared" si="72"/>
        <v>3.9240629418561088</v>
      </c>
      <c r="D810" s="8">
        <f t="shared" si="77"/>
        <v>84.099999999999497</v>
      </c>
      <c r="E810" s="14">
        <f t="shared" si="74"/>
        <v>81.924710966517267</v>
      </c>
      <c r="F810" s="14">
        <f t="shared" si="75"/>
        <v>81.924787805558012</v>
      </c>
      <c r="G810" s="14">
        <f t="shared" si="76"/>
        <v>81.924787805558012</v>
      </c>
    </row>
    <row r="811" spans="2:7" x14ac:dyDescent="0.2">
      <c r="B811" s="14">
        <f t="shared" si="73"/>
        <v>11.077156585676502</v>
      </c>
      <c r="C811" s="14">
        <f t="shared" si="72"/>
        <v>3.9228434143234985</v>
      </c>
      <c r="D811" s="8">
        <f t="shared" si="77"/>
        <v>84.199999999999491</v>
      </c>
      <c r="E811" s="14">
        <f t="shared" si="74"/>
        <v>82.073130364076007</v>
      </c>
      <c r="F811" s="14">
        <f t="shared" si="75"/>
        <v>82.073207145249782</v>
      </c>
      <c r="G811" s="14">
        <f t="shared" si="76"/>
        <v>82.073207145249839</v>
      </c>
    </row>
    <row r="812" spans="2:7" x14ac:dyDescent="0.2">
      <c r="B812" s="14">
        <f t="shared" si="73"/>
        <v>11.07837390926816</v>
      </c>
      <c r="C812" s="14">
        <f t="shared" si="72"/>
        <v>3.9216260907318397</v>
      </c>
      <c r="D812" s="8">
        <f t="shared" si="77"/>
        <v>84.299999999999486</v>
      </c>
      <c r="E812" s="14">
        <f t="shared" si="74"/>
        <v>82.221626147181439</v>
      </c>
      <c r="F812" s="14">
        <f t="shared" si="75"/>
        <v>82.22170287065488</v>
      </c>
      <c r="G812" s="14">
        <f t="shared" si="76"/>
        <v>82.221702870654923</v>
      </c>
    </row>
    <row r="813" spans="2:7" x14ac:dyDescent="0.2">
      <c r="B813" s="14">
        <f t="shared" si="73"/>
        <v>11.07958903574313</v>
      </c>
      <c r="C813" s="14">
        <f t="shared" si="72"/>
        <v>3.9204109642568703</v>
      </c>
      <c r="D813" s="8">
        <f t="shared" si="77"/>
        <v>84.39999999999948</v>
      </c>
      <c r="E813" s="14">
        <f t="shared" si="74"/>
        <v>82.370198244117333</v>
      </c>
      <c r="F813" s="14">
        <f t="shared" si="75"/>
        <v>82.370274909934736</v>
      </c>
      <c r="G813" s="14">
        <f t="shared" si="76"/>
        <v>82.370274909934736</v>
      </c>
    </row>
    <row r="814" spans="2:7" x14ac:dyDescent="0.2">
      <c r="B814" s="14">
        <f t="shared" si="73"/>
        <v>11.080801971895948</v>
      </c>
      <c r="C814" s="14">
        <f t="shared" si="72"/>
        <v>3.9191980281040522</v>
      </c>
      <c r="D814" s="8">
        <f t="shared" si="77"/>
        <v>84.499999999999474</v>
      </c>
      <c r="E814" s="14">
        <f t="shared" si="74"/>
        <v>82.518846583138</v>
      </c>
      <c r="F814" s="14">
        <f t="shared" si="75"/>
        <v>82.518923191398898</v>
      </c>
      <c r="G814" s="14">
        <f t="shared" si="76"/>
        <v>82.518923191398898</v>
      </c>
    </row>
    <row r="815" spans="2:7" x14ac:dyDescent="0.2">
      <c r="B815" s="14">
        <f t="shared" si="73"/>
        <v>11.082012724491596</v>
      </c>
      <c r="C815" s="14">
        <f t="shared" si="72"/>
        <v>3.9179872755084038</v>
      </c>
      <c r="D815" s="8">
        <f t="shared" si="77"/>
        <v>84.599999999999469</v>
      </c>
      <c r="E815" s="14">
        <f t="shared" si="74"/>
        <v>82.667571092690011</v>
      </c>
      <c r="F815" s="14">
        <f t="shared" si="75"/>
        <v>82.66764764350448</v>
      </c>
      <c r="G815" s="14">
        <f t="shared" si="76"/>
        <v>82.667647643504466</v>
      </c>
    </row>
    <row r="816" spans="2:7" x14ac:dyDescent="0.2">
      <c r="B816" s="14">
        <f t="shared" si="73"/>
        <v>11.083221300265663</v>
      </c>
      <c r="C816" s="14">
        <f t="shared" si="72"/>
        <v>3.916778699734337</v>
      </c>
      <c r="D816" s="8">
        <f t="shared" si="77"/>
        <v>84.699999999999463</v>
      </c>
      <c r="E816" s="14">
        <f t="shared" si="74"/>
        <v>82.816371701456774</v>
      </c>
      <c r="F816" s="14">
        <f t="shared" si="75"/>
        <v>82.816448194855596</v>
      </c>
      <c r="G816" s="14">
        <f t="shared" si="76"/>
        <v>82.816448194855511</v>
      </c>
    </row>
    <row r="817" spans="2:7" x14ac:dyDescent="0.2">
      <c r="B817" s="14">
        <f t="shared" si="73"/>
        <v>11.084427705924506</v>
      </c>
      <c r="C817" s="14">
        <f t="shared" si="72"/>
        <v>3.9155722940754938</v>
      </c>
      <c r="D817" s="8">
        <f t="shared" si="77"/>
        <v>84.799999999999457</v>
      </c>
      <c r="E817" s="14">
        <f t="shared" si="74"/>
        <v>82.965248338037739</v>
      </c>
      <c r="F817" s="14">
        <f t="shared" si="75"/>
        <v>82.96532477420287</v>
      </c>
      <c r="G817" s="14">
        <f t="shared" si="76"/>
        <v>82.965324774202884</v>
      </c>
    </row>
    <row r="818" spans="2:7" x14ac:dyDescent="0.2">
      <c r="B818" s="14">
        <f t="shared" si="73"/>
        <v>11.085631948145425</v>
      </c>
      <c r="C818" s="14">
        <f t="shared" si="72"/>
        <v>3.9143680518545754</v>
      </c>
      <c r="D818" s="8">
        <f t="shared" si="77"/>
        <v>84.899999999999451</v>
      </c>
      <c r="E818" s="14">
        <f t="shared" si="74"/>
        <v>83.11420093141902</v>
      </c>
      <c r="F818" s="14">
        <f t="shared" si="75"/>
        <v>83.114277310443384</v>
      </c>
      <c r="G818" s="14">
        <f t="shared" si="76"/>
        <v>83.114277310443342</v>
      </c>
    </row>
    <row r="819" spans="2:7" x14ac:dyDescent="0.2">
      <c r="B819" s="14">
        <f t="shared" si="73"/>
        <v>11.086834033576805</v>
      </c>
      <c r="C819" s="14">
        <f t="shared" si="72"/>
        <v>3.913165966423195</v>
      </c>
      <c r="D819" s="8">
        <f t="shared" si="77"/>
        <v>84.999999999999446</v>
      </c>
      <c r="E819" s="14">
        <f t="shared" si="74"/>
        <v>83.263229410654304</v>
      </c>
      <c r="F819" s="14">
        <f t="shared" si="75"/>
        <v>83.263305732619401</v>
      </c>
      <c r="G819" s="14">
        <f t="shared" si="76"/>
        <v>83.263305732619472</v>
      </c>
    </row>
    <row r="820" spans="2:7" x14ac:dyDescent="0.2">
      <c r="B820" s="14">
        <f t="shared" si="73"/>
        <v>11.0880339688383</v>
      </c>
      <c r="C820" s="14">
        <f t="shared" si="72"/>
        <v>3.9119660311617004</v>
      </c>
      <c r="D820" s="8">
        <f t="shared" si="77"/>
        <v>85.09999999999944</v>
      </c>
      <c r="E820" s="14">
        <f t="shared" si="74"/>
        <v>83.412333704786747</v>
      </c>
      <c r="F820" s="14">
        <f t="shared" si="75"/>
        <v>83.412409969918855</v>
      </c>
      <c r="G820" s="14">
        <f t="shared" si="76"/>
        <v>83.412409969918897</v>
      </c>
    </row>
    <row r="821" spans="2:7" x14ac:dyDescent="0.2">
      <c r="B821" s="14">
        <f t="shared" si="73"/>
        <v>11.089231760520974</v>
      </c>
      <c r="C821" s="14">
        <f t="shared" si="72"/>
        <v>3.910768239479026</v>
      </c>
      <c r="D821" s="8">
        <f t="shared" si="77"/>
        <v>85.199999999999434</v>
      </c>
      <c r="E821" s="14">
        <f t="shared" si="74"/>
        <v>83.561513743389824</v>
      </c>
      <c r="F821" s="14">
        <f t="shared" si="75"/>
        <v>83.561589951674151</v>
      </c>
      <c r="G821" s="14">
        <f t="shared" si="76"/>
        <v>83.561589951674122</v>
      </c>
    </row>
    <row r="822" spans="2:7" x14ac:dyDescent="0.2">
      <c r="B822" s="14">
        <f t="shared" si="73"/>
        <v>11.090427415187467</v>
      </c>
      <c r="C822" s="14">
        <f t="shared" si="72"/>
        <v>3.9095725848125333</v>
      </c>
      <c r="D822" s="8">
        <f t="shared" si="77"/>
        <v>85.299999999999429</v>
      </c>
      <c r="E822" s="14">
        <f t="shared" si="74"/>
        <v>83.710769455813647</v>
      </c>
      <c r="F822" s="14">
        <f t="shared" si="75"/>
        <v>83.710845607361847</v>
      </c>
      <c r="G822" s="14">
        <f t="shared" si="76"/>
        <v>83.710845607361847</v>
      </c>
    </row>
    <row r="823" spans="2:7" x14ac:dyDescent="0.2">
      <c r="B823" s="14">
        <f t="shared" si="73"/>
        <v>11.091620939372156</v>
      </c>
      <c r="C823" s="14">
        <f t="shared" si="72"/>
        <v>3.9083790606278441</v>
      </c>
      <c r="D823" s="8">
        <f t="shared" si="77"/>
        <v>85.399999999999423</v>
      </c>
      <c r="E823" s="14">
        <f t="shared" si="74"/>
        <v>83.860100771664719</v>
      </c>
      <c r="F823" s="14">
        <f t="shared" si="75"/>
        <v>83.860176866602686</v>
      </c>
      <c r="G823" s="14">
        <f t="shared" si="76"/>
        <v>83.860176866602657</v>
      </c>
    </row>
    <row r="824" spans="2:7" x14ac:dyDescent="0.2">
      <c r="B824" s="14">
        <f t="shared" si="73"/>
        <v>11.092812339581304</v>
      </c>
      <c r="C824" s="14">
        <f t="shared" si="72"/>
        <v>3.9071876604186961</v>
      </c>
      <c r="D824" s="8">
        <f t="shared" si="77"/>
        <v>85.499999999999417</v>
      </c>
      <c r="E824" s="14">
        <f t="shared" si="74"/>
        <v>84.009507620795276</v>
      </c>
      <c r="F824" s="14">
        <f t="shared" si="75"/>
        <v>84.009583659160427</v>
      </c>
      <c r="G824" s="14">
        <f t="shared" si="76"/>
        <v>84.009583659160398</v>
      </c>
    </row>
    <row r="825" spans="2:7" x14ac:dyDescent="0.2">
      <c r="B825" s="14">
        <f t="shared" si="73"/>
        <v>11.094001622293222</v>
      </c>
      <c r="C825" s="14">
        <f t="shared" si="72"/>
        <v>3.9059983777067782</v>
      </c>
      <c r="D825" s="8">
        <f t="shared" si="77"/>
        <v>85.599999999999412</v>
      </c>
      <c r="E825" s="14">
        <f t="shared" si="74"/>
        <v>84.158989933041241</v>
      </c>
      <c r="F825" s="14">
        <f t="shared" si="75"/>
        <v>84.159065914941934</v>
      </c>
      <c r="G825" s="14">
        <f t="shared" si="76"/>
        <v>84.159065914941934</v>
      </c>
    </row>
    <row r="826" spans="2:7" x14ac:dyDescent="0.2">
      <c r="B826" s="14">
        <f t="shared" si="73"/>
        <v>11.095188793958419</v>
      </c>
      <c r="C826" s="14">
        <f t="shared" si="72"/>
        <v>3.9048112060415807</v>
      </c>
      <c r="D826" s="8">
        <f t="shared" si="77"/>
        <v>85.699999999999406</v>
      </c>
      <c r="E826" s="14">
        <f t="shared" si="74"/>
        <v>84.308547638397314</v>
      </c>
      <c r="F826" s="14">
        <f t="shared" si="75"/>
        <v>84.308623563996449</v>
      </c>
      <c r="G826" s="14">
        <f t="shared" si="76"/>
        <v>84.308623563996505</v>
      </c>
    </row>
    <row r="827" spans="2:7" x14ac:dyDescent="0.2">
      <c r="B827" s="14">
        <f t="shared" si="73"/>
        <v>11.096373860999762</v>
      </c>
      <c r="C827" s="14">
        <f t="shared" si="72"/>
        <v>3.903626139000238</v>
      </c>
      <c r="D827" s="8">
        <f t="shared" si="77"/>
        <v>85.7999999999994</v>
      </c>
      <c r="E827" s="14">
        <f t="shared" si="74"/>
        <v>84.458180667069428</v>
      </c>
      <c r="F827" s="14">
        <f t="shared" si="75"/>
        <v>84.458256536515407</v>
      </c>
      <c r="G827" s="14">
        <f t="shared" si="76"/>
        <v>84.458256536515435</v>
      </c>
    </row>
    <row r="828" spans="2:7" x14ac:dyDescent="0.2">
      <c r="B828" s="14">
        <f t="shared" si="73"/>
        <v>11.097556829812618</v>
      </c>
      <c r="C828" s="14">
        <f t="shared" si="72"/>
        <v>3.9024431701873823</v>
      </c>
      <c r="D828" s="8">
        <f t="shared" si="77"/>
        <v>85.899999999999395</v>
      </c>
      <c r="E828" s="14">
        <f t="shared" si="74"/>
        <v>84.607888949529169</v>
      </c>
      <c r="F828" s="14">
        <f t="shared" si="75"/>
        <v>84.607964762831585</v>
      </c>
      <c r="G828" s="14">
        <f t="shared" si="76"/>
        <v>84.607964762831614</v>
      </c>
    </row>
    <row r="829" spans="2:7" x14ac:dyDescent="0.2">
      <c r="B829" s="14">
        <f t="shared" si="73"/>
        <v>11.098737706765011</v>
      </c>
      <c r="C829" s="14">
        <f t="shared" si="72"/>
        <v>3.9012622932349892</v>
      </c>
      <c r="D829" s="8">
        <f t="shared" si="77"/>
        <v>85.999999999999389</v>
      </c>
      <c r="E829" s="14">
        <f t="shared" si="74"/>
        <v>84.757672416186963</v>
      </c>
      <c r="F829" s="14">
        <f t="shared" si="75"/>
        <v>84.757748173418932</v>
      </c>
      <c r="G829" s="14">
        <f t="shared" si="76"/>
        <v>84.757748173418946</v>
      </c>
    </row>
    <row r="830" spans="2:7" x14ac:dyDescent="0.2">
      <c r="B830" s="14">
        <f t="shared" si="73"/>
        <v>11.099916498197775</v>
      </c>
      <c r="C830" s="14">
        <f t="shared" si="72"/>
        <v>3.9000835018022251</v>
      </c>
      <c r="D830" s="8">
        <f t="shared" si="77"/>
        <v>86.099999999999383</v>
      </c>
      <c r="E830" s="14">
        <f t="shared" si="74"/>
        <v>84.907530997571214</v>
      </c>
      <c r="F830" s="14">
        <f t="shared" si="75"/>
        <v>84.907606698892081</v>
      </c>
      <c r="G830" s="14">
        <f t="shared" si="76"/>
        <v>84.907606698892138</v>
      </c>
    </row>
    <row r="831" spans="2:7" x14ac:dyDescent="0.2">
      <c r="B831" s="14">
        <f t="shared" si="73"/>
        <v>11.1010932104247</v>
      </c>
      <c r="C831" s="14">
        <f t="shared" si="72"/>
        <v>3.8989067895752996</v>
      </c>
      <c r="D831" s="8">
        <f t="shared" si="77"/>
        <v>86.199999999999378</v>
      </c>
      <c r="E831" s="14">
        <f t="shared" si="74"/>
        <v>85.057464624447547</v>
      </c>
      <c r="F831" s="14">
        <f t="shared" si="75"/>
        <v>85.057540270006044</v>
      </c>
      <c r="G831" s="14">
        <f t="shared" si="76"/>
        <v>85.057540270006101</v>
      </c>
    </row>
    <row r="832" spans="2:7" x14ac:dyDescent="0.2">
      <c r="B832" s="14">
        <f t="shared" si="73"/>
        <v>11.102267849732682</v>
      </c>
      <c r="C832" s="14">
        <f t="shared" si="72"/>
        <v>3.8977321502673181</v>
      </c>
      <c r="D832" s="8">
        <f t="shared" si="77"/>
        <v>86.299999999999372</v>
      </c>
      <c r="E832" s="14">
        <f t="shared" si="74"/>
        <v>85.207473227812216</v>
      </c>
      <c r="F832" s="14">
        <f t="shared" si="75"/>
        <v>85.207548817655479</v>
      </c>
      <c r="G832" s="14">
        <f t="shared" si="76"/>
        <v>85.207548817655507</v>
      </c>
    </row>
    <row r="833" spans="2:7" x14ac:dyDescent="0.2">
      <c r="B833" s="14">
        <f t="shared" si="73"/>
        <v>11.103440422381864</v>
      </c>
      <c r="C833" s="14">
        <f t="shared" si="72"/>
        <v>3.8965595776181363</v>
      </c>
      <c r="D833" s="8">
        <f t="shared" si="77"/>
        <v>86.399999999999366</v>
      </c>
      <c r="E833" s="14">
        <f t="shared" si="74"/>
        <v>85.357556738627238</v>
      </c>
      <c r="F833" s="14">
        <f t="shared" si="75"/>
        <v>85.357632272874341</v>
      </c>
      <c r="G833" s="14">
        <f t="shared" si="76"/>
        <v>85.357632272874355</v>
      </c>
    </row>
    <row r="834" spans="2:7" x14ac:dyDescent="0.2">
      <c r="B834" s="14">
        <f t="shared" si="73"/>
        <v>11.104610934605793</v>
      </c>
      <c r="C834" s="14">
        <f t="shared" si="72"/>
        <v>3.8953890653942072</v>
      </c>
      <c r="D834" s="8">
        <f t="shared" si="77"/>
        <v>86.499999999999361</v>
      </c>
      <c r="E834" s="14">
        <f t="shared" si="74"/>
        <v>85.507715088134674</v>
      </c>
      <c r="F834" s="14">
        <f t="shared" si="75"/>
        <v>85.507790566835752</v>
      </c>
      <c r="G834" s="14">
        <f t="shared" si="76"/>
        <v>85.507790566835695</v>
      </c>
    </row>
    <row r="835" spans="2:7" x14ac:dyDescent="0.2">
      <c r="B835" s="14">
        <f t="shared" si="73"/>
        <v>11.105779392611554</v>
      </c>
      <c r="C835" s="14">
        <f t="shared" si="72"/>
        <v>3.894220607388446</v>
      </c>
      <c r="D835" s="8">
        <f t="shared" si="77"/>
        <v>86.599999999999355</v>
      </c>
      <c r="E835" s="14">
        <f t="shared" si="74"/>
        <v>85.657948207722214</v>
      </c>
      <c r="F835" s="14">
        <f t="shared" si="75"/>
        <v>85.658023630850963</v>
      </c>
      <c r="G835" s="14">
        <f t="shared" si="76"/>
        <v>85.658023630850948</v>
      </c>
    </row>
    <row r="836" spans="2:7" x14ac:dyDescent="0.2">
      <c r="B836" s="14">
        <f t="shared" si="73"/>
        <v>11.106945802579924</v>
      </c>
      <c r="C836" s="14">
        <f t="shared" si="72"/>
        <v>3.8930541974200761</v>
      </c>
      <c r="D836" s="8">
        <f t="shared" si="77"/>
        <v>86.699999999999349</v>
      </c>
      <c r="E836" s="14">
        <f t="shared" si="74"/>
        <v>85.808256028524781</v>
      </c>
      <c r="F836" s="14">
        <f t="shared" si="75"/>
        <v>85.808331396369567</v>
      </c>
      <c r="G836" s="14">
        <f t="shared" si="76"/>
        <v>85.808331396369624</v>
      </c>
    </row>
    <row r="837" spans="2:7" x14ac:dyDescent="0.2">
      <c r="B837" s="14">
        <f t="shared" si="73"/>
        <v>11.108110170665515</v>
      </c>
      <c r="C837" s="14">
        <f t="shared" si="72"/>
        <v>3.8918898293344846</v>
      </c>
      <c r="D837" s="8">
        <f t="shared" si="77"/>
        <v>86.799999999999343</v>
      </c>
      <c r="E837" s="14">
        <f t="shared" si="74"/>
        <v>85.958638482199618</v>
      </c>
      <c r="F837" s="14">
        <f t="shared" si="75"/>
        <v>85.958713794978848</v>
      </c>
      <c r="G837" s="14">
        <f t="shared" si="76"/>
        <v>85.958713794978891</v>
      </c>
    </row>
    <row r="838" spans="2:7" x14ac:dyDescent="0.2">
      <c r="B838" s="14">
        <f t="shared" si="73"/>
        <v>11.109272502996909</v>
      </c>
      <c r="C838" s="14">
        <f t="shared" si="72"/>
        <v>3.8907274970030912</v>
      </c>
      <c r="D838" s="8">
        <f t="shared" si="77"/>
        <v>86.899999999999338</v>
      </c>
      <c r="E838" s="14">
        <f t="shared" si="74"/>
        <v>86.109095500862196</v>
      </c>
      <c r="F838" s="14">
        <f t="shared" si="75"/>
        <v>86.109170758403124</v>
      </c>
      <c r="G838" s="14">
        <f t="shared" si="76"/>
        <v>86.109170758403067</v>
      </c>
    </row>
    <row r="839" spans="2:7" x14ac:dyDescent="0.2">
      <c r="B839" s="14">
        <f t="shared" si="73"/>
        <v>11.110432805676796</v>
      </c>
      <c r="C839" s="14">
        <f t="shared" si="72"/>
        <v>3.8895671943232042</v>
      </c>
      <c r="D839" s="8">
        <f t="shared" si="77"/>
        <v>86.999999999999332</v>
      </c>
      <c r="E839" s="14">
        <f t="shared" si="74"/>
        <v>86.259627016096019</v>
      </c>
      <c r="F839" s="14">
        <f t="shared" si="75"/>
        <v>86.259702218503236</v>
      </c>
      <c r="G839" s="14">
        <f t="shared" si="76"/>
        <v>86.259702218503278</v>
      </c>
    </row>
    <row r="840" spans="2:7" x14ac:dyDescent="0.2">
      <c r="B840" s="14">
        <f t="shared" si="73"/>
        <v>11.111591084782136</v>
      </c>
      <c r="C840" s="14">
        <f t="shared" si="72"/>
        <v>3.8884089152178642</v>
      </c>
      <c r="D840" s="8">
        <f t="shared" si="77"/>
        <v>87.099999999999326</v>
      </c>
      <c r="E840" s="14">
        <f t="shared" si="74"/>
        <v>86.410232959666459</v>
      </c>
      <c r="F840" s="14">
        <f t="shared" si="75"/>
        <v>86.410308107276933</v>
      </c>
      <c r="G840" s="14">
        <f t="shared" si="76"/>
        <v>86.41030810727699</v>
      </c>
    </row>
    <row r="841" spans="2:7" x14ac:dyDescent="0.2">
      <c r="B841" s="14">
        <f t="shared" si="73"/>
        <v>11.112747346364278</v>
      </c>
      <c r="C841" s="14">
        <f t="shared" si="72"/>
        <v>3.8872526536357217</v>
      </c>
      <c r="D841" s="8">
        <f t="shared" si="77"/>
        <v>87.199999999999321</v>
      </c>
      <c r="E841" s="14">
        <f t="shared" si="74"/>
        <v>86.560913264117048</v>
      </c>
      <c r="F841" s="14">
        <f t="shared" si="75"/>
        <v>86.560988356857564</v>
      </c>
      <c r="G841" s="14">
        <f t="shared" si="76"/>
        <v>86.560988356857564</v>
      </c>
    </row>
    <row r="842" spans="2:7" x14ac:dyDescent="0.2">
      <c r="B842" s="14">
        <f t="shared" si="73"/>
        <v>11.113901596449102</v>
      </c>
      <c r="C842" s="14">
        <f t="shared" si="72"/>
        <v>3.8860984035508981</v>
      </c>
      <c r="D842" s="8">
        <f t="shared" si="77"/>
        <v>87.299999999999315</v>
      </c>
      <c r="E842" s="14">
        <f t="shared" si="74"/>
        <v>86.711667861509127</v>
      </c>
      <c r="F842" s="14">
        <f t="shared" si="75"/>
        <v>86.711742899513851</v>
      </c>
      <c r="G842" s="14">
        <f t="shared" si="76"/>
        <v>86.711742899513908</v>
      </c>
    </row>
    <row r="843" spans="2:7" x14ac:dyDescent="0.2">
      <c r="B843" s="14">
        <f t="shared" si="73"/>
        <v>11.115053841037168</v>
      </c>
      <c r="C843" s="14">
        <f t="shared" si="72"/>
        <v>3.8849461589628316</v>
      </c>
      <c r="D843" s="8">
        <f t="shared" si="77"/>
        <v>87.399999999999309</v>
      </c>
      <c r="E843" s="14">
        <f t="shared" si="74"/>
        <v>86.862496684279719</v>
      </c>
      <c r="F843" s="14">
        <f t="shared" si="75"/>
        <v>86.862571667649988</v>
      </c>
      <c r="G843" s="14">
        <f t="shared" si="76"/>
        <v>86.862571667649959</v>
      </c>
    </row>
    <row r="844" spans="2:7" x14ac:dyDescent="0.2">
      <c r="B844" s="14">
        <f t="shared" si="73"/>
        <v>11.116204086103837</v>
      </c>
      <c r="C844" s="14">
        <f t="shared" si="72"/>
        <v>3.8837959138961633</v>
      </c>
      <c r="D844" s="8">
        <f t="shared" si="77"/>
        <v>87.499999999999304</v>
      </c>
      <c r="E844" s="14">
        <f t="shared" si="74"/>
        <v>87.013399665042328</v>
      </c>
      <c r="F844" s="14">
        <f t="shared" si="75"/>
        <v>87.013474593804375</v>
      </c>
      <c r="G844" s="14">
        <f t="shared" si="76"/>
        <v>87.013474593804403</v>
      </c>
    </row>
    <row r="845" spans="2:7" x14ac:dyDescent="0.2">
      <c r="B845" s="14">
        <f t="shared" si="73"/>
        <v>11.117352337599421</v>
      </c>
      <c r="C845" s="14">
        <f t="shared" si="72"/>
        <v>3.8826476624005792</v>
      </c>
      <c r="D845" s="8">
        <f t="shared" si="77"/>
        <v>87.599999999999298</v>
      </c>
      <c r="E845" s="14">
        <f t="shared" si="74"/>
        <v>87.164376736383886</v>
      </c>
      <c r="F845" s="14">
        <f t="shared" si="75"/>
        <v>87.164451610650076</v>
      </c>
      <c r="G845" s="14">
        <f t="shared" si="76"/>
        <v>87.164451610650062</v>
      </c>
    </row>
    <row r="846" spans="2:7" x14ac:dyDescent="0.2">
      <c r="B846" s="14">
        <f t="shared" si="73"/>
        <v>11.118498601449307</v>
      </c>
      <c r="C846" s="14">
        <f t="shared" si="72"/>
        <v>3.881501398550693</v>
      </c>
      <c r="D846" s="8">
        <f t="shared" si="77"/>
        <v>87.699999999999292</v>
      </c>
      <c r="E846" s="14">
        <f t="shared" si="74"/>
        <v>87.315427831064326</v>
      </c>
      <c r="F846" s="14">
        <f t="shared" si="75"/>
        <v>87.315502650993608</v>
      </c>
      <c r="G846" s="14">
        <f t="shared" si="76"/>
        <v>87.315502650993679</v>
      </c>
    </row>
    <row r="847" spans="2:7" x14ac:dyDescent="0.2">
      <c r="B847" s="14">
        <f t="shared" si="73"/>
        <v>11.119642883554105</v>
      </c>
      <c r="C847" s="14">
        <f t="shared" si="72"/>
        <v>3.8803571164458948</v>
      </c>
      <c r="D847" s="8">
        <f t="shared" si="77"/>
        <v>87.799999999999287</v>
      </c>
      <c r="E847" s="14">
        <f t="shared" si="74"/>
        <v>87.466552882085097</v>
      </c>
      <c r="F847" s="14">
        <f t="shared" si="75"/>
        <v>87.466627647775397</v>
      </c>
      <c r="G847" s="14">
        <f t="shared" si="76"/>
        <v>87.466627647775411</v>
      </c>
    </row>
    <row r="848" spans="2:7" x14ac:dyDescent="0.2">
      <c r="B848" s="14">
        <f t="shared" si="73"/>
        <v>11.120785189789762</v>
      </c>
      <c r="C848" s="14">
        <f t="shared" si="72"/>
        <v>3.8792148102102377</v>
      </c>
      <c r="D848" s="8">
        <f t="shared" si="77"/>
        <v>87.899999999999281</v>
      </c>
      <c r="E848" s="14">
        <f t="shared" si="74"/>
        <v>87.617751822554965</v>
      </c>
      <c r="F848" s="14">
        <f t="shared" si="75"/>
        <v>87.617826534068328</v>
      </c>
      <c r="G848" s="14">
        <f t="shared" si="76"/>
        <v>87.617826534068399</v>
      </c>
    </row>
    <row r="849" spans="2:7" x14ac:dyDescent="0.2">
      <c r="B849" s="14">
        <f t="shared" si="73"/>
        <v>11.121925526007715</v>
      </c>
      <c r="C849" s="14">
        <f t="shared" si="72"/>
        <v>3.8780744739922852</v>
      </c>
      <c r="D849" s="8">
        <f t="shared" si="77"/>
        <v>87.999999999999275</v>
      </c>
      <c r="E849" s="14">
        <f t="shared" si="74"/>
        <v>87.769024585621949</v>
      </c>
      <c r="F849" s="14">
        <f t="shared" si="75"/>
        <v>87.769099243078344</v>
      </c>
      <c r="G849" s="14">
        <f t="shared" si="76"/>
        <v>87.769099243078387</v>
      </c>
    </row>
    <row r="850" spans="2:7" x14ac:dyDescent="0.2">
      <c r="B850" s="14">
        <f t="shared" si="73"/>
        <v>11.123063898035003</v>
      </c>
      <c r="C850" s="14">
        <f t="shared" si="72"/>
        <v>3.8769361019649971</v>
      </c>
      <c r="D850" s="8">
        <f t="shared" si="77"/>
        <v>88.09999999999927</v>
      </c>
      <c r="E850" s="14">
        <f t="shared" si="74"/>
        <v>87.920371104679106</v>
      </c>
      <c r="F850" s="14">
        <f t="shared" si="75"/>
        <v>87.920445708143262</v>
      </c>
      <c r="G850" s="14">
        <f t="shared" si="76"/>
        <v>87.920445708143305</v>
      </c>
    </row>
    <row r="851" spans="2:7" x14ac:dyDescent="0.2">
      <c r="B851" s="14">
        <f t="shared" si="73"/>
        <v>11.124200311674416</v>
      </c>
      <c r="C851" s="14">
        <f t="shared" ref="C851:C914" si="78">$C$14-B851</f>
        <v>3.8757996883255839</v>
      </c>
      <c r="D851" s="8">
        <f t="shared" si="77"/>
        <v>88.199999999999264</v>
      </c>
      <c r="E851" s="14">
        <f t="shared" si="74"/>
        <v>88.071791313161668</v>
      </c>
      <c r="F851" s="14">
        <f t="shared" si="75"/>
        <v>88.071865862732906</v>
      </c>
      <c r="G851" s="14">
        <f t="shared" si="76"/>
        <v>88.071865862732949</v>
      </c>
    </row>
    <row r="852" spans="2:7" x14ac:dyDescent="0.2">
      <c r="B852" s="14">
        <f t="shared" ref="B852:B915" si="79">$C$14*(LN(D852)-LN($F$14))/(1+LN(D852)-LN($F$14))</f>
        <v>11.12533477270461</v>
      </c>
      <c r="C852" s="14">
        <f t="shared" si="78"/>
        <v>3.8746652272953899</v>
      </c>
      <c r="D852" s="8">
        <f t="shared" si="77"/>
        <v>88.299999999999258</v>
      </c>
      <c r="E852" s="14">
        <f t="shared" ref="E852:E915" si="80">(D853-D851)/(B853-B851)</f>
        <v>88.223285144686244</v>
      </c>
      <c r="F852" s="14">
        <f t="shared" ref="F852:F915" si="81">D852*$C$14/(C852*C852)</f>
        <v>88.223359640448322</v>
      </c>
      <c r="G852" s="14">
        <f t="shared" ref="G852:G915" si="82">D852*(1+LN(D852/$F$14))*(1+LN(D852/$F$14))/$C$14</f>
        <v>88.223359640448365</v>
      </c>
    </row>
    <row r="853" spans="2:7" x14ac:dyDescent="0.2">
      <c r="B853" s="14">
        <f t="shared" si="79"/>
        <v>11.126467286880247</v>
      </c>
      <c r="C853" s="14">
        <f t="shared" si="78"/>
        <v>3.8735327131197526</v>
      </c>
      <c r="D853" s="8">
        <f t="shared" ref="D853:D916" si="83">D852+0.1</f>
        <v>88.399999999999253</v>
      </c>
      <c r="E853" s="14">
        <f t="shared" si="80"/>
        <v>88.37485253291581</v>
      </c>
      <c r="F853" s="14">
        <f t="shared" si="81"/>
        <v>88.374926975021722</v>
      </c>
      <c r="G853" s="14">
        <f t="shared" si="82"/>
        <v>88.374926975021737</v>
      </c>
    </row>
    <row r="854" spans="2:7" x14ac:dyDescent="0.2">
      <c r="B854" s="14">
        <f t="shared" si="79"/>
        <v>11.127597859932116</v>
      </c>
      <c r="C854" s="14">
        <f t="shared" si="78"/>
        <v>3.8724021400678836</v>
      </c>
      <c r="D854" s="8">
        <f t="shared" si="83"/>
        <v>88.499999999999247</v>
      </c>
      <c r="E854" s="14">
        <f t="shared" si="80"/>
        <v>88.526493411909854</v>
      </c>
      <c r="F854" s="14">
        <f t="shared" si="81"/>
        <v>88.526567800315703</v>
      </c>
      <c r="G854" s="14">
        <f t="shared" si="82"/>
        <v>88.526567800315718</v>
      </c>
    </row>
    <row r="855" spans="2:7" x14ac:dyDescent="0.2">
      <c r="B855" s="14">
        <f t="shared" si="79"/>
        <v>11.128726497567261</v>
      </c>
      <c r="C855" s="14">
        <f t="shared" si="78"/>
        <v>3.8712735024327394</v>
      </c>
      <c r="D855" s="8">
        <f t="shared" si="83"/>
        <v>88.599999999999241</v>
      </c>
      <c r="E855" s="14">
        <f t="shared" si="80"/>
        <v>88.678207715364621</v>
      </c>
      <c r="F855" s="14">
        <f t="shared" si="81"/>
        <v>88.678282050323077</v>
      </c>
      <c r="G855" s="14">
        <f t="shared" si="82"/>
        <v>88.678282050323162</v>
      </c>
    </row>
    <row r="856" spans="2:7" x14ac:dyDescent="0.2">
      <c r="B856" s="14">
        <f t="shared" si="79"/>
        <v>11.129853205469116</v>
      </c>
      <c r="C856" s="14">
        <f t="shared" si="78"/>
        <v>3.8701467945308838</v>
      </c>
      <c r="D856" s="8">
        <f t="shared" si="83"/>
        <v>88.699999999999235</v>
      </c>
      <c r="E856" s="14">
        <f t="shared" si="80"/>
        <v>88.829995377590308</v>
      </c>
      <c r="F856" s="14">
        <f t="shared" si="81"/>
        <v>88.830069659166782</v>
      </c>
      <c r="G856" s="14">
        <f t="shared" si="82"/>
        <v>88.830069659166767</v>
      </c>
    </row>
    <row r="857" spans="2:7" x14ac:dyDescent="0.2">
      <c r="B857" s="14">
        <f t="shared" si="79"/>
        <v>11.130977989297614</v>
      </c>
      <c r="C857" s="14">
        <f t="shared" si="78"/>
        <v>3.8690220107023858</v>
      </c>
      <c r="D857" s="8">
        <f t="shared" si="83"/>
        <v>88.79999999999923</v>
      </c>
      <c r="E857" s="14">
        <f t="shared" si="80"/>
        <v>88.981856332961868</v>
      </c>
      <c r="F857" s="14">
        <f t="shared" si="81"/>
        <v>88.981930561098523</v>
      </c>
      <c r="G857" s="14">
        <f t="shared" si="82"/>
        <v>88.981930561098551</v>
      </c>
    </row>
    <row r="858" spans="2:7" x14ac:dyDescent="0.2">
      <c r="B858" s="14">
        <f t="shared" si="79"/>
        <v>11.13210085468933</v>
      </c>
      <c r="C858" s="14">
        <f t="shared" si="78"/>
        <v>3.8678991453106697</v>
      </c>
      <c r="D858" s="8">
        <f t="shared" si="83"/>
        <v>88.899999999999224</v>
      </c>
      <c r="E858" s="14">
        <f t="shared" si="80"/>
        <v>89.13379051557061</v>
      </c>
      <c r="F858" s="14">
        <f t="shared" si="81"/>
        <v>89.133864690499536</v>
      </c>
      <c r="G858" s="14">
        <f t="shared" si="82"/>
        <v>89.133864690499593</v>
      </c>
    </row>
    <row r="859" spans="2:7" x14ac:dyDescent="0.2">
      <c r="B859" s="14">
        <f t="shared" si="79"/>
        <v>11.133221807257595</v>
      </c>
      <c r="C859" s="14">
        <f t="shared" si="78"/>
        <v>3.8667781927424052</v>
      </c>
      <c r="D859" s="8">
        <f t="shared" si="83"/>
        <v>88.999999999999218</v>
      </c>
      <c r="E859" s="14">
        <f t="shared" si="80"/>
        <v>89.285797860002091</v>
      </c>
      <c r="F859" s="14">
        <f t="shared" si="81"/>
        <v>89.285871981879453</v>
      </c>
      <c r="G859" s="14">
        <f t="shared" si="82"/>
        <v>89.285871981879509</v>
      </c>
    </row>
    <row r="860" spans="2:7" x14ac:dyDescent="0.2">
      <c r="B860" s="14">
        <f t="shared" si="79"/>
        <v>11.13434085259262</v>
      </c>
      <c r="C860" s="14">
        <f t="shared" si="78"/>
        <v>3.8656591474073796</v>
      </c>
      <c r="D860" s="8">
        <f t="shared" si="83"/>
        <v>89.099999999999213</v>
      </c>
      <c r="E860" s="14">
        <f t="shared" si="80"/>
        <v>89.437878301064771</v>
      </c>
      <c r="F860" s="14">
        <f t="shared" si="81"/>
        <v>89.4379523698762</v>
      </c>
      <c r="G860" s="14">
        <f t="shared" si="82"/>
        <v>89.4379523698762</v>
      </c>
    </row>
    <row r="861" spans="2:7" x14ac:dyDescent="0.2">
      <c r="B861" s="14">
        <f t="shared" si="79"/>
        <v>11.135457996261618</v>
      </c>
      <c r="C861" s="14">
        <f t="shared" si="78"/>
        <v>3.8645420037383822</v>
      </c>
      <c r="D861" s="8">
        <f t="shared" si="83"/>
        <v>89.199999999999207</v>
      </c>
      <c r="E861" s="14">
        <f t="shared" si="80"/>
        <v>89.59003177344232</v>
      </c>
      <c r="F861" s="14">
        <f t="shared" si="81"/>
        <v>89.590105789255318</v>
      </c>
      <c r="G861" s="14">
        <f t="shared" si="82"/>
        <v>89.590105789255304</v>
      </c>
    </row>
    <row r="862" spans="2:7" x14ac:dyDescent="0.2">
      <c r="B862" s="14">
        <f t="shared" si="79"/>
        <v>11.136573243808931</v>
      </c>
      <c r="C862" s="14">
        <f t="shared" si="78"/>
        <v>3.8634267561910693</v>
      </c>
      <c r="D862" s="8">
        <f t="shared" si="83"/>
        <v>89.299999999999201</v>
      </c>
      <c r="E862" s="14">
        <f t="shared" si="80"/>
        <v>89.742258212054551</v>
      </c>
      <c r="F862" s="14">
        <f t="shared" si="81"/>
        <v>89.742332174910032</v>
      </c>
      <c r="G862" s="14">
        <f t="shared" si="82"/>
        <v>89.742332174909976</v>
      </c>
    </row>
    <row r="863" spans="2:7" x14ac:dyDescent="0.2">
      <c r="B863" s="14">
        <f t="shared" si="79"/>
        <v>11.13768660075614</v>
      </c>
      <c r="C863" s="14">
        <f t="shared" si="78"/>
        <v>3.8623133992438596</v>
      </c>
      <c r="D863" s="8">
        <f t="shared" si="83"/>
        <v>89.399999999999196</v>
      </c>
      <c r="E863" s="14">
        <f t="shared" si="80"/>
        <v>89.894557551708601</v>
      </c>
      <c r="F863" s="14">
        <f t="shared" si="81"/>
        <v>89.894631461860342</v>
      </c>
      <c r="G863" s="14">
        <f t="shared" si="82"/>
        <v>89.894631461860399</v>
      </c>
    </row>
    <row r="864" spans="2:7" x14ac:dyDescent="0.2">
      <c r="B864" s="14">
        <f t="shared" si="79"/>
        <v>11.138798072602208</v>
      </c>
      <c r="C864" s="14">
        <f t="shared" si="78"/>
        <v>3.8612019273977918</v>
      </c>
      <c r="D864" s="8">
        <f t="shared" si="83"/>
        <v>89.49999999999919</v>
      </c>
      <c r="E864" s="14">
        <f t="shared" si="80"/>
        <v>90.046929727751603</v>
      </c>
      <c r="F864" s="14">
        <f t="shared" si="81"/>
        <v>90.047003585253492</v>
      </c>
      <c r="G864" s="14">
        <f t="shared" si="82"/>
        <v>90.047003585253421</v>
      </c>
    </row>
    <row r="865" spans="2:7" x14ac:dyDescent="0.2">
      <c r="B865" s="14">
        <f t="shared" si="79"/>
        <v>11.139907664823562</v>
      </c>
      <c r="C865" s="14">
        <f t="shared" si="78"/>
        <v>3.8600923351764376</v>
      </c>
      <c r="D865" s="8">
        <f t="shared" si="83"/>
        <v>89.599999999999184</v>
      </c>
      <c r="E865" s="14">
        <f t="shared" si="80"/>
        <v>90.199374675581112</v>
      </c>
      <c r="F865" s="14">
        <f t="shared" si="81"/>
        <v>90.199448480362136</v>
      </c>
      <c r="G865" s="14">
        <f t="shared" si="82"/>
        <v>90.199448480362165</v>
      </c>
    </row>
    <row r="866" spans="2:7" x14ac:dyDescent="0.2">
      <c r="B866" s="14">
        <f t="shared" si="79"/>
        <v>11.141015382874251</v>
      </c>
      <c r="C866" s="14">
        <f t="shared" si="78"/>
        <v>3.8589846171257491</v>
      </c>
      <c r="D866" s="8">
        <f t="shared" si="83"/>
        <v>89.699999999999179</v>
      </c>
      <c r="E866" s="14">
        <f t="shared" si="80"/>
        <v>90.351892330218419</v>
      </c>
      <c r="F866" s="14">
        <f t="shared" si="81"/>
        <v>90.351966082585605</v>
      </c>
      <c r="G866" s="14">
        <f t="shared" si="82"/>
        <v>90.351966082585605</v>
      </c>
    </row>
    <row r="867" spans="2:7" x14ac:dyDescent="0.2">
      <c r="B867" s="14">
        <f t="shared" si="79"/>
        <v>11.142121232186037</v>
      </c>
      <c r="C867" s="14">
        <f t="shared" si="78"/>
        <v>3.857878767813963</v>
      </c>
      <c r="D867" s="8">
        <f t="shared" si="83"/>
        <v>89.799999999999173</v>
      </c>
      <c r="E867" s="14">
        <f t="shared" si="80"/>
        <v>90.504482627547048</v>
      </c>
      <c r="F867" s="14">
        <f t="shared" si="81"/>
        <v>90.504556327448384</v>
      </c>
      <c r="G867" s="14">
        <f t="shared" si="82"/>
        <v>90.504556327448356</v>
      </c>
    </row>
    <row r="868" spans="2:7" x14ac:dyDescent="0.2">
      <c r="B868" s="14">
        <f t="shared" si="79"/>
        <v>11.143225218168521</v>
      </c>
      <c r="C868" s="14">
        <f t="shared" si="78"/>
        <v>3.8567747818314793</v>
      </c>
      <c r="D868" s="8">
        <f t="shared" si="83"/>
        <v>89.899999999999167</v>
      </c>
      <c r="E868" s="14">
        <f t="shared" si="80"/>
        <v>90.657145503021923</v>
      </c>
      <c r="F868" s="14">
        <f t="shared" si="81"/>
        <v>90.657219150600085</v>
      </c>
      <c r="G868" s="14">
        <f t="shared" si="82"/>
        <v>90.657219150600113</v>
      </c>
    </row>
    <row r="869" spans="2:7" x14ac:dyDescent="0.2">
      <c r="B869" s="14">
        <f t="shared" si="79"/>
        <v>11.144327346209264</v>
      </c>
      <c r="C869" s="14">
        <f t="shared" si="78"/>
        <v>3.8556726537907355</v>
      </c>
      <c r="D869" s="8">
        <f t="shared" si="83"/>
        <v>89.999999999999162</v>
      </c>
      <c r="E869" s="14">
        <f t="shared" si="80"/>
        <v>90.809880892476954</v>
      </c>
      <c r="F869" s="14">
        <f t="shared" si="81"/>
        <v>90.809954487815318</v>
      </c>
      <c r="G869" s="14">
        <f t="shared" si="82"/>
        <v>90.809954487815304</v>
      </c>
    </row>
    <row r="870" spans="2:7" x14ac:dyDescent="0.2">
      <c r="B870" s="14">
        <f t="shared" si="79"/>
        <v>11.145427621673893</v>
      </c>
      <c r="C870" s="14">
        <f t="shared" si="78"/>
        <v>3.8545723783261074</v>
      </c>
      <c r="D870" s="8">
        <f t="shared" si="83"/>
        <v>90.099999999999156</v>
      </c>
      <c r="E870" s="14">
        <f t="shared" si="80"/>
        <v>90.962688731847038</v>
      </c>
      <c r="F870" s="14">
        <f t="shared" si="81"/>
        <v>90.962762274992741</v>
      </c>
      <c r="G870" s="14">
        <f t="shared" si="82"/>
        <v>90.962762274992755</v>
      </c>
    </row>
    <row r="871" spans="2:7" x14ac:dyDescent="0.2">
      <c r="B871" s="14">
        <f t="shared" si="79"/>
        <v>11.146526049906223</v>
      </c>
      <c r="C871" s="14">
        <f t="shared" si="78"/>
        <v>3.8534739500937771</v>
      </c>
      <c r="D871" s="8">
        <f t="shared" si="83"/>
        <v>90.19999999999915</v>
      </c>
      <c r="E871" s="14">
        <f t="shared" si="80"/>
        <v>91.115568956958739</v>
      </c>
      <c r="F871" s="14">
        <f t="shared" si="81"/>
        <v>91.115642448155413</v>
      </c>
      <c r="G871" s="14">
        <f t="shared" si="82"/>
        <v>91.115642448155455</v>
      </c>
    </row>
    <row r="872" spans="2:7" x14ac:dyDescent="0.2">
      <c r="B872" s="14">
        <f t="shared" si="79"/>
        <v>11.14762263622837</v>
      </c>
      <c r="C872" s="14">
        <f t="shared" si="78"/>
        <v>3.8523773637716303</v>
      </c>
      <c r="D872" s="8">
        <f t="shared" si="83"/>
        <v>90.299999999999145</v>
      </c>
      <c r="E872" s="14">
        <f t="shared" si="80"/>
        <v>91.268521504204912</v>
      </c>
      <c r="F872" s="14">
        <f t="shared" si="81"/>
        <v>91.268594943449855</v>
      </c>
      <c r="G872" s="14">
        <f t="shared" si="82"/>
        <v>91.268594943449813</v>
      </c>
    </row>
    <row r="873" spans="2:7" x14ac:dyDescent="0.2">
      <c r="B873" s="14">
        <f t="shared" si="79"/>
        <v>11.148717385940857</v>
      </c>
      <c r="C873" s="14">
        <f t="shared" si="78"/>
        <v>3.8512826140591425</v>
      </c>
      <c r="D873" s="8">
        <f t="shared" si="83"/>
        <v>90.399999999999139</v>
      </c>
      <c r="E873" s="14">
        <f t="shared" si="80"/>
        <v>91.421546309971589</v>
      </c>
      <c r="F873" s="14">
        <f t="shared" si="81"/>
        <v>91.421619697145744</v>
      </c>
      <c r="G873" s="14">
        <f t="shared" si="82"/>
        <v>91.421619697145672</v>
      </c>
    </row>
    <row r="874" spans="2:7" x14ac:dyDescent="0.2">
      <c r="B874" s="14">
        <f t="shared" si="79"/>
        <v>11.149810304322736</v>
      </c>
      <c r="C874" s="14">
        <f t="shared" si="78"/>
        <v>3.8501896956772637</v>
      </c>
      <c r="D874" s="8">
        <f t="shared" si="83"/>
        <v>90.499999999999133</v>
      </c>
      <c r="E874" s="14">
        <f t="shared" si="80"/>
        <v>91.574643310202561</v>
      </c>
      <c r="F874" s="14">
        <f t="shared" si="81"/>
        <v>91.574716645635689</v>
      </c>
      <c r="G874" s="14">
        <f t="shared" si="82"/>
        <v>91.57471664563576</v>
      </c>
    </row>
    <row r="875" spans="2:7" x14ac:dyDescent="0.2">
      <c r="B875" s="14">
        <f t="shared" si="79"/>
        <v>11.150901396631705</v>
      </c>
      <c r="C875" s="14">
        <f t="shared" si="78"/>
        <v>3.8490986033682955</v>
      </c>
      <c r="D875" s="8">
        <f t="shared" si="83"/>
        <v>90.599999999999127</v>
      </c>
      <c r="E875" s="14">
        <f t="shared" si="80"/>
        <v>91.727812441599923</v>
      </c>
      <c r="F875" s="14">
        <f t="shared" si="81"/>
        <v>91.7278857254353</v>
      </c>
      <c r="G875" s="14">
        <f t="shared" si="82"/>
        <v>91.727885725435286</v>
      </c>
    </row>
    <row r="876" spans="2:7" x14ac:dyDescent="0.2">
      <c r="B876" s="14">
        <f t="shared" si="79"/>
        <v>11.151990668104194</v>
      </c>
      <c r="C876" s="14">
        <f t="shared" si="78"/>
        <v>3.8480093318958062</v>
      </c>
      <c r="D876" s="8">
        <f t="shared" si="83"/>
        <v>90.699999999999122</v>
      </c>
      <c r="E876" s="14">
        <f t="shared" si="80"/>
        <v>91.881053640974613</v>
      </c>
      <c r="F876" s="14">
        <f t="shared" si="81"/>
        <v>91.881126873181699</v>
      </c>
      <c r="G876" s="14">
        <f t="shared" si="82"/>
        <v>91.881126873181714</v>
      </c>
    </row>
    <row r="877" spans="2:7" x14ac:dyDescent="0.2">
      <c r="B877" s="14">
        <f t="shared" si="79"/>
        <v>11.153078123955506</v>
      </c>
      <c r="C877" s="14">
        <f t="shared" si="78"/>
        <v>3.8469218760444939</v>
      </c>
      <c r="D877" s="8">
        <f t="shared" si="83"/>
        <v>90.799999999999116</v>
      </c>
      <c r="E877" s="14">
        <f t="shared" si="80"/>
        <v>92.034366845035748</v>
      </c>
      <c r="F877" s="14">
        <f t="shared" si="81"/>
        <v>92.034440025634311</v>
      </c>
      <c r="G877" s="14">
        <f t="shared" si="82"/>
        <v>92.034440025634225</v>
      </c>
    </row>
    <row r="878" spans="2:7" x14ac:dyDescent="0.2">
      <c r="B878" s="14">
        <f t="shared" si="79"/>
        <v>11.154163769379903</v>
      </c>
      <c r="C878" s="14">
        <f t="shared" si="78"/>
        <v>3.8458362306200975</v>
      </c>
      <c r="D878" s="8">
        <f t="shared" si="83"/>
        <v>90.89999999999911</v>
      </c>
      <c r="E878" s="14">
        <f t="shared" si="80"/>
        <v>92.187751990629124</v>
      </c>
      <c r="F878" s="14">
        <f t="shared" si="81"/>
        <v>92.187825119673519</v>
      </c>
      <c r="G878" s="14">
        <f t="shared" si="82"/>
        <v>92.187825119673548</v>
      </c>
    </row>
    <row r="879" spans="2:7" x14ac:dyDescent="0.2">
      <c r="B879" s="14">
        <f t="shared" si="79"/>
        <v>11.155247609550733</v>
      </c>
      <c r="C879" s="14">
        <f t="shared" si="78"/>
        <v>3.8447523904492673</v>
      </c>
      <c r="D879" s="8">
        <f t="shared" si="83"/>
        <v>90.999999999999105</v>
      </c>
      <c r="E879" s="14">
        <f t="shared" si="80"/>
        <v>92.341209014450712</v>
      </c>
      <c r="F879" s="14">
        <f t="shared" si="81"/>
        <v>92.341282092301356</v>
      </c>
      <c r="G879" s="14">
        <f t="shared" si="82"/>
        <v>92.341282092301398</v>
      </c>
    </row>
    <row r="880" spans="2:7" x14ac:dyDescent="0.2">
      <c r="B880" s="14">
        <f t="shared" si="79"/>
        <v>11.156329649620529</v>
      </c>
      <c r="C880" s="14">
        <f t="shared" si="78"/>
        <v>3.8436703503794707</v>
      </c>
      <c r="D880" s="8">
        <f t="shared" si="83"/>
        <v>91.099999999999099</v>
      </c>
      <c r="E880" s="14">
        <f t="shared" si="80"/>
        <v>92.494737854046804</v>
      </c>
      <c r="F880" s="14">
        <f t="shared" si="81"/>
        <v>92.494810880640344</v>
      </c>
      <c r="G880" s="14">
        <f t="shared" si="82"/>
        <v>92.494810880640316</v>
      </c>
    </row>
    <row r="881" spans="2:7" x14ac:dyDescent="0.2">
      <c r="B881" s="14">
        <f t="shared" si="79"/>
        <v>11.157409894721113</v>
      </c>
      <c r="C881" s="14">
        <f t="shared" si="78"/>
        <v>3.8425901052788873</v>
      </c>
      <c r="D881" s="8">
        <f t="shared" si="83"/>
        <v>91.199999999999093</v>
      </c>
      <c r="E881" s="14">
        <f t="shared" si="80"/>
        <v>92.648338446623583</v>
      </c>
      <c r="F881" s="14">
        <f t="shared" si="81"/>
        <v>92.648411421933119</v>
      </c>
      <c r="G881" s="14">
        <f t="shared" si="82"/>
        <v>92.648411421933119</v>
      </c>
    </row>
    <row r="882" spans="2:7" x14ac:dyDescent="0.2">
      <c r="B882" s="14">
        <f t="shared" si="79"/>
        <v>11.158488349963712</v>
      </c>
      <c r="C882" s="14">
        <f t="shared" si="78"/>
        <v>3.8415116500362885</v>
      </c>
      <c r="D882" s="8">
        <f t="shared" si="83"/>
        <v>91.299999999999088</v>
      </c>
      <c r="E882" s="14">
        <f t="shared" si="80"/>
        <v>92.802010729286636</v>
      </c>
      <c r="F882" s="14">
        <f t="shared" si="81"/>
        <v>92.802083653542667</v>
      </c>
      <c r="G882" s="14">
        <f t="shared" si="82"/>
        <v>92.802083653542681</v>
      </c>
    </row>
    <row r="883" spans="2:7" x14ac:dyDescent="0.2">
      <c r="B883" s="14">
        <f t="shared" si="79"/>
        <v>11.159565020439061</v>
      </c>
      <c r="C883" s="14">
        <f t="shared" si="78"/>
        <v>3.8404349795609392</v>
      </c>
      <c r="D883" s="8">
        <f t="shared" si="83"/>
        <v>91.399999999999082</v>
      </c>
      <c r="E883" s="14">
        <f t="shared" si="80"/>
        <v>92.955754639669536</v>
      </c>
      <c r="F883" s="14">
        <f t="shared" si="81"/>
        <v>92.955827512951544</v>
      </c>
      <c r="G883" s="14">
        <f t="shared" si="82"/>
        <v>92.955827512951544</v>
      </c>
    </row>
    <row r="884" spans="2:7" x14ac:dyDescent="0.2">
      <c r="B884" s="14">
        <f t="shared" si="79"/>
        <v>11.160639911217507</v>
      </c>
      <c r="C884" s="14">
        <f t="shared" si="78"/>
        <v>3.8393600887824935</v>
      </c>
      <c r="D884" s="8">
        <f t="shared" si="83"/>
        <v>91.499999999999076</v>
      </c>
      <c r="E884" s="14">
        <f t="shared" si="80"/>
        <v>93.109570115420439</v>
      </c>
      <c r="F884" s="14">
        <f t="shared" si="81"/>
        <v>93.109642937761521</v>
      </c>
      <c r="G884" s="14">
        <f t="shared" si="82"/>
        <v>93.109642937761507</v>
      </c>
    </row>
    <row r="885" spans="2:7" x14ac:dyDescent="0.2">
      <c r="B885" s="14">
        <f t="shared" si="79"/>
        <v>11.161713027349114</v>
      </c>
      <c r="C885" s="14">
        <f t="shared" si="78"/>
        <v>3.8382869726508861</v>
      </c>
      <c r="D885" s="8">
        <f t="shared" si="83"/>
        <v>91.599999999999071</v>
      </c>
      <c r="E885" s="14">
        <f t="shared" si="80"/>
        <v>93.26345709429674</v>
      </c>
      <c r="F885" s="14">
        <f t="shared" si="81"/>
        <v>93.263529865693357</v>
      </c>
      <c r="G885" s="14">
        <f t="shared" si="82"/>
        <v>93.263529865693329</v>
      </c>
    </row>
    <row r="886" spans="2:7" x14ac:dyDescent="0.2">
      <c r="B886" s="14">
        <f t="shared" si="79"/>
        <v>11.162784373863769</v>
      </c>
      <c r="C886" s="14">
        <f t="shared" si="78"/>
        <v>3.8372156261362314</v>
      </c>
      <c r="D886" s="8">
        <f t="shared" si="83"/>
        <v>91.699999999999065</v>
      </c>
      <c r="E886" s="14">
        <f t="shared" si="80"/>
        <v>93.417415513952179</v>
      </c>
      <c r="F886" s="14">
        <f t="shared" si="81"/>
        <v>93.417488234586301</v>
      </c>
      <c r="G886" s="14">
        <f t="shared" si="82"/>
        <v>93.417488234586372</v>
      </c>
    </row>
    <row r="887" spans="2:7" x14ac:dyDescent="0.2">
      <c r="B887" s="14">
        <f t="shared" si="79"/>
        <v>11.163853955771289</v>
      </c>
      <c r="C887" s="14">
        <f t="shared" si="78"/>
        <v>3.8361460442287107</v>
      </c>
      <c r="D887" s="8">
        <f t="shared" si="83"/>
        <v>91.799999999999059</v>
      </c>
      <c r="E887" s="14">
        <f t="shared" si="80"/>
        <v>93.57144531226443</v>
      </c>
      <c r="F887" s="14">
        <f t="shared" si="81"/>
        <v>93.571517982398191</v>
      </c>
      <c r="G887" s="14">
        <f t="shared" si="82"/>
        <v>93.571517982398248</v>
      </c>
    </row>
    <row r="888" spans="2:7" x14ac:dyDescent="0.2">
      <c r="B888" s="14">
        <f t="shared" si="79"/>
        <v>11.164921778061519</v>
      </c>
      <c r="C888" s="14">
        <f t="shared" si="78"/>
        <v>3.8350782219384811</v>
      </c>
      <c r="D888" s="8">
        <f t="shared" si="83"/>
        <v>91.899999999999054</v>
      </c>
      <c r="E888" s="14">
        <f t="shared" si="80"/>
        <v>93.725546427669741</v>
      </c>
      <c r="F888" s="14">
        <f t="shared" si="81"/>
        <v>93.725619047204503</v>
      </c>
      <c r="G888" s="14">
        <f t="shared" si="82"/>
        <v>93.725619047204447</v>
      </c>
    </row>
    <row r="889" spans="2:7" x14ac:dyDescent="0.2">
      <c r="B889" s="14">
        <f t="shared" si="79"/>
        <v>11.165987845704429</v>
      </c>
      <c r="C889" s="14">
        <f t="shared" si="78"/>
        <v>3.8340121542955714</v>
      </c>
      <c r="D889" s="8">
        <f t="shared" si="83"/>
        <v>91.999999999999048</v>
      </c>
      <c r="E889" s="14">
        <f t="shared" si="80"/>
        <v>93.879718798330316</v>
      </c>
      <c r="F889" s="14">
        <f t="shared" si="81"/>
        <v>93.879791367198067</v>
      </c>
      <c r="G889" s="14">
        <f t="shared" si="82"/>
        <v>93.879791367198038</v>
      </c>
    </row>
    <row r="890" spans="2:7" x14ac:dyDescent="0.2">
      <c r="B890" s="14">
        <f t="shared" si="79"/>
        <v>11.167052163650228</v>
      </c>
      <c r="C890" s="14">
        <f t="shared" si="78"/>
        <v>3.8329478363497724</v>
      </c>
      <c r="D890" s="8">
        <f t="shared" si="83"/>
        <v>92.099999999999042</v>
      </c>
      <c r="E890" s="14">
        <f t="shared" si="80"/>
        <v>94.033962362228053</v>
      </c>
      <c r="F890" s="14">
        <f t="shared" si="81"/>
        <v>94.034034880689205</v>
      </c>
      <c r="G890" s="14">
        <f t="shared" si="82"/>
        <v>94.034034880689262</v>
      </c>
    </row>
    <row r="891" spans="2:7" x14ac:dyDescent="0.2">
      <c r="B891" s="14">
        <f t="shared" si="79"/>
        <v>11.168114736829462</v>
      </c>
      <c r="C891" s="14">
        <f t="shared" si="78"/>
        <v>3.8318852631705376</v>
      </c>
      <c r="D891" s="8">
        <f t="shared" si="83"/>
        <v>92.199999999999037</v>
      </c>
      <c r="E891" s="14">
        <f t="shared" si="80"/>
        <v>94.188277057891071</v>
      </c>
      <c r="F891" s="14">
        <f t="shared" si="81"/>
        <v>94.188349526105156</v>
      </c>
      <c r="G891" s="14">
        <f t="shared" si="82"/>
        <v>94.188349526105213</v>
      </c>
    </row>
    <row r="892" spans="2:7" x14ac:dyDescent="0.2">
      <c r="B892" s="14">
        <f t="shared" si="79"/>
        <v>11.16917557015311</v>
      </c>
      <c r="C892" s="14">
        <f t="shared" si="78"/>
        <v>3.8308244298468903</v>
      </c>
      <c r="D892" s="8">
        <f t="shared" si="83"/>
        <v>92.299999999999031</v>
      </c>
      <c r="E892" s="14">
        <f t="shared" si="80"/>
        <v>94.342662824028238</v>
      </c>
      <c r="F892" s="14">
        <f t="shared" si="81"/>
        <v>94.342735241989502</v>
      </c>
      <c r="G892" s="14">
        <f t="shared" si="82"/>
        <v>94.342735241989516</v>
      </c>
    </row>
    <row r="893" spans="2:7" x14ac:dyDescent="0.2">
      <c r="B893" s="14">
        <f t="shared" si="79"/>
        <v>11.170234668512682</v>
      </c>
      <c r="C893" s="14">
        <f t="shared" si="78"/>
        <v>3.8297653314873177</v>
      </c>
      <c r="D893" s="8">
        <f t="shared" si="83"/>
        <v>92.399999999999025</v>
      </c>
      <c r="E893" s="14">
        <f t="shared" si="80"/>
        <v>94.4971195992361</v>
      </c>
      <c r="F893" s="14">
        <f t="shared" si="81"/>
        <v>94.497191967001996</v>
      </c>
      <c r="G893" s="14">
        <f t="shared" si="82"/>
        <v>94.497191967002024</v>
      </c>
    </row>
    <row r="894" spans="2:7" x14ac:dyDescent="0.2">
      <c r="B894" s="14">
        <f t="shared" si="79"/>
        <v>11.171292036780327</v>
      </c>
      <c r="C894" s="14">
        <f t="shared" si="78"/>
        <v>3.8287079632196725</v>
      </c>
      <c r="D894" s="8">
        <f t="shared" si="83"/>
        <v>92.499999999999019</v>
      </c>
      <c r="E894" s="14">
        <f t="shared" si="80"/>
        <v>94.651647322177965</v>
      </c>
      <c r="F894" s="14">
        <f t="shared" si="81"/>
        <v>94.651719639918241</v>
      </c>
      <c r="G894" s="14">
        <f t="shared" si="82"/>
        <v>94.651719639918326</v>
      </c>
    </row>
    <row r="895" spans="2:7" x14ac:dyDescent="0.2">
      <c r="B895" s="14">
        <f t="shared" si="79"/>
        <v>11.172347679808928</v>
      </c>
      <c r="C895" s="14">
        <f t="shared" si="78"/>
        <v>3.8276523201910724</v>
      </c>
      <c r="D895" s="8">
        <f t="shared" si="83"/>
        <v>92.599999999999014</v>
      </c>
      <c r="E895" s="14">
        <f t="shared" si="80"/>
        <v>94.80624593192664</v>
      </c>
      <c r="F895" s="14">
        <f t="shared" si="81"/>
        <v>94.806318199629516</v>
      </c>
      <c r="G895" s="14">
        <f t="shared" si="82"/>
        <v>94.80631819962953</v>
      </c>
    </row>
    <row r="896" spans="2:7" x14ac:dyDescent="0.2">
      <c r="B896" s="14">
        <f t="shared" si="79"/>
        <v>11.17340160243219</v>
      </c>
      <c r="C896" s="14">
        <f t="shared" si="78"/>
        <v>3.8265983975678104</v>
      </c>
      <c r="D896" s="8">
        <f t="shared" si="83"/>
        <v>92.699999999999008</v>
      </c>
      <c r="E896" s="14">
        <f t="shared" si="80"/>
        <v>94.96091536735311</v>
      </c>
      <c r="F896" s="14">
        <f t="shared" si="81"/>
        <v>94.960987585141879</v>
      </c>
      <c r="G896" s="14">
        <f t="shared" si="82"/>
        <v>94.96098758514195</v>
      </c>
    </row>
    <row r="897" spans="2:7" x14ac:dyDescent="0.2">
      <c r="B897" s="14">
        <f t="shared" si="79"/>
        <v>11.174453809464758</v>
      </c>
      <c r="C897" s="14">
        <f t="shared" si="78"/>
        <v>3.8255461905352419</v>
      </c>
      <c r="D897" s="8">
        <f t="shared" si="83"/>
        <v>92.799999999999002</v>
      </c>
      <c r="E897" s="14">
        <f t="shared" si="80"/>
        <v>95.115655567548316</v>
      </c>
      <c r="F897" s="14">
        <f t="shared" si="81"/>
        <v>95.115727735576641</v>
      </c>
      <c r="G897" s="14">
        <f t="shared" si="82"/>
        <v>95.115727735576669</v>
      </c>
    </row>
    <row r="898" spans="2:7" x14ac:dyDescent="0.2">
      <c r="B898" s="14">
        <f t="shared" si="79"/>
        <v>11.175504305702294</v>
      </c>
      <c r="C898" s="14">
        <f t="shared" si="78"/>
        <v>3.8244956942977062</v>
      </c>
      <c r="D898" s="8">
        <f t="shared" si="83"/>
        <v>92.899999999998997</v>
      </c>
      <c r="E898" s="14">
        <f t="shared" si="80"/>
        <v>95.270466472011691</v>
      </c>
      <c r="F898" s="14">
        <f t="shared" si="81"/>
        <v>95.270538590169281</v>
      </c>
      <c r="G898" s="14">
        <f t="shared" si="82"/>
        <v>95.270538590169281</v>
      </c>
    </row>
    <row r="899" spans="2:7" x14ac:dyDescent="0.2">
      <c r="B899" s="14">
        <f t="shared" si="79"/>
        <v>11.176553095921582</v>
      </c>
      <c r="C899" s="14">
        <f t="shared" si="78"/>
        <v>3.823446904078418</v>
      </c>
      <c r="D899" s="8">
        <f t="shared" si="83"/>
        <v>92.999999999998991</v>
      </c>
      <c r="E899" s="14">
        <f t="shared" si="80"/>
        <v>95.425348019711592</v>
      </c>
      <c r="F899" s="14">
        <f t="shared" si="81"/>
        <v>95.425420088269448</v>
      </c>
      <c r="G899" s="14">
        <f t="shared" si="82"/>
        <v>95.425420088269533</v>
      </c>
    </row>
    <row r="900" spans="2:7" x14ac:dyDescent="0.2">
      <c r="B900" s="14">
        <f t="shared" si="79"/>
        <v>11.17760018488063</v>
      </c>
      <c r="C900" s="14">
        <f t="shared" si="78"/>
        <v>3.8223998151193701</v>
      </c>
      <c r="D900" s="8">
        <f t="shared" si="83"/>
        <v>93.099999999998985</v>
      </c>
      <c r="E900" s="14">
        <f t="shared" si="80"/>
        <v>95.580300150318436</v>
      </c>
      <c r="F900" s="14">
        <f t="shared" si="81"/>
        <v>95.580372169340976</v>
      </c>
      <c r="G900" s="14">
        <f t="shared" si="82"/>
        <v>95.58037216934099</v>
      </c>
    </row>
    <row r="901" spans="2:7" x14ac:dyDescent="0.2">
      <c r="B901" s="14">
        <f t="shared" si="79"/>
        <v>11.178645577318747</v>
      </c>
      <c r="C901" s="14">
        <f t="shared" si="78"/>
        <v>3.821354422681253</v>
      </c>
      <c r="D901" s="8">
        <f t="shared" si="83"/>
        <v>93.19999999999898</v>
      </c>
      <c r="E901" s="14">
        <f t="shared" si="80"/>
        <v>95.735322803508851</v>
      </c>
      <c r="F901" s="14">
        <f t="shared" si="81"/>
        <v>95.735394772960646</v>
      </c>
      <c r="G901" s="14">
        <f t="shared" si="82"/>
        <v>95.735394772960646</v>
      </c>
    </row>
    <row r="902" spans="2:7" x14ac:dyDescent="0.2">
      <c r="B902" s="14">
        <f t="shared" si="79"/>
        <v>11.179689277956657</v>
      </c>
      <c r="C902" s="14">
        <f t="shared" si="78"/>
        <v>3.8203107220433434</v>
      </c>
      <c r="D902" s="8">
        <f t="shared" si="83"/>
        <v>93.299999999998974</v>
      </c>
      <c r="E902" s="14">
        <f t="shared" si="80"/>
        <v>95.890415918746356</v>
      </c>
      <c r="F902" s="14">
        <f t="shared" si="81"/>
        <v>95.890487838818729</v>
      </c>
      <c r="G902" s="14">
        <f t="shared" si="82"/>
        <v>95.890487838818757</v>
      </c>
    </row>
    <row r="903" spans="2:7" x14ac:dyDescent="0.2">
      <c r="B903" s="14">
        <f t="shared" si="79"/>
        <v>11.18073129149658</v>
      </c>
      <c r="C903" s="14">
        <f t="shared" si="78"/>
        <v>3.8192687085034205</v>
      </c>
      <c r="D903" s="8">
        <f t="shared" si="83"/>
        <v>93.399999999998968</v>
      </c>
      <c r="E903" s="14">
        <f t="shared" si="80"/>
        <v>96.045579435959695</v>
      </c>
      <c r="F903" s="14">
        <f t="shared" si="81"/>
        <v>96.045651306718327</v>
      </c>
      <c r="G903" s="14">
        <f t="shared" si="82"/>
        <v>96.045651306718327</v>
      </c>
    </row>
    <row r="904" spans="2:7" x14ac:dyDescent="0.2">
      <c r="B904" s="14">
        <f t="shared" si="79"/>
        <v>11.18177162262233</v>
      </c>
      <c r="C904" s="14">
        <f t="shared" si="78"/>
        <v>3.81822837737767</v>
      </c>
      <c r="D904" s="8">
        <f t="shared" si="83"/>
        <v>93.499999999998963</v>
      </c>
      <c r="E904" s="14">
        <f t="shared" si="80"/>
        <v>96.200813295083861</v>
      </c>
      <c r="F904" s="14">
        <f t="shared" si="81"/>
        <v>96.200885116574938</v>
      </c>
      <c r="G904" s="14">
        <f t="shared" si="82"/>
        <v>96.200885116574895</v>
      </c>
    </row>
    <row r="905" spans="2:7" x14ac:dyDescent="0.2">
      <c r="B905" s="14">
        <f t="shared" si="79"/>
        <v>11.182810275999408</v>
      </c>
      <c r="C905" s="14">
        <f t="shared" si="78"/>
        <v>3.8171897240005919</v>
      </c>
      <c r="D905" s="8">
        <f t="shared" si="83"/>
        <v>93.599999999998957</v>
      </c>
      <c r="E905" s="14">
        <f t="shared" si="80"/>
        <v>96.356117436169896</v>
      </c>
      <c r="F905" s="14">
        <f t="shared" si="81"/>
        <v>96.356189208416211</v>
      </c>
      <c r="G905" s="14">
        <f t="shared" si="82"/>
        <v>96.356189208416183</v>
      </c>
    </row>
    <row r="906" spans="2:7" x14ac:dyDescent="0.2">
      <c r="B906" s="14">
        <f t="shared" si="79"/>
        <v>11.183847256275092</v>
      </c>
      <c r="C906" s="14">
        <f t="shared" si="78"/>
        <v>3.8161527437249081</v>
      </c>
      <c r="D906" s="8">
        <f t="shared" si="83"/>
        <v>93.699999999998951</v>
      </c>
      <c r="E906" s="14">
        <f t="shared" si="80"/>
        <v>96.511491799248986</v>
      </c>
      <c r="F906" s="14">
        <f t="shared" si="81"/>
        <v>96.511563522381721</v>
      </c>
      <c r="G906" s="14">
        <f t="shared" si="82"/>
        <v>96.511563522381707</v>
      </c>
    </row>
    <row r="907" spans="2:7" x14ac:dyDescent="0.2">
      <c r="B907" s="14">
        <f t="shared" si="79"/>
        <v>11.184882568078532</v>
      </c>
      <c r="C907" s="14">
        <f t="shared" si="78"/>
        <v>3.8151174319214682</v>
      </c>
      <c r="D907" s="8">
        <f t="shared" si="83"/>
        <v>93.799999999998946</v>
      </c>
      <c r="E907" s="14">
        <f t="shared" si="80"/>
        <v>96.66693632460931</v>
      </c>
      <c r="F907" s="14">
        <f t="shared" si="81"/>
        <v>96.667007998722582</v>
      </c>
      <c r="G907" s="14">
        <f t="shared" si="82"/>
        <v>96.667007998722596</v>
      </c>
    </row>
    <row r="908" spans="2:7" x14ac:dyDescent="0.2">
      <c r="B908" s="14">
        <f t="shared" si="79"/>
        <v>11.185916216020836</v>
      </c>
      <c r="C908" s="14">
        <f t="shared" si="78"/>
        <v>3.8140837839791644</v>
      </c>
      <c r="D908" s="8">
        <f t="shared" si="83"/>
        <v>93.89999999999894</v>
      </c>
      <c r="E908" s="14">
        <f t="shared" si="80"/>
        <v>96.822450952579118</v>
      </c>
      <c r="F908" s="14">
        <f t="shared" si="81"/>
        <v>96.822522577801095</v>
      </c>
      <c r="G908" s="14">
        <f t="shared" si="82"/>
        <v>96.822522577801138</v>
      </c>
    </row>
    <row r="909" spans="2:7" x14ac:dyDescent="0.2">
      <c r="B909" s="14">
        <f t="shared" si="79"/>
        <v>11.186948204695167</v>
      </c>
      <c r="C909" s="14">
        <f t="shared" si="78"/>
        <v>3.8130517953048333</v>
      </c>
      <c r="D909" s="8">
        <f t="shared" si="83"/>
        <v>93.999999999998934</v>
      </c>
      <c r="E909" s="14">
        <f t="shared" si="80"/>
        <v>96.978035623723528</v>
      </c>
      <c r="F909" s="14">
        <f t="shared" si="81"/>
        <v>96.978107200090506</v>
      </c>
      <c r="G909" s="14">
        <f t="shared" si="82"/>
        <v>96.97810720009052</v>
      </c>
    </row>
    <row r="910" spans="2:7" x14ac:dyDescent="0.2">
      <c r="B910" s="14">
        <f t="shared" si="79"/>
        <v>11.187978538676823</v>
      </c>
      <c r="C910" s="14">
        <f t="shared" si="78"/>
        <v>3.8120214613231767</v>
      </c>
      <c r="D910" s="8">
        <f t="shared" si="83"/>
        <v>94.099999999998929</v>
      </c>
      <c r="E910" s="14">
        <f t="shared" si="80"/>
        <v>97.133690278542886</v>
      </c>
      <c r="F910" s="14">
        <f t="shared" si="81"/>
        <v>97.133761806174391</v>
      </c>
      <c r="G910" s="14">
        <f t="shared" si="82"/>
        <v>97.133761806174462</v>
      </c>
    </row>
    <row r="911" spans="2:7" x14ac:dyDescent="0.2">
      <c r="B911" s="14">
        <f t="shared" si="79"/>
        <v>11.189007222523342</v>
      </c>
      <c r="C911" s="14">
        <f t="shared" si="78"/>
        <v>3.8109927774766579</v>
      </c>
      <c r="D911" s="8">
        <f t="shared" si="83"/>
        <v>94.199999999998923</v>
      </c>
      <c r="E911" s="14">
        <f t="shared" si="80"/>
        <v>97.289414857753997</v>
      </c>
      <c r="F911" s="14">
        <f t="shared" si="81"/>
        <v>97.28948633674699</v>
      </c>
      <c r="G911" s="14">
        <f t="shared" si="82"/>
        <v>97.289486336746961</v>
      </c>
    </row>
    <row r="912" spans="2:7" x14ac:dyDescent="0.2">
      <c r="B912" s="14">
        <f t="shared" si="79"/>
        <v>11.190034260774571</v>
      </c>
      <c r="C912" s="14">
        <f t="shared" si="78"/>
        <v>3.8099657392254294</v>
      </c>
      <c r="D912" s="8">
        <f t="shared" si="83"/>
        <v>94.299999999998917</v>
      </c>
      <c r="E912" s="14">
        <f t="shared" si="80"/>
        <v>97.445209302408614</v>
      </c>
      <c r="F912" s="14">
        <f t="shared" si="81"/>
        <v>97.445280732612005</v>
      </c>
      <c r="G912" s="14">
        <f t="shared" si="82"/>
        <v>97.445280732611991</v>
      </c>
    </row>
    <row r="913" spans="2:7" x14ac:dyDescent="0.2">
      <c r="B913" s="14">
        <f t="shared" si="79"/>
        <v>11.191059657952767</v>
      </c>
      <c r="C913" s="14">
        <f t="shared" si="78"/>
        <v>3.808940342047233</v>
      </c>
      <c r="D913" s="8">
        <f t="shared" si="83"/>
        <v>94.399999999998911</v>
      </c>
      <c r="E913" s="14">
        <f t="shared" si="80"/>
        <v>97.601073552999182</v>
      </c>
      <c r="F913" s="14">
        <f t="shared" si="81"/>
        <v>97.601144934682935</v>
      </c>
      <c r="G913" s="14">
        <f t="shared" si="82"/>
        <v>97.601144934682992</v>
      </c>
    </row>
    <row r="914" spans="2:7" x14ac:dyDescent="0.2">
      <c r="B914" s="14">
        <f t="shared" si="79"/>
        <v>11.192083418562691</v>
      </c>
      <c r="C914" s="14">
        <f t="shared" si="78"/>
        <v>3.8079165814373095</v>
      </c>
      <c r="D914" s="8">
        <f t="shared" si="83"/>
        <v>94.499999999998906</v>
      </c>
      <c r="E914" s="14">
        <f t="shared" si="80"/>
        <v>97.757007550669826</v>
      </c>
      <c r="F914" s="14">
        <f t="shared" si="81"/>
        <v>97.757078883982857</v>
      </c>
      <c r="G914" s="14">
        <f t="shared" si="82"/>
        <v>97.757078883982928</v>
      </c>
    </row>
    <row r="915" spans="2:7" x14ac:dyDescent="0.2">
      <c r="B915" s="14">
        <f t="shared" si="79"/>
        <v>11.193105547091674</v>
      </c>
      <c r="C915" s="14">
        <f t="shared" ref="C915:C969" si="84">$C$14-B915</f>
        <v>3.8068944529083257</v>
      </c>
      <c r="D915" s="8">
        <f t="shared" si="83"/>
        <v>94.5999999999989</v>
      </c>
      <c r="E915" s="14">
        <f t="shared" si="80"/>
        <v>97.913011236662754</v>
      </c>
      <c r="F915" s="14">
        <f t="shared" si="81"/>
        <v>97.913082521643418</v>
      </c>
      <c r="G915" s="14">
        <f t="shared" si="82"/>
        <v>97.913082521643489</v>
      </c>
    </row>
    <row r="916" spans="2:7" x14ac:dyDescent="0.2">
      <c r="B916" s="14">
        <f t="shared" ref="B916:B969" si="85">$C$14*(LN(D916)-LN($F$14))/(1+LN(D916)-LN($F$14))</f>
        <v>11.194126048009727</v>
      </c>
      <c r="C916" s="14">
        <f t="shared" si="84"/>
        <v>3.8058739519902733</v>
      </c>
      <c r="D916" s="8">
        <f t="shared" si="83"/>
        <v>94.699999999998894</v>
      </c>
      <c r="E916" s="14">
        <f t="shared" ref="E916:E968" si="86">(D917-D915)/(B917-B915)</f>
        <v>98.0690845522671</v>
      </c>
      <c r="F916" s="14">
        <f t="shared" ref="F916:F969" si="87">D916*$C$14/(C916*C916)</f>
        <v>98.069155788905277</v>
      </c>
      <c r="G916" s="14">
        <f t="shared" ref="G916:G969" si="88">D916*(1+LN(D916/$F$14))*(1+LN(D916/$F$14))/$C$14</f>
        <v>98.069155788905249</v>
      </c>
    </row>
    <row r="917" spans="2:7" x14ac:dyDescent="0.2">
      <c r="B917" s="14">
        <f t="shared" si="85"/>
        <v>11.195144925769604</v>
      </c>
      <c r="C917" s="14">
        <f t="shared" si="84"/>
        <v>3.8048550742303959</v>
      </c>
      <c r="D917" s="8">
        <f t="shared" ref="D917:D969" si="89">D916+0.1</f>
        <v>94.799999999998889</v>
      </c>
      <c r="E917" s="14">
        <f t="shared" si="86"/>
        <v>98.225227438681159</v>
      </c>
      <c r="F917" s="14">
        <f t="shared" si="87"/>
        <v>98.225298627117027</v>
      </c>
      <c r="G917" s="14">
        <f t="shared" si="88"/>
        <v>98.225298627117112</v>
      </c>
    </row>
    <row r="918" spans="2:7" x14ac:dyDescent="0.2">
      <c r="B918" s="14">
        <f t="shared" si="85"/>
        <v>11.196162184806914</v>
      </c>
      <c r="C918" s="14">
        <f t="shared" si="84"/>
        <v>3.8038378151930861</v>
      </c>
      <c r="D918" s="8">
        <f t="shared" si="89"/>
        <v>94.899999999998883</v>
      </c>
      <c r="E918" s="14">
        <f t="shared" si="86"/>
        <v>98.381439837388498</v>
      </c>
      <c r="F918" s="14">
        <f t="shared" si="87"/>
        <v>98.381510977735914</v>
      </c>
      <c r="G918" s="14">
        <f t="shared" si="88"/>
        <v>98.381510977735914</v>
      </c>
    </row>
    <row r="919" spans="2:7" x14ac:dyDescent="0.2">
      <c r="B919" s="14">
        <f t="shared" si="85"/>
        <v>11.197177829540179</v>
      </c>
      <c r="C919" s="14">
        <f t="shared" si="84"/>
        <v>3.8028221704598213</v>
      </c>
      <c r="D919" s="8">
        <f t="shared" si="89"/>
        <v>94.999999999998877</v>
      </c>
      <c r="E919" s="14">
        <f t="shared" si="86"/>
        <v>98.53772169011016</v>
      </c>
      <c r="F919" s="14">
        <f t="shared" si="87"/>
        <v>98.537792782326321</v>
      </c>
      <c r="G919" s="14">
        <f t="shared" si="88"/>
        <v>98.537792782326321</v>
      </c>
    </row>
    <row r="920" spans="2:7" x14ac:dyDescent="0.2">
      <c r="B920" s="14">
        <f t="shared" si="85"/>
        <v>11.198191864370939</v>
      </c>
      <c r="C920" s="14">
        <f t="shared" si="84"/>
        <v>3.8018081356290612</v>
      </c>
      <c r="D920" s="8">
        <f t="shared" si="89"/>
        <v>95.099999999998872</v>
      </c>
      <c r="E920" s="14">
        <f t="shared" si="86"/>
        <v>98.694072938323956</v>
      </c>
      <c r="F920" s="14">
        <f t="shared" si="87"/>
        <v>98.694143982560476</v>
      </c>
      <c r="G920" s="14">
        <f t="shared" si="88"/>
        <v>98.694143982560462</v>
      </c>
    </row>
    <row r="921" spans="2:7" x14ac:dyDescent="0.2">
      <c r="B921" s="14">
        <f t="shared" si="85"/>
        <v>11.199204293683826</v>
      </c>
      <c r="C921" s="14">
        <f t="shared" si="84"/>
        <v>3.8007957063161744</v>
      </c>
      <c r="D921" s="8">
        <f t="shared" si="89"/>
        <v>95.199999999998866</v>
      </c>
      <c r="E921" s="14">
        <f t="shared" si="86"/>
        <v>98.850493523903012</v>
      </c>
      <c r="F921" s="14">
        <f t="shared" si="87"/>
        <v>98.850564520217546</v>
      </c>
      <c r="G921" s="14">
        <f t="shared" si="88"/>
        <v>98.850564520217574</v>
      </c>
    </row>
    <row r="922" spans="2:7" x14ac:dyDescent="0.2">
      <c r="B922" s="14">
        <f t="shared" si="85"/>
        <v>11.20021512184665</v>
      </c>
      <c r="C922" s="14">
        <f t="shared" si="84"/>
        <v>3.7997848781533499</v>
      </c>
      <c r="D922" s="8">
        <f t="shared" si="89"/>
        <v>95.29999999999886</v>
      </c>
      <c r="E922" s="14">
        <f t="shared" si="86"/>
        <v>99.006983388635192</v>
      </c>
      <c r="F922" s="14">
        <f t="shared" si="87"/>
        <v>99.007054337183661</v>
      </c>
      <c r="G922" s="14">
        <f t="shared" si="88"/>
        <v>99.007054337183661</v>
      </c>
    </row>
    <row r="923" spans="2:7" x14ac:dyDescent="0.2">
      <c r="B923" s="14">
        <f t="shared" si="85"/>
        <v>11.201224353210485</v>
      </c>
      <c r="C923" s="14">
        <f t="shared" si="84"/>
        <v>3.7987756467895153</v>
      </c>
      <c r="D923" s="8">
        <f t="shared" si="89"/>
        <v>95.399999999998855</v>
      </c>
      <c r="E923" s="14">
        <f t="shared" si="86"/>
        <v>99.163542474694367</v>
      </c>
      <c r="F923" s="14">
        <f t="shared" si="87"/>
        <v>99.163613375451405</v>
      </c>
      <c r="G923" s="14">
        <f t="shared" si="88"/>
        <v>99.163613375451362</v>
      </c>
    </row>
    <row r="924" spans="2:7" x14ac:dyDescent="0.2">
      <c r="B924" s="14">
        <f t="shared" si="85"/>
        <v>11.202231992109741</v>
      </c>
      <c r="C924" s="14">
        <f t="shared" si="84"/>
        <v>3.7977680078902587</v>
      </c>
      <c r="D924" s="8">
        <f t="shared" si="89"/>
        <v>95.499999999998849</v>
      </c>
      <c r="E924" s="14">
        <f t="shared" si="86"/>
        <v>99.320170724069641</v>
      </c>
      <c r="F924" s="14">
        <f t="shared" si="87"/>
        <v>99.320241577119432</v>
      </c>
      <c r="G924" s="14">
        <f t="shared" si="88"/>
        <v>99.320241577119404</v>
      </c>
    </row>
    <row r="925" spans="2:7" x14ac:dyDescent="0.2">
      <c r="B925" s="14">
        <f t="shared" si="85"/>
        <v>11.203238042862264</v>
      </c>
      <c r="C925" s="14">
        <f t="shared" si="84"/>
        <v>3.7967619571377362</v>
      </c>
      <c r="D925" s="8">
        <f t="shared" si="89"/>
        <v>95.599999999998843</v>
      </c>
      <c r="E925" s="14">
        <f t="shared" si="86"/>
        <v>99.476868078950929</v>
      </c>
      <c r="F925" s="14">
        <f t="shared" si="87"/>
        <v>99.476938884392638</v>
      </c>
      <c r="G925" s="14">
        <f t="shared" si="88"/>
        <v>99.476938884392624</v>
      </c>
    </row>
    <row r="926" spans="2:7" x14ac:dyDescent="0.2">
      <c r="B926" s="14">
        <f t="shared" si="85"/>
        <v>11.204242509769397</v>
      </c>
      <c r="C926" s="14">
        <f t="shared" si="84"/>
        <v>3.7957574902306028</v>
      </c>
      <c r="D926" s="8">
        <f t="shared" si="89"/>
        <v>95.699999999998838</v>
      </c>
      <c r="E926" s="14">
        <f t="shared" si="86"/>
        <v>99.633634481681284</v>
      </c>
      <c r="F926" s="14">
        <f t="shared" si="87"/>
        <v>99.633705239581175</v>
      </c>
      <c r="G926" s="14">
        <f t="shared" si="88"/>
        <v>99.633705239581204</v>
      </c>
    </row>
    <row r="927" spans="2:7" x14ac:dyDescent="0.2">
      <c r="B927" s="14">
        <f t="shared" si="85"/>
        <v>11.20524539711608</v>
      </c>
      <c r="C927" s="14">
        <f t="shared" si="84"/>
        <v>3.7947546028839199</v>
      </c>
      <c r="D927" s="8">
        <f t="shared" si="89"/>
        <v>95.799999999998832</v>
      </c>
      <c r="E927" s="14">
        <f t="shared" si="86"/>
        <v>99.790469874620342</v>
      </c>
      <c r="F927" s="14">
        <f t="shared" si="87"/>
        <v>99.790540585100871</v>
      </c>
      <c r="G927" s="14">
        <f t="shared" si="88"/>
        <v>99.790540585100928</v>
      </c>
    </row>
    <row r="928" spans="2:7" x14ac:dyDescent="0.2">
      <c r="B928" s="14">
        <f t="shared" si="85"/>
        <v>11.206246709170916</v>
      </c>
      <c r="C928" s="14">
        <f t="shared" si="84"/>
        <v>3.7937532908290841</v>
      </c>
      <c r="D928" s="8">
        <f t="shared" si="89"/>
        <v>95.899999999998826</v>
      </c>
      <c r="E928" s="14">
        <f t="shared" si="86"/>
        <v>99.947374200360358</v>
      </c>
      <c r="F928" s="14">
        <f t="shared" si="87"/>
        <v>99.947444863472327</v>
      </c>
      <c r="G928" s="14">
        <f t="shared" si="88"/>
        <v>99.947444863472398</v>
      </c>
    </row>
    <row r="929" spans="2:7" x14ac:dyDescent="0.2">
      <c r="B929" s="14">
        <f t="shared" si="85"/>
        <v>11.207246450186259</v>
      </c>
      <c r="C929" s="14">
        <f t="shared" si="84"/>
        <v>3.7927535498137406</v>
      </c>
      <c r="D929" s="8">
        <f t="shared" si="89"/>
        <v>95.99999999999882</v>
      </c>
      <c r="E929" s="14">
        <f t="shared" si="86"/>
        <v>100.10434740132369</v>
      </c>
      <c r="F929" s="14">
        <f t="shared" si="87"/>
        <v>100.10441801732097</v>
      </c>
      <c r="G929" s="14">
        <f t="shared" si="88"/>
        <v>100.10441801732104</v>
      </c>
    </row>
    <row r="930" spans="2:7" x14ac:dyDescent="0.2">
      <c r="B930" s="14">
        <f t="shared" si="85"/>
        <v>11.208244624398295</v>
      </c>
      <c r="C930" s="14">
        <f t="shared" si="84"/>
        <v>3.7917553756017046</v>
      </c>
      <c r="D930" s="8">
        <f t="shared" si="89"/>
        <v>96.099999999998815</v>
      </c>
      <c r="E930" s="14">
        <f t="shared" si="86"/>
        <v>100.26138942069224</v>
      </c>
      <c r="F930" s="14">
        <f t="shared" si="87"/>
        <v>100.26145998937676</v>
      </c>
      <c r="G930" s="14">
        <f t="shared" si="88"/>
        <v>100.26145998937668</v>
      </c>
    </row>
    <row r="931" spans="2:7" x14ac:dyDescent="0.2">
      <c r="B931" s="14">
        <f t="shared" si="85"/>
        <v>11.209241236027106</v>
      </c>
      <c r="C931" s="14">
        <f t="shared" si="84"/>
        <v>3.7907587639728941</v>
      </c>
      <c r="D931" s="8">
        <f t="shared" si="89"/>
        <v>96.199999999998809</v>
      </c>
      <c r="E931" s="14">
        <f t="shared" si="86"/>
        <v>100.41850020102613</v>
      </c>
      <c r="F931" s="14">
        <f t="shared" si="87"/>
        <v>100.41857072247323</v>
      </c>
      <c r="G931" s="14">
        <f t="shared" si="88"/>
        <v>100.41857072247329</v>
      </c>
    </row>
    <row r="932" spans="2:7" x14ac:dyDescent="0.2">
      <c r="B932" s="14">
        <f t="shared" si="85"/>
        <v>11.210236289276775</v>
      </c>
      <c r="C932" s="14">
        <f t="shared" si="84"/>
        <v>3.7897637107232249</v>
      </c>
      <c r="D932" s="8">
        <f t="shared" si="89"/>
        <v>96.299999999998803</v>
      </c>
      <c r="E932" s="14">
        <f t="shared" si="86"/>
        <v>100.57567968501297</v>
      </c>
      <c r="F932" s="14">
        <f t="shared" si="87"/>
        <v>100.57575015954865</v>
      </c>
      <c r="G932" s="14">
        <f t="shared" si="88"/>
        <v>100.57575015954866</v>
      </c>
    </row>
    <row r="933" spans="2:7" x14ac:dyDescent="0.2">
      <c r="B933" s="14">
        <f t="shared" si="85"/>
        <v>11.211229788335441</v>
      </c>
      <c r="C933" s="14">
        <f t="shared" si="84"/>
        <v>3.7887702116645592</v>
      </c>
      <c r="D933" s="8">
        <f t="shared" si="89"/>
        <v>96.399999999998798</v>
      </c>
      <c r="E933" s="14">
        <f t="shared" si="86"/>
        <v>100.73292781614147</v>
      </c>
      <c r="F933" s="14">
        <f t="shared" si="87"/>
        <v>100.73299824364419</v>
      </c>
      <c r="G933" s="14">
        <f t="shared" si="88"/>
        <v>100.73299824364416</v>
      </c>
    </row>
    <row r="934" spans="2:7" x14ac:dyDescent="0.2">
      <c r="B934" s="14">
        <f t="shared" si="85"/>
        <v>11.212221737375385</v>
      </c>
      <c r="C934" s="14">
        <f t="shared" si="84"/>
        <v>3.7877782626246148</v>
      </c>
      <c r="D934" s="8">
        <f t="shared" si="89"/>
        <v>96.499999999998792</v>
      </c>
      <c r="E934" s="14">
        <f t="shared" si="86"/>
        <v>100.89024453739907</v>
      </c>
      <c r="F934" s="14">
        <f t="shared" si="87"/>
        <v>100.89031491790438</v>
      </c>
      <c r="G934" s="14">
        <f t="shared" si="88"/>
        <v>100.89031491790435</v>
      </c>
    </row>
    <row r="935" spans="2:7" x14ac:dyDescent="0.2">
      <c r="B935" s="14">
        <f t="shared" si="85"/>
        <v>11.213212140553111</v>
      </c>
      <c r="C935" s="14">
        <f t="shared" si="84"/>
        <v>3.7867878594468891</v>
      </c>
      <c r="D935" s="8">
        <f t="shared" si="89"/>
        <v>96.599999999998786</v>
      </c>
      <c r="E935" s="14">
        <f t="shared" si="86"/>
        <v>101.04762979184993</v>
      </c>
      <c r="F935" s="14">
        <f t="shared" si="87"/>
        <v>101.04770012557685</v>
      </c>
      <c r="G935" s="14">
        <f t="shared" si="88"/>
        <v>101.04770012557684</v>
      </c>
    </row>
    <row r="936" spans="2:7" x14ac:dyDescent="0.2">
      <c r="B936" s="14">
        <f t="shared" si="85"/>
        <v>11.214201002009419</v>
      </c>
      <c r="C936" s="14">
        <f t="shared" si="84"/>
        <v>3.7857989979905806</v>
      </c>
      <c r="D936" s="8">
        <f t="shared" si="89"/>
        <v>96.699999999998781</v>
      </c>
      <c r="E936" s="14">
        <f t="shared" si="86"/>
        <v>101.20508352304215</v>
      </c>
      <c r="F936" s="14">
        <f t="shared" si="87"/>
        <v>101.20515381001196</v>
      </c>
      <c r="G936" s="14">
        <f t="shared" si="88"/>
        <v>101.20515381001192</v>
      </c>
    </row>
    <row r="937" spans="2:7" x14ac:dyDescent="0.2">
      <c r="B937" s="14">
        <f t="shared" si="85"/>
        <v>11.215188325869478</v>
      </c>
      <c r="C937" s="14">
        <f t="shared" si="84"/>
        <v>3.7848116741305216</v>
      </c>
      <c r="D937" s="8">
        <f t="shared" si="89"/>
        <v>96.799999999998775</v>
      </c>
      <c r="E937" s="14">
        <f t="shared" si="86"/>
        <v>101.3626056744192</v>
      </c>
      <c r="F937" s="14">
        <f t="shared" si="87"/>
        <v>101.36267591466216</v>
      </c>
      <c r="G937" s="14">
        <f t="shared" si="88"/>
        <v>101.36267591466216</v>
      </c>
    </row>
    <row r="938" spans="2:7" x14ac:dyDescent="0.2">
      <c r="B938" s="14">
        <f t="shared" si="85"/>
        <v>11.216174116242911</v>
      </c>
      <c r="C938" s="14">
        <f t="shared" si="84"/>
        <v>3.7838258837570891</v>
      </c>
      <c r="D938" s="8">
        <f t="shared" si="89"/>
        <v>96.899999999998769</v>
      </c>
      <c r="E938" s="14">
        <f t="shared" si="86"/>
        <v>101.5201961894529</v>
      </c>
      <c r="F938" s="14">
        <f t="shared" si="87"/>
        <v>101.5202663830824</v>
      </c>
      <c r="G938" s="14">
        <f t="shared" si="88"/>
        <v>101.52026638308237</v>
      </c>
    </row>
    <row r="939" spans="2:7" x14ac:dyDescent="0.2">
      <c r="B939" s="14">
        <f t="shared" si="85"/>
        <v>11.217158377223859</v>
      </c>
      <c r="C939" s="14">
        <f t="shared" si="84"/>
        <v>3.7828416227761412</v>
      </c>
      <c r="D939" s="8">
        <f t="shared" si="89"/>
        <v>96.999999999998764</v>
      </c>
      <c r="E939" s="14">
        <f t="shared" si="86"/>
        <v>101.67785501177931</v>
      </c>
      <c r="F939" s="14">
        <f t="shared" si="87"/>
        <v>101.67792515892904</v>
      </c>
      <c r="G939" s="14">
        <f t="shared" si="88"/>
        <v>101.67792515892909</v>
      </c>
    </row>
    <row r="940" spans="2:7" x14ac:dyDescent="0.2">
      <c r="B940" s="14">
        <f t="shared" si="85"/>
        <v>11.218141112891068</v>
      </c>
      <c r="C940" s="14">
        <f t="shared" si="84"/>
        <v>3.7818588871089318</v>
      </c>
      <c r="D940" s="8">
        <f t="shared" si="89"/>
        <v>97.099999999998758</v>
      </c>
      <c r="E940" s="14">
        <f t="shared" si="86"/>
        <v>101.83558208524528</v>
      </c>
      <c r="F940" s="14">
        <f t="shared" si="87"/>
        <v>101.83565218596044</v>
      </c>
      <c r="G940" s="14">
        <f t="shared" si="88"/>
        <v>101.83565218596037</v>
      </c>
    </row>
    <row r="941" spans="2:7" x14ac:dyDescent="0.2">
      <c r="B941" s="14">
        <f t="shared" si="85"/>
        <v>11.219122327307952</v>
      </c>
      <c r="C941" s="14">
        <f t="shared" si="84"/>
        <v>3.7808776726920481</v>
      </c>
      <c r="D941" s="8">
        <f t="shared" si="89"/>
        <v>97.199999999998752</v>
      </c>
      <c r="E941" s="14">
        <f t="shared" si="86"/>
        <v>101.99337735377151</v>
      </c>
      <c r="F941" s="14">
        <f t="shared" si="87"/>
        <v>101.99344740803569</v>
      </c>
      <c r="G941" s="14">
        <f t="shared" si="88"/>
        <v>101.99344740803564</v>
      </c>
    </row>
    <row r="942" spans="2:7" x14ac:dyDescent="0.2">
      <c r="B942" s="14">
        <f t="shared" si="85"/>
        <v>11.220102024522676</v>
      </c>
      <c r="C942" s="14">
        <f t="shared" si="84"/>
        <v>3.7798979754773239</v>
      </c>
      <c r="D942" s="8">
        <f t="shared" si="89"/>
        <v>97.299999999998747</v>
      </c>
      <c r="E942" s="14">
        <f t="shared" si="86"/>
        <v>102.1512407612133</v>
      </c>
      <c r="F942" s="14">
        <f t="shared" si="87"/>
        <v>102.15131076911521</v>
      </c>
      <c r="G942" s="14">
        <f t="shared" si="88"/>
        <v>102.15131076911514</v>
      </c>
    </row>
    <row r="943" spans="2:7" x14ac:dyDescent="0.2">
      <c r="B943" s="14">
        <f t="shared" si="85"/>
        <v>11.221080208568225</v>
      </c>
      <c r="C943" s="14">
        <f t="shared" si="84"/>
        <v>3.7789197914317754</v>
      </c>
      <c r="D943" s="8">
        <f t="shared" si="89"/>
        <v>97.399999999998741</v>
      </c>
      <c r="E943" s="14">
        <f t="shared" si="86"/>
        <v>102.30917225168393</v>
      </c>
      <c r="F943" s="14">
        <f t="shared" si="87"/>
        <v>102.30924221325995</v>
      </c>
      <c r="G943" s="14">
        <f t="shared" si="88"/>
        <v>102.30924221325994</v>
      </c>
    </row>
    <row r="944" spans="2:7" x14ac:dyDescent="0.2">
      <c r="B944" s="14">
        <f t="shared" si="85"/>
        <v>11.222056883462479</v>
      </c>
      <c r="C944" s="14">
        <f t="shared" si="84"/>
        <v>3.7779431165375215</v>
      </c>
      <c r="D944" s="8">
        <f t="shared" si="89"/>
        <v>97.499999999998735</v>
      </c>
      <c r="E944" s="14">
        <f t="shared" si="86"/>
        <v>102.46717176913835</v>
      </c>
      <c r="F944" s="14">
        <f t="shared" si="87"/>
        <v>102.46724168463132</v>
      </c>
      <c r="G944" s="14">
        <f t="shared" si="88"/>
        <v>102.46724168463136</v>
      </c>
    </row>
    <row r="945" spans="2:7" x14ac:dyDescent="0.2">
      <c r="B945" s="14">
        <f t="shared" si="85"/>
        <v>11.223032053208287</v>
      </c>
      <c r="C945" s="14">
        <f t="shared" si="84"/>
        <v>3.7769679467917125</v>
      </c>
      <c r="D945" s="8">
        <f t="shared" si="89"/>
        <v>97.59999999999873</v>
      </c>
      <c r="E945" s="14">
        <f t="shared" si="86"/>
        <v>102.62523925797834</v>
      </c>
      <c r="F945" s="14">
        <f t="shared" si="87"/>
        <v>102.62530912749097</v>
      </c>
      <c r="G945" s="14">
        <f t="shared" si="88"/>
        <v>102.62530912749102</v>
      </c>
    </row>
    <row r="946" spans="2:7" x14ac:dyDescent="0.2">
      <c r="B946" s="14">
        <f t="shared" si="85"/>
        <v>11.224005721793537</v>
      </c>
      <c r="C946" s="14">
        <f t="shared" si="84"/>
        <v>3.7759942782064631</v>
      </c>
      <c r="D946" s="8">
        <f t="shared" si="89"/>
        <v>97.699999999998724</v>
      </c>
      <c r="E946" s="14">
        <f t="shared" si="86"/>
        <v>102.78337466282485</v>
      </c>
      <c r="F946" s="14">
        <f t="shared" si="87"/>
        <v>102.78344448620022</v>
      </c>
      <c r="G946" s="14">
        <f t="shared" si="88"/>
        <v>102.78344448620022</v>
      </c>
    </row>
    <row r="947" spans="2:7" x14ac:dyDescent="0.2">
      <c r="B947" s="14">
        <f t="shared" si="85"/>
        <v>11.224977893191223</v>
      </c>
      <c r="C947" s="14">
        <f t="shared" si="84"/>
        <v>3.7750221068087768</v>
      </c>
      <c r="D947" s="8">
        <f t="shared" si="89"/>
        <v>97.799999999998718</v>
      </c>
      <c r="E947" s="14">
        <f t="shared" si="86"/>
        <v>102.94157792772172</v>
      </c>
      <c r="F947" s="14">
        <f t="shared" si="87"/>
        <v>102.94164770521984</v>
      </c>
      <c r="G947" s="14">
        <f t="shared" si="88"/>
        <v>102.94164770521992</v>
      </c>
    </row>
    <row r="948" spans="2:7" x14ac:dyDescent="0.2">
      <c r="B948" s="14">
        <f t="shared" si="85"/>
        <v>11.225948571359535</v>
      </c>
      <c r="C948" s="14">
        <f t="shared" si="84"/>
        <v>3.7740514286404654</v>
      </c>
      <c r="D948" s="8">
        <f t="shared" si="89"/>
        <v>97.899999999998712</v>
      </c>
      <c r="E948" s="14">
        <f t="shared" si="86"/>
        <v>103.09984899749621</v>
      </c>
      <c r="F948" s="14">
        <f t="shared" si="87"/>
        <v>103.09991872911044</v>
      </c>
      <c r="G948" s="14">
        <f t="shared" si="88"/>
        <v>103.0999187291104</v>
      </c>
    </row>
    <row r="949" spans="2:7" x14ac:dyDescent="0.2">
      <c r="B949" s="14">
        <f t="shared" si="85"/>
        <v>11.2269177602419</v>
      </c>
      <c r="C949" s="14">
        <f t="shared" si="84"/>
        <v>3.7730822397581001</v>
      </c>
      <c r="D949" s="8">
        <f t="shared" si="89"/>
        <v>97.999999999998707</v>
      </c>
      <c r="E949" s="14">
        <f t="shared" si="86"/>
        <v>103.25818781677778</v>
      </c>
      <c r="F949" s="14">
        <f t="shared" si="87"/>
        <v>103.25825750253082</v>
      </c>
      <c r="G949" s="14">
        <f t="shared" si="88"/>
        <v>103.2582575025309</v>
      </c>
    </row>
    <row r="950" spans="2:7" x14ac:dyDescent="0.2">
      <c r="B950" s="14">
        <f t="shared" si="85"/>
        <v>11.227885463767088</v>
      </c>
      <c r="C950" s="14">
        <f t="shared" si="84"/>
        <v>3.7721145362329125</v>
      </c>
      <c r="D950" s="8">
        <f t="shared" si="89"/>
        <v>98.099999999998701</v>
      </c>
      <c r="E950" s="14">
        <f t="shared" si="86"/>
        <v>103.41659433013878</v>
      </c>
      <c r="F950" s="14">
        <f t="shared" si="87"/>
        <v>103.41666397023938</v>
      </c>
      <c r="G950" s="14">
        <f t="shared" si="88"/>
        <v>103.41666397023938</v>
      </c>
    </row>
    <row r="951" spans="2:7" x14ac:dyDescent="0.2">
      <c r="B951" s="14">
        <f t="shared" si="85"/>
        <v>11.22885168584925</v>
      </c>
      <c r="C951" s="14">
        <f t="shared" si="84"/>
        <v>3.77114831415075</v>
      </c>
      <c r="D951" s="8">
        <f t="shared" si="89"/>
        <v>98.199999999998695</v>
      </c>
      <c r="E951" s="14">
        <f t="shared" si="86"/>
        <v>103.57506848271447</v>
      </c>
      <c r="F951" s="14">
        <f t="shared" si="87"/>
        <v>103.57513807709238</v>
      </c>
      <c r="G951" s="14">
        <f t="shared" si="88"/>
        <v>103.57513807709239</v>
      </c>
    </row>
    <row r="952" spans="2:7" x14ac:dyDescent="0.2">
      <c r="B952" s="14">
        <f t="shared" si="85"/>
        <v>11.229816430388011</v>
      </c>
      <c r="C952" s="14">
        <f t="shared" si="84"/>
        <v>3.770183569611989</v>
      </c>
      <c r="D952" s="8">
        <f t="shared" si="89"/>
        <v>98.29999999999869</v>
      </c>
      <c r="E952" s="14">
        <f t="shared" si="86"/>
        <v>103.73361021930569</v>
      </c>
      <c r="F952" s="14">
        <f t="shared" si="87"/>
        <v>103.73367976804457</v>
      </c>
      <c r="G952" s="14">
        <f t="shared" si="88"/>
        <v>103.73367976804457</v>
      </c>
    </row>
    <row r="953" spans="2:7" x14ac:dyDescent="0.2">
      <c r="B953" s="14">
        <f t="shared" si="85"/>
        <v>11.230779701268526</v>
      </c>
      <c r="C953" s="14">
        <f t="shared" si="84"/>
        <v>3.769220298731474</v>
      </c>
      <c r="D953" s="8">
        <f t="shared" si="89"/>
        <v>98.399999999998684</v>
      </c>
      <c r="E953" s="14">
        <f t="shared" si="86"/>
        <v>103.89221948490318</v>
      </c>
      <c r="F953" s="14">
        <f t="shared" si="87"/>
        <v>103.89228898814844</v>
      </c>
      <c r="G953" s="14">
        <f t="shared" si="88"/>
        <v>103.89228898814851</v>
      </c>
    </row>
    <row r="954" spans="2:7" x14ac:dyDescent="0.2">
      <c r="B954" s="14">
        <f t="shared" si="85"/>
        <v>11.231741502361558</v>
      </c>
      <c r="C954" s="14">
        <f t="shared" si="84"/>
        <v>3.7682584976384419</v>
      </c>
      <c r="D954" s="8">
        <f t="shared" si="89"/>
        <v>98.499999999998678</v>
      </c>
      <c r="E954" s="14">
        <f t="shared" si="86"/>
        <v>104.05089622464507</v>
      </c>
      <c r="F954" s="14">
        <f t="shared" si="87"/>
        <v>104.05096568255445</v>
      </c>
      <c r="G954" s="14">
        <f t="shared" si="88"/>
        <v>104.05096568255449</v>
      </c>
    </row>
    <row r="955" spans="2:7" x14ac:dyDescent="0.2">
      <c r="B955" s="14">
        <f t="shared" si="85"/>
        <v>11.232701837523539</v>
      </c>
      <c r="C955" s="14">
        <f t="shared" si="84"/>
        <v>3.767298162476461</v>
      </c>
      <c r="D955" s="8">
        <f t="shared" si="89"/>
        <v>98.599999999998673</v>
      </c>
      <c r="E955" s="14">
        <f t="shared" si="86"/>
        <v>104.20964038406305</v>
      </c>
      <c r="F955" s="14">
        <f t="shared" si="87"/>
        <v>104.20970979651017</v>
      </c>
      <c r="G955" s="14">
        <f t="shared" si="88"/>
        <v>104.20970979651018</v>
      </c>
    </row>
    <row r="956" spans="2:7" x14ac:dyDescent="0.2">
      <c r="B956" s="14">
        <f t="shared" si="85"/>
        <v>11.23366071059664</v>
      </c>
      <c r="C956" s="14">
        <f t="shared" si="84"/>
        <v>3.7663392894033603</v>
      </c>
      <c r="D956" s="8">
        <f t="shared" si="89"/>
        <v>98.699999999998667</v>
      </c>
      <c r="E956" s="14">
        <f t="shared" si="86"/>
        <v>104.3684519081726</v>
      </c>
      <c r="F956" s="14">
        <f t="shared" si="87"/>
        <v>104.36852127536025</v>
      </c>
      <c r="G956" s="14">
        <f t="shared" si="88"/>
        <v>104.36852127536034</v>
      </c>
    </row>
    <row r="957" spans="2:7" x14ac:dyDescent="0.2">
      <c r="B957" s="14">
        <f t="shared" si="85"/>
        <v>11.234618125408847</v>
      </c>
      <c r="C957" s="14">
        <f t="shared" si="84"/>
        <v>3.7653818745911529</v>
      </c>
      <c r="D957" s="8">
        <f t="shared" si="89"/>
        <v>98.799999999998661</v>
      </c>
      <c r="E957" s="14">
        <f t="shared" si="86"/>
        <v>104.52733074248754</v>
      </c>
      <c r="F957" s="14">
        <f t="shared" si="87"/>
        <v>104.52740006454661</v>
      </c>
      <c r="G957" s="14">
        <f t="shared" si="88"/>
        <v>104.52740006454657</v>
      </c>
    </row>
    <row r="958" spans="2:7" x14ac:dyDescent="0.2">
      <c r="B958" s="14">
        <f t="shared" si="85"/>
        <v>11.235574085774015</v>
      </c>
      <c r="C958" s="14">
        <f t="shared" si="84"/>
        <v>3.7644259142259848</v>
      </c>
      <c r="D958" s="8">
        <f t="shared" si="89"/>
        <v>98.899999999998656</v>
      </c>
      <c r="E958" s="14">
        <f t="shared" si="86"/>
        <v>104.68627683288541</v>
      </c>
      <c r="F958" s="14">
        <f t="shared" si="87"/>
        <v>104.68634610960721</v>
      </c>
      <c r="G958" s="14">
        <f t="shared" si="88"/>
        <v>104.68634610960716</v>
      </c>
    </row>
    <row r="959" spans="2:7" x14ac:dyDescent="0.2">
      <c r="B959" s="14">
        <f t="shared" si="85"/>
        <v>11.236528595491944</v>
      </c>
      <c r="C959" s="14">
        <f t="shared" si="84"/>
        <v>3.7634714045080564</v>
      </c>
      <c r="D959" s="8">
        <f t="shared" si="89"/>
        <v>98.99999999999865</v>
      </c>
      <c r="E959" s="14">
        <f t="shared" si="86"/>
        <v>104.8452901245922</v>
      </c>
      <c r="F959" s="14">
        <f t="shared" si="87"/>
        <v>104.84535935617656</v>
      </c>
      <c r="G959" s="14">
        <f t="shared" si="88"/>
        <v>104.8453593561766</v>
      </c>
    </row>
    <row r="960" spans="2:7" x14ac:dyDescent="0.2">
      <c r="B960" s="14">
        <f t="shared" si="85"/>
        <v>11.237481658348447</v>
      </c>
      <c r="C960" s="14">
        <f t="shared" si="84"/>
        <v>3.7625183416515533</v>
      </c>
      <c r="D960" s="8">
        <f t="shared" si="89"/>
        <v>99.099999999998644</v>
      </c>
      <c r="E960" s="14">
        <f t="shared" si="86"/>
        <v>105.00437056330294</v>
      </c>
      <c r="F960" s="14">
        <f t="shared" si="87"/>
        <v>105.00443974998545</v>
      </c>
      <c r="G960" s="14">
        <f t="shared" si="88"/>
        <v>105.00443974998551</v>
      </c>
    </row>
    <row r="961" spans="2:7" x14ac:dyDescent="0.2">
      <c r="B961" s="14">
        <f t="shared" si="85"/>
        <v>11.23843327811541</v>
      </c>
      <c r="C961" s="14">
        <f t="shared" si="84"/>
        <v>3.7615667218845896</v>
      </c>
      <c r="D961" s="8">
        <f t="shared" si="89"/>
        <v>99.199999999998639</v>
      </c>
      <c r="E961" s="14">
        <f t="shared" si="86"/>
        <v>105.16351809514467</v>
      </c>
      <c r="F961" s="14">
        <f t="shared" si="87"/>
        <v>105.16358723686025</v>
      </c>
      <c r="G961" s="14">
        <f t="shared" si="88"/>
        <v>105.16358723686027</v>
      </c>
    </row>
    <row r="962" spans="2:7" x14ac:dyDescent="0.2">
      <c r="B962" s="14">
        <f t="shared" si="85"/>
        <v>11.239383458550861</v>
      </c>
      <c r="C962" s="14">
        <f t="shared" si="84"/>
        <v>3.7606165414491386</v>
      </c>
      <c r="D962" s="8">
        <f t="shared" si="89"/>
        <v>99.299999999998633</v>
      </c>
      <c r="E962" s="14">
        <f t="shared" si="86"/>
        <v>105.3227326659491</v>
      </c>
      <c r="F962" s="14">
        <f t="shared" si="87"/>
        <v>105.3228017627228</v>
      </c>
      <c r="G962" s="14">
        <f t="shared" si="88"/>
        <v>105.32280176272282</v>
      </c>
    </row>
    <row r="963" spans="2:7" x14ac:dyDescent="0.2">
      <c r="B963" s="14">
        <f t="shared" si="85"/>
        <v>11.240332203399037</v>
      </c>
      <c r="C963" s="14">
        <f t="shared" si="84"/>
        <v>3.7596677966009633</v>
      </c>
      <c r="D963" s="8">
        <f t="shared" si="89"/>
        <v>99.399999999998627</v>
      </c>
      <c r="E963" s="14">
        <f t="shared" si="86"/>
        <v>105.48201422159956</v>
      </c>
      <c r="F963" s="14">
        <f t="shared" si="87"/>
        <v>105.48208327359035</v>
      </c>
      <c r="G963" s="14">
        <f t="shared" si="88"/>
        <v>105.48208327359042</v>
      </c>
    </row>
    <row r="964" spans="2:7" x14ac:dyDescent="0.2">
      <c r="B964" s="14">
        <f t="shared" si="85"/>
        <v>11.241279516390446</v>
      </c>
      <c r="C964" s="14">
        <f t="shared" si="84"/>
        <v>3.7587204836095545</v>
      </c>
      <c r="D964" s="8">
        <f t="shared" si="89"/>
        <v>99.499999999998622</v>
      </c>
      <c r="E964" s="14">
        <f t="shared" si="86"/>
        <v>105.64136270818608</v>
      </c>
      <c r="F964" s="14">
        <f t="shared" si="87"/>
        <v>105.64143171557517</v>
      </c>
      <c r="G964" s="14">
        <f t="shared" si="88"/>
        <v>105.64143171557524</v>
      </c>
    </row>
    <row r="965" spans="2:7" x14ac:dyDescent="0.2">
      <c r="B965" s="14">
        <f t="shared" si="85"/>
        <v>11.242225401241935</v>
      </c>
      <c r="C965" s="14">
        <f t="shared" si="84"/>
        <v>3.7577745987580649</v>
      </c>
      <c r="D965" s="8">
        <f t="shared" si="89"/>
        <v>99.599999999998616</v>
      </c>
      <c r="E965" s="14">
        <f t="shared" si="86"/>
        <v>105.80077807216392</v>
      </c>
      <c r="F965" s="14">
        <f t="shared" si="87"/>
        <v>105.80084703488433</v>
      </c>
      <c r="G965" s="14">
        <f t="shared" si="88"/>
        <v>105.80084703488428</v>
      </c>
    </row>
    <row r="966" spans="2:7" x14ac:dyDescent="0.2">
      <c r="B966" s="14">
        <f t="shared" si="85"/>
        <v>11.243169861656749</v>
      </c>
      <c r="C966" s="14">
        <f t="shared" si="84"/>
        <v>3.7568301383432505</v>
      </c>
      <c r="D966" s="8">
        <f t="shared" si="89"/>
        <v>99.69999999999861</v>
      </c>
      <c r="E966" s="14">
        <f t="shared" si="86"/>
        <v>105.96026025991658</v>
      </c>
      <c r="F966" s="14">
        <f t="shared" si="87"/>
        <v>105.96032917781903</v>
      </c>
      <c r="G966" s="14">
        <f t="shared" si="88"/>
        <v>105.96032917781896</v>
      </c>
    </row>
    <row r="967" spans="2:7" x14ac:dyDescent="0.2">
      <c r="B967" s="14">
        <f t="shared" si="85"/>
        <v>11.244112901324602</v>
      </c>
      <c r="C967" s="14">
        <f t="shared" si="84"/>
        <v>3.7558870986753981</v>
      </c>
      <c r="D967" s="8">
        <f t="shared" si="89"/>
        <v>99.799999999998604</v>
      </c>
      <c r="E967" s="14">
        <f t="shared" si="86"/>
        <v>106.11980921741144</v>
      </c>
      <c r="F967" s="14">
        <f t="shared" si="87"/>
        <v>106.11987809077506</v>
      </c>
      <c r="G967" s="14">
        <f t="shared" si="88"/>
        <v>106.1198780907751</v>
      </c>
    </row>
    <row r="968" spans="2:7" x14ac:dyDescent="0.2">
      <c r="B968" s="14">
        <f t="shared" si="85"/>
        <v>11.245054523921739</v>
      </c>
      <c r="C968" s="14">
        <f t="shared" si="84"/>
        <v>3.7549454760782606</v>
      </c>
      <c r="D968" s="8">
        <f t="shared" si="89"/>
        <v>99.899999999998599</v>
      </c>
      <c r="E968" s="14">
        <f t="shared" si="86"/>
        <v>106.27942489115354</v>
      </c>
      <c r="F968" s="14">
        <f t="shared" si="87"/>
        <v>106.27949372024227</v>
      </c>
      <c r="G968" s="14">
        <f t="shared" si="88"/>
        <v>106.27949372024231</v>
      </c>
    </row>
    <row r="969" spans="2:7" x14ac:dyDescent="0.2">
      <c r="B969" s="14">
        <f t="shared" si="85"/>
        <v>11.245994733110997</v>
      </c>
      <c r="C969" s="14">
        <f t="shared" si="84"/>
        <v>3.7540052668890027</v>
      </c>
      <c r="D969" s="8">
        <f t="shared" si="89"/>
        <v>99.999999999998593</v>
      </c>
      <c r="E969" s="14"/>
      <c r="F969" s="14">
        <f t="shared" si="87"/>
        <v>106.43917601280408</v>
      </c>
      <c r="G969" s="14">
        <f t="shared" si="88"/>
        <v>106.43917601280405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10</vt:i4>
      </vt:variant>
    </vt:vector>
  </HeadingPairs>
  <TitlesOfParts>
    <vt:vector size="10" baseType="lpstr">
      <vt:lpstr>Pat 1</vt:lpstr>
      <vt:lpstr>Pat 2</vt:lpstr>
      <vt:lpstr>Pat 3</vt:lpstr>
      <vt:lpstr>Pat 4</vt:lpstr>
      <vt:lpstr>Pat 5</vt:lpstr>
      <vt:lpstr>Pat 6</vt:lpstr>
      <vt:lpstr>Pat 7</vt:lpstr>
      <vt:lpstr>Pat 9</vt:lpstr>
      <vt:lpstr>Pat 10</vt:lpstr>
      <vt:lpstr>rICP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Ryding</dc:creator>
  <cp:lastModifiedBy>Erik Ryding</cp:lastModifiedBy>
  <dcterms:created xsi:type="dcterms:W3CDTF">2023-07-03T17:36:37Z</dcterms:created>
  <dcterms:modified xsi:type="dcterms:W3CDTF">2023-11-27T14:40:20Z</dcterms:modified>
</cp:coreProperties>
</file>