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drawings/drawing3.xml" ContentType="application/vnd.openxmlformats-officedocument.drawing+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threadedComments/threadedComment2.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029"/>
  <workbookPr defaultThemeVersion="166925"/>
  <mc:AlternateContent xmlns:mc="http://schemas.openxmlformats.org/markup-compatibility/2006">
    <mc:Choice Requires="x15">
      <x15ac:absPath xmlns:x15ac="http://schemas.microsoft.com/office/spreadsheetml/2010/11/ac" url="https://leidenuniv1-my.sharepoint.com/personal/oorschotjvan_vuw_leidenuniv_nl/Documents/Files/PhD/Paper IV/Submission/"/>
    </mc:Choice>
  </mc:AlternateContent>
  <xr:revisionPtr revIDLastSave="363" documentId="8_{1BC896AB-2D16-4DF4-8046-C397B8E45A49}" xr6:coauthVersionLast="47" xr6:coauthVersionMax="47" xr10:uidLastSave="{9C536347-1798-4CEF-95B2-EED3052A9631}"/>
  <bookViews>
    <workbookView xWindow="-96" yWindow="-96" windowWidth="23232" windowHeight="13872" tabRatio="687" activeTab="1" xr2:uid="{DDB410F4-E503-411D-9175-D9425CAA3215}"/>
  </bookViews>
  <sheets>
    <sheet name="Content" sheetId="10" r:id="rId1"/>
    <sheet name="S2.1. Optimization_table" sheetId="1" r:id="rId2"/>
    <sheet name="S2.2.1. LULC_change" sheetId="3" r:id="rId3"/>
    <sheet name="S2.2.2. ES_results" sheetId="4" r:id="rId4"/>
    <sheet name="S2.2.3. material_data" sheetId="2" r:id="rId5"/>
    <sheet name="S2.3.1. LULC_class" sheetId="20" r:id="rId6"/>
    <sheet name="S2.3.2. biophys_stormwater" sheetId="12" r:id="rId7"/>
    <sheet name="S2.3.3. biophys_urbanheat" sheetId="13" r:id="rId8"/>
    <sheet name="S2.3.4. info_GI_availability" sheetId="19" r:id="rId9"/>
    <sheet name="S2.4.1. building_footprints" sheetId="5" r:id="rId10"/>
    <sheet name="S2.4.2. MI_Conventional" sheetId="6" r:id="rId11"/>
    <sheet name="S2.4.3. MI_Biobased" sheetId="7" r:id="rId12"/>
    <sheet name="S2.4.4. MI_Circular" sheetId="8" r:id="rId13"/>
    <sheet name="S2.4.5. MI_historic" sheetId="11" r:id="rId14"/>
    <sheet name="S2.4.6. UFA" sheetId="9" r:id="rId15"/>
    <sheet name="S2.4.7. EOL_RR" sheetId="14" r:id="rId16"/>
    <sheet name="S2.4.8. Insulation_shares" sheetId="15" r:id="rId17"/>
    <sheet name="S2.4.9. LCI_landuse" sheetId="16" r:id="rId18"/>
    <sheet name="S2.4.10. LCI_GWP" sheetId="17" r:id="rId19"/>
    <sheet name="S2.4.11. Primary_material" sheetId="18" r:id="rId20"/>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4" i="3" l="1"/>
  <c r="H6" i="4"/>
  <c r="H5" i="4"/>
  <c r="M21" i="3"/>
  <c r="M20" i="3"/>
  <c r="M19" i="3"/>
  <c r="M18" i="3"/>
  <c r="M51" i="18" l="1"/>
  <c r="M52" i="18"/>
  <c r="M53" i="18"/>
  <c r="M54" i="18"/>
  <c r="M55" i="18"/>
  <c r="M50" i="18"/>
  <c r="E4" i="2"/>
  <c r="E5" i="2"/>
  <c r="E6" i="2"/>
  <c r="E7" i="2"/>
  <c r="E8" i="2"/>
  <c r="E3" i="2"/>
  <c r="L51" i="18"/>
  <c r="L52" i="18"/>
  <c r="L53" i="18"/>
  <c r="L54" i="18"/>
  <c r="L55" i="18"/>
  <c r="L50" i="18"/>
  <c r="K51" i="18"/>
  <c r="K52" i="18"/>
  <c r="K53" i="18"/>
  <c r="K54" i="18"/>
  <c r="K55" i="18"/>
  <c r="K50" i="18"/>
  <c r="I51" i="18"/>
  <c r="J51" i="18"/>
  <c r="I52" i="18"/>
  <c r="J52" i="18"/>
  <c r="I53" i="18"/>
  <c r="J53" i="18"/>
  <c r="I54" i="18"/>
  <c r="J54" i="18"/>
  <c r="I55" i="18"/>
  <c r="J55" i="18"/>
  <c r="J50" i="18"/>
  <c r="I50" i="18"/>
  <c r="I43" i="18"/>
  <c r="J43" i="18"/>
  <c r="I44" i="18"/>
  <c r="J44" i="18"/>
  <c r="I45" i="18"/>
  <c r="J45" i="18"/>
  <c r="I46" i="18"/>
  <c r="J46" i="18"/>
  <c r="I47" i="18"/>
  <c r="J47" i="18"/>
  <c r="J42" i="18"/>
  <c r="I42" i="18"/>
  <c r="I40" i="18"/>
  <c r="J37" i="18"/>
  <c r="J40" i="18" s="1"/>
  <c r="I37" i="18"/>
  <c r="J30" i="18"/>
  <c r="K30" i="18"/>
  <c r="L30" i="18"/>
  <c r="M30" i="18"/>
  <c r="J31" i="18"/>
  <c r="K31" i="18"/>
  <c r="L31" i="18"/>
  <c r="M31" i="18"/>
  <c r="J32" i="18"/>
  <c r="K32" i="18"/>
  <c r="L32" i="18"/>
  <c r="M32" i="18"/>
  <c r="J33" i="18"/>
  <c r="K33" i="18"/>
  <c r="L33" i="18"/>
  <c r="M33" i="18"/>
  <c r="J34" i="18"/>
  <c r="K34" i="18"/>
  <c r="L34" i="18"/>
  <c r="M34" i="18"/>
  <c r="K29" i="18"/>
  <c r="L29" i="18"/>
  <c r="M29" i="18"/>
  <c r="J29" i="18"/>
  <c r="M20" i="18"/>
  <c r="M21" i="18"/>
  <c r="M22" i="18"/>
  <c r="M23" i="18"/>
  <c r="M19" i="18"/>
  <c r="L19" i="18"/>
  <c r="L20" i="18"/>
  <c r="L21" i="18"/>
  <c r="L22" i="18"/>
  <c r="L23" i="18"/>
  <c r="K19" i="18"/>
  <c r="K20" i="18"/>
  <c r="K21" i="18"/>
  <c r="K22" i="18"/>
  <c r="K23" i="18"/>
  <c r="J19" i="18"/>
  <c r="J20" i="18"/>
  <c r="J21" i="18"/>
  <c r="J22" i="18"/>
  <c r="J23" i="18"/>
  <c r="L18" i="18"/>
  <c r="K18" i="18"/>
  <c r="J18" i="18"/>
  <c r="C18" i="16" l="1"/>
  <c r="Q14" i="2"/>
  <c r="Q15" i="2"/>
  <c r="Q16" i="2"/>
  <c r="Q17" i="2"/>
  <c r="Q18" i="2"/>
  <c r="Q19" i="2"/>
  <c r="Q7" i="2" l="1"/>
  <c r="P7" i="2"/>
  <c r="O7" i="2"/>
  <c r="N7" i="2"/>
  <c r="M7" i="2"/>
  <c r="Q5" i="2"/>
  <c r="P5" i="2"/>
  <c r="O5" i="2"/>
  <c r="N5" i="2"/>
  <c r="M5" i="2"/>
  <c r="Q3" i="2"/>
  <c r="P3" i="2"/>
  <c r="O3" i="2"/>
  <c r="N3" i="2"/>
  <c r="M3" i="2"/>
  <c r="G3" i="2"/>
  <c r="O7" i="3"/>
  <c r="N7" i="3"/>
  <c r="M7" i="3"/>
  <c r="L7" i="3"/>
  <c r="O5" i="3"/>
  <c r="M5" i="3"/>
  <c r="L5" i="3"/>
  <c r="L6" i="3"/>
  <c r="N5" i="3"/>
  <c r="F13" i="1"/>
  <c r="G13" i="1"/>
  <c r="H13" i="1"/>
  <c r="I13" i="1"/>
  <c r="I12" i="1"/>
  <c r="H12" i="1"/>
  <c r="G12" i="1"/>
  <c r="F12" i="1"/>
  <c r="F11" i="1"/>
  <c r="G11" i="1"/>
  <c r="H11" i="1"/>
  <c r="I11" i="1"/>
  <c r="I10" i="1"/>
  <c r="H10" i="1"/>
  <c r="G10" i="1"/>
  <c r="F10" i="1"/>
  <c r="K21" i="4"/>
  <c r="I9" i="1" s="1"/>
  <c r="J21" i="4"/>
  <c r="G9" i="1" s="1"/>
  <c r="I21" i="4"/>
  <c r="H9" i="1" s="1"/>
  <c r="K20" i="4"/>
  <c r="I8" i="1" s="1"/>
  <c r="J20" i="4"/>
  <c r="G8" i="1" s="1"/>
  <c r="I20" i="4"/>
  <c r="H8" i="1" s="1"/>
  <c r="K16" i="4"/>
  <c r="J16" i="4"/>
  <c r="I16" i="4"/>
  <c r="H16" i="4"/>
  <c r="K15" i="4"/>
  <c r="J15" i="4"/>
  <c r="I15" i="4"/>
  <c r="H15" i="4"/>
  <c r="K11" i="4"/>
  <c r="J11" i="4"/>
  <c r="I11" i="4"/>
  <c r="H11" i="4"/>
  <c r="K10" i="4"/>
  <c r="J10" i="4"/>
  <c r="I10" i="4"/>
  <c r="H10" i="4"/>
  <c r="I5" i="4"/>
  <c r="J5" i="4"/>
  <c r="K5" i="4"/>
  <c r="I6" i="4"/>
  <c r="J6" i="4"/>
  <c r="K6" i="4"/>
  <c r="N8" i="2" l="1"/>
  <c r="O8" i="2"/>
  <c r="M8" i="2"/>
  <c r="P8" i="2"/>
  <c r="Q8" i="2"/>
  <c r="P6" i="2"/>
  <c r="Q6" i="2"/>
  <c r="M6" i="2"/>
  <c r="O6" i="2"/>
  <c r="N6" i="2"/>
  <c r="P4" i="2"/>
  <c r="O4" i="2"/>
  <c r="N4" i="2"/>
  <c r="M4" i="2"/>
  <c r="Q4" i="2"/>
  <c r="H7" i="1"/>
  <c r="G7" i="1"/>
  <c r="H6" i="1"/>
  <c r="G6" i="1"/>
  <c r="H5" i="1"/>
  <c r="F5" i="1"/>
  <c r="E5" i="1"/>
  <c r="I4" i="1"/>
  <c r="H4" i="1"/>
  <c r="G4" i="1"/>
  <c r="F4" i="1"/>
  <c r="E4" i="1"/>
  <c r="D4" i="1"/>
  <c r="C4" i="1"/>
  <c r="I3" i="1"/>
  <c r="H3" i="1"/>
  <c r="G3" i="1"/>
  <c r="F3" i="1"/>
  <c r="E3" i="1"/>
  <c r="D3" i="1"/>
  <c r="C3" i="1"/>
  <c r="F3" i="2"/>
  <c r="J8" i="2"/>
  <c r="I8" i="2"/>
  <c r="G8" i="2"/>
  <c r="C5" i="1" s="1"/>
  <c r="K6" i="2"/>
  <c r="J6" i="2"/>
  <c r="I6" i="2"/>
  <c r="H6" i="2"/>
  <c r="G6" i="2"/>
  <c r="K7" i="2"/>
  <c r="K8" i="2" s="1"/>
  <c r="J7" i="2"/>
  <c r="I7" i="2"/>
  <c r="H7" i="2"/>
  <c r="G7" i="2"/>
  <c r="H8" i="2" s="1"/>
  <c r="D5" i="1" s="1"/>
  <c r="K5" i="2"/>
  <c r="J5" i="2"/>
  <c r="I5" i="2"/>
  <c r="H5" i="2"/>
  <c r="G5" i="2"/>
  <c r="F7" i="2"/>
  <c r="F5" i="2"/>
  <c r="K4" i="2"/>
  <c r="J4" i="2"/>
  <c r="I4" i="2"/>
  <c r="H4" i="2"/>
  <c r="G4" i="2"/>
  <c r="K3" i="2"/>
  <c r="J3" i="2"/>
  <c r="I3" i="2"/>
  <c r="H3" i="2"/>
  <c r="B16" i="14"/>
  <c r="B15" i="14"/>
  <c r="B22" i="14" s="1"/>
  <c r="B14" i="14"/>
  <c r="B13" i="14"/>
  <c r="C11" i="14"/>
  <c r="C10" i="14"/>
  <c r="C9" i="14"/>
  <c r="C8" i="14"/>
  <c r="C4" i="14"/>
  <c r="C2" i="14"/>
  <c r="I5" i="1" l="1"/>
  <c r="G5" i="1"/>
  <c r="M24" i="12"/>
  <c r="K24" i="12"/>
  <c r="J24" i="12"/>
  <c r="Q24" i="12" s="1"/>
  <c r="I24" i="12"/>
  <c r="H24" i="12"/>
  <c r="M23" i="12"/>
  <c r="F23" i="12"/>
  <c r="K23" i="12" s="1"/>
  <c r="R23" i="12" s="1"/>
  <c r="E23" i="12"/>
  <c r="J23" i="12" s="1"/>
  <c r="D23" i="12"/>
  <c r="I23" i="12" s="1"/>
  <c r="P23" i="12" s="1"/>
  <c r="C23" i="12"/>
  <c r="H23" i="12" s="1"/>
  <c r="M22" i="12"/>
  <c r="H22" i="12"/>
  <c r="F22" i="12"/>
  <c r="K22" i="12" s="1"/>
  <c r="E22" i="12"/>
  <c r="J22" i="12" s="1"/>
  <c r="D22" i="12"/>
  <c r="I22" i="12" s="1"/>
  <c r="P22" i="12" s="1"/>
  <c r="C22" i="12"/>
  <c r="M21" i="12"/>
  <c r="K21" i="12"/>
  <c r="J21" i="12"/>
  <c r="I21" i="12"/>
  <c r="F21" i="12"/>
  <c r="E21" i="12"/>
  <c r="D21" i="12"/>
  <c r="C21" i="12"/>
  <c r="H21" i="12" s="1"/>
  <c r="M20" i="12"/>
  <c r="J20" i="12"/>
  <c r="Q20" i="12" s="1"/>
  <c r="I20" i="12"/>
  <c r="P20" i="12" s="1"/>
  <c r="F20" i="12"/>
  <c r="K20" i="12" s="1"/>
  <c r="E20" i="12"/>
  <c r="D20" i="12"/>
  <c r="C20" i="12"/>
  <c r="H20" i="12" s="1"/>
  <c r="O20" i="12" s="1"/>
  <c r="M19" i="12"/>
  <c r="K19" i="12"/>
  <c r="R19" i="12" s="1"/>
  <c r="J19" i="12"/>
  <c r="Q19" i="12" s="1"/>
  <c r="I19" i="12"/>
  <c r="P19" i="12" s="1"/>
  <c r="H19" i="12"/>
  <c r="O19" i="12" s="1"/>
  <c r="M18" i="12"/>
  <c r="R18" i="12" s="1"/>
  <c r="K18" i="12"/>
  <c r="J18" i="12"/>
  <c r="Q18" i="12" s="1"/>
  <c r="I18" i="12"/>
  <c r="H18" i="12"/>
  <c r="M17" i="12"/>
  <c r="O17" i="12" s="1"/>
  <c r="K17" i="12"/>
  <c r="J17" i="12"/>
  <c r="I17" i="12"/>
  <c r="H17" i="12"/>
  <c r="M16" i="12"/>
  <c r="K16" i="12"/>
  <c r="R16" i="12" s="1"/>
  <c r="J16" i="12"/>
  <c r="Q16" i="12" s="1"/>
  <c r="I16" i="12"/>
  <c r="P16" i="12" s="1"/>
  <c r="H16" i="12"/>
  <c r="O16" i="12" s="1"/>
  <c r="M15" i="12"/>
  <c r="R15" i="12" s="1"/>
  <c r="K15" i="12"/>
  <c r="J15" i="12"/>
  <c r="I15" i="12"/>
  <c r="H15" i="12"/>
  <c r="O15" i="12" s="1"/>
  <c r="M14" i="12"/>
  <c r="K14" i="12"/>
  <c r="J14" i="12"/>
  <c r="I14" i="12"/>
  <c r="H14" i="12"/>
  <c r="M13" i="12"/>
  <c r="K13" i="12"/>
  <c r="J13" i="12"/>
  <c r="I13" i="12"/>
  <c r="H13" i="12"/>
  <c r="M12" i="12"/>
  <c r="K12" i="12"/>
  <c r="J12" i="12"/>
  <c r="I12" i="12"/>
  <c r="H12" i="12"/>
  <c r="M11" i="12"/>
  <c r="Q11" i="12" s="1"/>
  <c r="K11" i="12"/>
  <c r="R11" i="12" s="1"/>
  <c r="J11" i="12"/>
  <c r="I11" i="12"/>
  <c r="H11" i="12"/>
  <c r="M10" i="12"/>
  <c r="P10" i="12" s="1"/>
  <c r="K10" i="12"/>
  <c r="J10" i="12"/>
  <c r="Q10" i="12" s="1"/>
  <c r="I10" i="12"/>
  <c r="H10" i="12"/>
  <c r="M9" i="12"/>
  <c r="F9" i="12"/>
  <c r="K9" i="12" s="1"/>
  <c r="R9" i="12" s="1"/>
  <c r="E9" i="12"/>
  <c r="J9" i="12" s="1"/>
  <c r="Q9" i="12" s="1"/>
  <c r="M8" i="12"/>
  <c r="F8" i="12"/>
  <c r="K8" i="12" s="1"/>
  <c r="E8" i="12"/>
  <c r="J8" i="12" s="1"/>
  <c r="M7" i="12"/>
  <c r="K7" i="12"/>
  <c r="F7" i="12"/>
  <c r="E7" i="12"/>
  <c r="J7" i="12" s="1"/>
  <c r="D7" i="12"/>
  <c r="D9" i="12" s="1"/>
  <c r="I9" i="12" s="1"/>
  <c r="P9" i="12" s="1"/>
  <c r="C7" i="12"/>
  <c r="C8" i="12" s="1"/>
  <c r="H8" i="12" s="1"/>
  <c r="M6" i="12"/>
  <c r="P6" i="12" s="1"/>
  <c r="K6" i="12"/>
  <c r="J6" i="12"/>
  <c r="I6" i="12"/>
  <c r="H6" i="12"/>
  <c r="M5" i="12"/>
  <c r="K5" i="12"/>
  <c r="J5" i="12"/>
  <c r="I5" i="12"/>
  <c r="H5" i="12"/>
  <c r="Q4" i="12"/>
  <c r="P4" i="12"/>
  <c r="M4" i="12"/>
  <c r="O4" i="12" s="1"/>
  <c r="K4" i="12"/>
  <c r="J4" i="12"/>
  <c r="I4" i="12"/>
  <c r="H4" i="12"/>
  <c r="M3" i="12"/>
  <c r="K3" i="12"/>
  <c r="J3" i="12"/>
  <c r="I3" i="12"/>
  <c r="H3" i="12"/>
  <c r="O3" i="12" s="1"/>
  <c r="R7" i="12" l="1"/>
  <c r="O6" i="12"/>
  <c r="O9" i="12"/>
  <c r="Q6" i="12"/>
  <c r="R21" i="12"/>
  <c r="R3" i="12"/>
  <c r="R6" i="12"/>
  <c r="D8" i="12"/>
  <c r="I8" i="12" s="1"/>
  <c r="R14" i="12"/>
  <c r="R20" i="12"/>
  <c r="O5" i="12"/>
  <c r="P5" i="12"/>
  <c r="R22" i="12"/>
  <c r="Q5" i="12"/>
  <c r="R10" i="12"/>
  <c r="O18" i="12"/>
  <c r="O22" i="12"/>
  <c r="R24" i="12"/>
  <c r="R12" i="12"/>
  <c r="R4" i="12"/>
  <c r="H7" i="12"/>
  <c r="O7" i="12" s="1"/>
  <c r="P18" i="12"/>
  <c r="P24" i="12"/>
  <c r="I7" i="12"/>
  <c r="P7" i="12" s="1"/>
  <c r="C9" i="12"/>
  <c r="H9" i="12" s="1"/>
  <c r="R13" i="12"/>
  <c r="P15" i="12"/>
  <c r="O23" i="12"/>
  <c r="Q17" i="12"/>
  <c r="R17" i="12"/>
  <c r="Q23" i="12"/>
  <c r="R8" i="12"/>
  <c r="Q22" i="12"/>
  <c r="P17" i="12"/>
  <c r="P3" i="12"/>
  <c r="R5" i="12"/>
  <c r="O14" i="12"/>
  <c r="Q3" i="12"/>
  <c r="Q7" i="12"/>
  <c r="O13" i="12"/>
  <c r="P14" i="12"/>
  <c r="Q15" i="12"/>
  <c r="O21" i="12"/>
  <c r="O8" i="12"/>
  <c r="O12" i="12"/>
  <c r="P13" i="12"/>
  <c r="Q14" i="12"/>
  <c r="P21" i="12"/>
  <c r="P8" i="12"/>
  <c r="O11" i="12"/>
  <c r="P12" i="12"/>
  <c r="Q13" i="12"/>
  <c r="Q21" i="12"/>
  <c r="Q8" i="12"/>
  <c r="O10" i="12"/>
  <c r="P11" i="12"/>
  <c r="Q12" i="12"/>
  <c r="O24" i="12"/>
  <c r="B9" i="4" l="1"/>
  <c r="M6" i="3" l="1"/>
  <c r="N6" i="3"/>
  <c r="O6" i="3"/>
  <c r="L4" i="3"/>
  <c r="F6" i="1" s="1"/>
  <c r="M4" i="3"/>
  <c r="N4" i="3"/>
  <c r="O4" i="3"/>
  <c r="I6" i="1" s="1"/>
  <c r="K6" i="3"/>
  <c r="A10" i="3"/>
  <c r="A11" i="3" s="1"/>
  <c r="A12" i="3" s="1"/>
  <c r="A13" i="3" s="1"/>
  <c r="A14" i="3" s="1"/>
  <c r="A15" i="3" s="1"/>
  <c r="A16" i="3" s="1"/>
  <c r="A17" i="3" s="1"/>
  <c r="A18" i="3" s="1"/>
  <c r="A19" i="3" s="1"/>
  <c r="A20" i="3" s="1"/>
  <c r="A21" i="3" s="1"/>
  <c r="A22" i="3" s="1"/>
  <c r="A23" i="3" s="1"/>
  <c r="A24" i="3" s="1"/>
  <c r="A25" i="3" s="1"/>
  <c r="F7" i="1" l="1"/>
  <c r="I7" i="1"/>
  <c r="H21" i="4" l="1"/>
  <c r="F9" i="1" s="1"/>
  <c r="H20" i="4"/>
  <c r="F8"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tc={77CE2418-7B58-44FB-B239-24E45C19C167}</author>
  </authors>
  <commentList>
    <comment ref="A17" authorId="0" shapeId="0" xr:uid="{77CE2418-7B58-44FB-B239-24E45C19C167}">
      <text>
        <t>[Opmerkingenthread]
U kunt deze opmerkingenthread lezen in uw versie van Excel. Eventuele wijzigingen aan de thread gaan echter verloren als het bestand wordt geopend in een nieuwere versie van Excel. Meer informatie: https://go.microsoft.com/fwlink/?linkid=870924
Opmerking:
    mean of bitumen, gypsum, stone, sand-lime stone and sand</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tc={6826BA68-DB78-4BFF-8D9F-A17F1AB57A2B}</author>
  </authors>
  <commentList>
    <comment ref="D18" authorId="0" shapeId="0" xr:uid="{6826BA68-DB78-4BFF-8D9F-A17F1AB57A2B}">
      <text>
        <t>[Opmerkingenthread]
U kunt deze opmerkingenthread lezen in uw versie van Excel. Eventuele wijzigingen aan de thread gaan echter verloren als het bestand wordt geopend in een nieuwere versie van Excel. Meer informatie: https://go.microsoft.com/fwlink/?linkid=870924
Opmerking:
    Only in inflow, so not assessed here</t>
      </text>
    </comment>
  </commentList>
</comments>
</file>

<file path=xl/sharedStrings.xml><?xml version="1.0" encoding="utf-8"?>
<sst xmlns="http://schemas.openxmlformats.org/spreadsheetml/2006/main" count="1007" uniqueCount="393">
  <si>
    <t>Construction material</t>
  </si>
  <si>
    <t>Urban planning</t>
  </si>
  <si>
    <t>Details</t>
  </si>
  <si>
    <t>Conventional</t>
  </si>
  <si>
    <t>Biobased</t>
  </si>
  <si>
    <t>Circular</t>
  </si>
  <si>
    <t>Dense + Green</t>
  </si>
  <si>
    <t>Sparse + Green</t>
  </si>
  <si>
    <t>Dense + Grey</t>
  </si>
  <si>
    <t>Sparse + Grey</t>
  </si>
  <si>
    <t>buildings constructed between 2018 and 2050</t>
  </si>
  <si>
    <t>++</t>
  </si>
  <si>
    <t>+</t>
  </si>
  <si>
    <t>-</t>
  </si>
  <si>
    <t>Change between 2018 and 2050</t>
  </si>
  <si>
    <t>difference between 2018 and 2050 (new buildings)</t>
  </si>
  <si>
    <t>difference between 2018 and 2050 (all buildings)</t>
  </si>
  <si>
    <t>Embodied GHG emissions*</t>
  </si>
  <si>
    <t>Embodied land-use*</t>
  </si>
  <si>
    <t>Primary material demand*</t>
  </si>
  <si>
    <t>Total green infrastructure**</t>
  </si>
  <si>
    <t>Total agricultural area**</t>
  </si>
  <si>
    <t>Impact</t>
  </si>
  <si>
    <t>Groen</t>
  </si>
  <si>
    <t>Grijs</t>
  </si>
  <si>
    <t>building</t>
  </si>
  <si>
    <t>open</t>
  </si>
  <si>
    <t>grass+shrub+trees &lt;= 50%</t>
  </si>
  <si>
    <t>open_high_veg</t>
  </si>
  <si>
    <t>trees+shrubs+grass &gt; 50% &amp; trees &gt; (grass + shrubs)</t>
  </si>
  <si>
    <t>open_low_veg</t>
  </si>
  <si>
    <t>trees+shrubs + grass &gt; 50% &amp; trees &lt;=  (shrubs + grass)</t>
  </si>
  <si>
    <t>sealed</t>
  </si>
  <si>
    <t>sealed_high_veg</t>
  </si>
  <si>
    <t>sealed_low_veg</t>
  </si>
  <si>
    <t>agriculture</t>
  </si>
  <si>
    <t>forest_closed</t>
  </si>
  <si>
    <t xml:space="preserve">trees &gt; 50 </t>
  </si>
  <si>
    <t>forest_open</t>
  </si>
  <si>
    <t>trees &lt;= 50</t>
  </si>
  <si>
    <t>shrubs_closed</t>
  </si>
  <si>
    <t>shrubs &gt; 50</t>
  </si>
  <si>
    <t>shrubs_open</t>
  </si>
  <si>
    <t>shrubs &lt;= 50</t>
  </si>
  <si>
    <t>grass_closed</t>
  </si>
  <si>
    <t>grass &gt; 50</t>
  </si>
  <si>
    <t>grass_open</t>
  </si>
  <si>
    <t>grass &lt;= 50</t>
  </si>
  <si>
    <t>mix_sparse</t>
  </si>
  <si>
    <t>grass+trees+shrubs&lt;10</t>
  </si>
  <si>
    <t>mix_high_veg_open</t>
  </si>
  <si>
    <t>grass+trees+shrubs&gt;10 &amp; grass+trees+shrub &lt;= 50 &amp; trees &gt; (grass + shrubs)</t>
  </si>
  <si>
    <t>mix_low_veg_open</t>
  </si>
  <si>
    <t>grass+trees+shrubs&gt;10 &amp; grass+trees+shrub &lt;= 50 &amp; trees &lt;= (grass + shrubs)</t>
  </si>
  <si>
    <t>mix_high_veg_closed</t>
  </si>
  <si>
    <t>grass+trees+shrubs&gt;50 &amp; grass+trees+shrub &lt;= 70 &amp; trees &gt; (grass + shrubs)</t>
  </si>
  <si>
    <t>mix_low_veg_closed</t>
  </si>
  <si>
    <t>grass+trees+shrubs&gt;50 &amp; grass+trees+shrub &lt;= 70 &amp; trees &lt;= (grass + shrubs)</t>
  </si>
  <si>
    <t>mix_high_veg_dense</t>
  </si>
  <si>
    <t>grass+trees+shrubs &gt; 70 &amp; trees &gt; (grass + shrubs)</t>
  </si>
  <si>
    <t>mix_low_veg_dense</t>
  </si>
  <si>
    <t>grass+trees+shrubs &gt; 70 &amp; trees &lt;= (grass + shrubs)</t>
  </si>
  <si>
    <t>water</t>
  </si>
  <si>
    <t>Green</t>
  </si>
  <si>
    <t>square meters (m2)</t>
  </si>
  <si>
    <t>LULC</t>
  </si>
  <si>
    <t>Assumptions</t>
  </si>
  <si>
    <t>Classification rules</t>
  </si>
  <si>
    <t>#</t>
  </si>
  <si>
    <t>Dense</t>
  </si>
  <si>
    <t>Green 2050</t>
  </si>
  <si>
    <t>Grey 2050</t>
  </si>
  <si>
    <t>Sparse</t>
  </si>
  <si>
    <t>Grey infrastructure</t>
  </si>
  <si>
    <t>Green infrastructure</t>
  </si>
  <si>
    <t>Agricultural land</t>
  </si>
  <si>
    <t>Other</t>
  </si>
  <si>
    <t>Grey</t>
  </si>
  <si>
    <t>New 2050</t>
  </si>
  <si>
    <t>Total 2050</t>
  </si>
  <si>
    <t>Stormwater retention ratio (%)</t>
  </si>
  <si>
    <t>Green infrastructure per capita (m2)</t>
  </si>
  <si>
    <t>Newly constructed 2050</t>
  </si>
  <si>
    <t>BAU_low_rise</t>
  </si>
  <si>
    <t>small_low_rise</t>
  </si>
  <si>
    <t>large_low_rise</t>
  </si>
  <si>
    <t>BAU_mid_rise</t>
  </si>
  <si>
    <t>small_mid_rise</t>
  </si>
  <si>
    <t>large_mid_rise</t>
  </si>
  <si>
    <t>BAU_high_rise</t>
  </si>
  <si>
    <t>small_high_rise</t>
  </si>
  <si>
    <t>large_high_rise</t>
  </si>
  <si>
    <t>start</t>
  </si>
  <si>
    <t>stop</t>
  </si>
  <si>
    <t>office</t>
  </si>
  <si>
    <t>retail</t>
  </si>
  <si>
    <t>industry</t>
  </si>
  <si>
    <t>services</t>
  </si>
  <si>
    <t>rowHouse</t>
  </si>
  <si>
    <t>detachedHouse</t>
  </si>
  <si>
    <t>app_6</t>
  </si>
  <si>
    <t>app_24</t>
  </si>
  <si>
    <t>app_48</t>
  </si>
  <si>
    <t>app_72</t>
  </si>
  <si>
    <t>app_96</t>
  </si>
  <si>
    <t>app_120</t>
  </si>
  <si>
    <t>app_144</t>
  </si>
  <si>
    <t>app_168</t>
  </si>
  <si>
    <t>app_192</t>
  </si>
  <si>
    <t>app_216</t>
  </si>
  <si>
    <t>app_240</t>
  </si>
  <si>
    <t>app_264</t>
  </si>
  <si>
    <t>app_288</t>
  </si>
  <si>
    <t>app_312</t>
  </si>
  <si>
    <t>app_336</t>
  </si>
  <si>
    <t>app_360</t>
  </si>
  <si>
    <t>Building type</t>
  </si>
  <si>
    <t>Aluminum</t>
  </si>
  <si>
    <t>Brick</t>
  </si>
  <si>
    <t>Concrete</t>
  </si>
  <si>
    <t>Bitumen</t>
  </si>
  <si>
    <t>Electronics</t>
  </si>
  <si>
    <t>Gypsum</t>
  </si>
  <si>
    <t>Glass</t>
  </si>
  <si>
    <t>Wood</t>
  </si>
  <si>
    <t>Insulation</t>
  </si>
  <si>
    <t>Lime sandstone</t>
  </si>
  <si>
    <t>Ceramics</t>
  </si>
  <si>
    <t>Copper</t>
  </si>
  <si>
    <t>Plastics</t>
  </si>
  <si>
    <t>Glue &amp; paint</t>
  </si>
  <si>
    <t>Mortar</t>
  </si>
  <si>
    <t>Other biobased materials</t>
  </si>
  <si>
    <t>Other metals</t>
  </si>
  <si>
    <t>Paper</t>
  </si>
  <si>
    <t>Steel &amp; iron</t>
  </si>
  <si>
    <t>Stone</t>
  </si>
  <si>
    <t>Sand</t>
  </si>
  <si>
    <t>Row</t>
  </si>
  <si>
    <t>Detached</t>
  </si>
  <si>
    <t>Ap_S</t>
  </si>
  <si>
    <t>Ap_L</t>
  </si>
  <si>
    <t>Office_S</t>
  </si>
  <si>
    <t>Office_L</t>
  </si>
  <si>
    <t>Industry</t>
  </si>
  <si>
    <t>Services</t>
  </si>
  <si>
    <t>Retail</t>
  </si>
  <si>
    <t>Value</t>
  </si>
  <si>
    <t>unit</t>
  </si>
  <si>
    <t>Source</t>
  </si>
  <si>
    <t>Apartment</t>
  </si>
  <si>
    <t>BAG (2018)</t>
  </si>
  <si>
    <t>Office</t>
  </si>
  <si>
    <r>
      <t>Air temperature (Mean</t>
    </r>
    <r>
      <rPr>
        <b/>
        <vertAlign val="superscript"/>
        <sz val="9"/>
        <color theme="1"/>
        <rFont val="Avenir Next LT Pro"/>
        <family val="2"/>
      </rPr>
      <t xml:space="preserve"> o</t>
    </r>
    <r>
      <rPr>
        <b/>
        <sz val="9"/>
        <color theme="1"/>
        <rFont val="Avenir Next LT Pro"/>
        <family val="2"/>
      </rPr>
      <t>C)</t>
    </r>
  </si>
  <si>
    <r>
      <t>UFA (m</t>
    </r>
    <r>
      <rPr>
        <vertAlign val="superscript"/>
        <sz val="9"/>
        <color theme="1"/>
        <rFont val="Avenir Next LT Pro"/>
        <family val="2"/>
      </rPr>
      <t>2</t>
    </r>
    <r>
      <rPr>
        <sz val="9"/>
        <color theme="1"/>
        <rFont val="Avenir Next LT Pro"/>
        <family val="2"/>
      </rPr>
      <t>)/dwelling</t>
    </r>
  </si>
  <si>
    <r>
      <t>UFA (m</t>
    </r>
    <r>
      <rPr>
        <vertAlign val="superscript"/>
        <sz val="9"/>
        <color theme="1"/>
        <rFont val="Avenir Next LT Pro"/>
        <family val="2"/>
      </rPr>
      <t>2</t>
    </r>
    <r>
      <rPr>
        <sz val="9"/>
        <color theme="1"/>
        <rFont val="Avenir Next LT Pro"/>
        <family val="2"/>
      </rPr>
      <t>) / footprint (m</t>
    </r>
    <r>
      <rPr>
        <vertAlign val="superscript"/>
        <sz val="9"/>
        <color theme="1"/>
        <rFont val="Avenir Next LT Pro"/>
        <family val="2"/>
      </rPr>
      <t>2</t>
    </r>
    <r>
      <rPr>
        <sz val="9"/>
        <color theme="1"/>
        <rFont val="Avenir Next LT Pro"/>
        <family val="2"/>
      </rPr>
      <t>)</t>
    </r>
  </si>
  <si>
    <t>Cohort</t>
  </si>
  <si>
    <t>Steel</t>
  </si>
  <si>
    <t>Other construction minerals</t>
  </si>
  <si>
    <t>Insulation material</t>
  </si>
  <si>
    <t>&lt;1945</t>
  </si>
  <si>
    <t>1945-1970</t>
  </si>
  <si>
    <t>1970-2000</t>
  </si>
  <si>
    <t>&gt;2000</t>
  </si>
  <si>
    <t>Service</t>
  </si>
  <si>
    <t>Class</t>
  </si>
  <si>
    <t>Class name</t>
  </si>
  <si>
    <t>A</t>
  </si>
  <si>
    <t>B</t>
  </si>
  <si>
    <t>C</t>
  </si>
  <si>
    <t>D</t>
  </si>
  <si>
    <t>Rainfall (inches)</t>
  </si>
  <si>
    <t>Curve number</t>
  </si>
  <si>
    <t xml:space="preserve">S </t>
  </si>
  <si>
    <t>RC</t>
  </si>
  <si>
    <t>Shade</t>
  </si>
  <si>
    <t>Crop coefficient</t>
  </si>
  <si>
    <t>Surface Albedo</t>
  </si>
  <si>
    <t>building_intensity</t>
  </si>
  <si>
    <t>green_area</t>
  </si>
  <si>
    <t>Material</t>
  </si>
  <si>
    <t>Other_cons</t>
  </si>
  <si>
    <t>PUR</t>
  </si>
  <si>
    <t>XPS</t>
  </si>
  <si>
    <t>EPS</t>
  </si>
  <si>
    <t>Glass wool</t>
  </si>
  <si>
    <t>Stone wool</t>
  </si>
  <si>
    <t>Biobased insulation</t>
  </si>
  <si>
    <t>Glass_glasswool</t>
  </si>
  <si>
    <t>Wood_beam</t>
  </si>
  <si>
    <t>Wood_board</t>
  </si>
  <si>
    <t>CLT</t>
  </si>
  <si>
    <t>Other_meta</t>
  </si>
  <si>
    <t>Other biobased</t>
  </si>
  <si>
    <t>Primary material demand</t>
  </si>
  <si>
    <t>selected LCI results | resource | land occupation (m2 year)</t>
  </si>
  <si>
    <t>Biboased</t>
  </si>
  <si>
    <t>Clay brick</t>
  </si>
  <si>
    <t>Wood &amp; other biobased materials</t>
  </si>
  <si>
    <t>stone, sand-lime stone</t>
  </si>
  <si>
    <t>Ceramic tile</t>
  </si>
  <si>
    <t>Steel &amp; iron, and other metals</t>
  </si>
  <si>
    <t>Other construction materials</t>
  </si>
  <si>
    <t>EOL recycling rate            (actual)</t>
  </si>
  <si>
    <t>EOL recycling rate (best practice)</t>
  </si>
  <si>
    <t xml:space="preserve">EOL recycling rate    (100%) </t>
  </si>
  <si>
    <t>Maximum recycled content</t>
  </si>
  <si>
    <t>Sources</t>
  </si>
  <si>
    <t>Betonakkoord (2018), Zhang (2021, chapter 2), Verhagen et al. (2021)</t>
  </si>
  <si>
    <t>In wet processing, 53% can be recycled as coarse aggregate. All gravel in primary concrete production is replaced with secondary coarse aggregate (37%)</t>
  </si>
  <si>
    <t>KNB (n.d.), KNB (2022), Verhagen et al. (2021), BDA (2014)</t>
  </si>
  <si>
    <t>See Concrete</t>
  </si>
  <si>
    <t>EuRIC (2018a), Bouwen met Staal (n.d.), Verhagen et al. (2021), Bowyer et al. (2015)</t>
  </si>
  <si>
    <t>Wiprachtiger et al. (2020)</t>
  </si>
  <si>
    <t>Wiprachtiger et al. (2020), EPS Industry Alliance (2016)</t>
  </si>
  <si>
    <t>Wiprachtiger et al. (2020), Isover (2018)</t>
  </si>
  <si>
    <t>Rock wool</t>
  </si>
  <si>
    <t>Wiprachtiger et al. (2020), Bouwfisica (2018) &amp; Rockwool (n.d.)</t>
  </si>
  <si>
    <t>Wood insulation</t>
  </si>
  <si>
    <t>Maximum recycled content as glass wool</t>
  </si>
  <si>
    <t>See Brick</t>
  </si>
  <si>
    <t>Glass to glass</t>
  </si>
  <si>
    <t>Vlakglas Recycling Nederland (2020) &amp; Verhagen et al. (2021)</t>
  </si>
  <si>
    <t>Glass to glass wool</t>
  </si>
  <si>
    <t>Vlakglas Recycling Nederland (2020), ISOVER St. Gobain (2018) &amp; Verhagen et al. (2021)</t>
  </si>
  <si>
    <t>Wooden beam to board*</t>
  </si>
  <si>
    <t>Mehr et al. (2018) &amp; Verhagen et al. (2021)</t>
  </si>
  <si>
    <t>Beam is sawn into smaller pieces: boards</t>
  </si>
  <si>
    <t>Wooden board to particle board*</t>
  </si>
  <si>
    <t>particle board consists of secondary wood and chemicals</t>
  </si>
  <si>
    <t>p.m.</t>
  </si>
  <si>
    <t>Metabolic (2021)</t>
  </si>
  <si>
    <t>Maximum recycled content based upon plastics and copper (electronics)</t>
  </si>
  <si>
    <t>EuRIC (2018b) &amp; ASBP (2021), Verhagen et al. (2021)</t>
  </si>
  <si>
    <t>Theoretical EOL RR based upon mean of Verhagen et al. (2020)</t>
  </si>
  <si>
    <t>EuRIC (2018a)</t>
  </si>
  <si>
    <t>See steel &amp; iron</t>
  </si>
  <si>
    <t>See wood</t>
  </si>
  <si>
    <t>* 82% is beam, 18% is board, 25% of beam can be recycled into boards, 80% of board can be recycled into particleboard (Mehr et al., 2018)</t>
  </si>
  <si>
    <t>* beam, board ratio is based on : Heeren et al. (2015)</t>
  </si>
  <si>
    <t xml:space="preserve">References: </t>
  </si>
  <si>
    <t>ASBP (2021). Recycled plastics in construction – Is it a good thing?  https://asbp.org.uk/asbp-news/think-piece-recycled-plastics</t>
  </si>
  <si>
    <t>BDA (2014). BDA comment on the use of Reclaimed Clay Bricks. https://www.brick.org.uk/admin/resources/g-reclaimed-brickwork.pdf</t>
  </si>
  <si>
    <t>Betonakkoord (2018). Betonakkoord voor duurzame groei. https://www.betonakkoord.nl/</t>
  </si>
  <si>
    <t>Bouwfysica (2018). De circulariteitsprestatie van isolatiematerialen. https://nvbv.org/l/library/download/urn:uuid:01978c2a-35de-4e92-85c4-6d21d0a69c0e/de+circulariteitsprestatie+van+isolatiematerialen.pdf?format=save_to_disk&amp;ext=.pdf</t>
  </si>
  <si>
    <t>Bowyer, J., Bratkovich, S., Fernholz, K., Frank, M., Groot, H., Howe, J., &amp; Pepke, E. (2015). Understanding steel recovery and recycling rates and limitations to recycling. Dovetail Partners Inc.: Minneapolis, MN, USA, 1-12.</t>
  </si>
  <si>
    <t>EPS Industry Alliance (2016). Recycled Content in Expanded Polystyrene Foam Protective Packaging. http://www.epsindustry.org/sites/default/files/Recycled%20Content%20In%20Expanded%20Polystyrene%20Foam%20Protective%20Packaging.pdf</t>
  </si>
  <si>
    <t>EuRIC (2018a). Metal Recycling Factsheet. https://www.euric-aisbl.eu/position-papers/download/591/335/32</t>
  </si>
  <si>
    <t>EuRIC (2018b). Plastic Recycling Factsheet. https://circulareconomy.europa.eu/platform/sites/default/files/euric_-_plastic_recycling_fact_sheet.pdf</t>
  </si>
  <si>
    <t>Isover (2018). ISOVER Recycling. https://www.isover.fr/presse/isover-recycling</t>
  </si>
  <si>
    <t>ISOVER St. Gobain (2018) ISOVER Recycling - les déchets de laine de verre ont désormais und filière de recyclage – Dossier de presse</t>
  </si>
  <si>
    <t>KNB (n.d.). Hergebruik en Recycling. https://www.knb-keramiek.nl/themas/duurzaamheid/hergebruik-en-recycling/</t>
  </si>
  <si>
    <t>KNB (2022, 1 March). KNB. Personal communication</t>
  </si>
  <si>
    <t>Mehr, J., Vadenbo, C., Steubing, B., &amp; Hellweg, S. (2018). Environmentally optimal wood use in Switzerland—Investigating the relevance of material cascades. Resources, Conservation and Recycling, 131, 181-191.</t>
  </si>
  <si>
    <t>Metabolic (2021). Toekomstscenario’s voor de materialisering van gebouwen. Mogelijke implicaties van de circulaire en energietransitie op het materiaalgebruik in gebouwen tot 2050</t>
  </si>
  <si>
    <t xml:space="preserve">Rockwool (n.d.). Rockcycle. https://www.rockwool.com/nl/downloads-tools-en-services/services/rockcycle/ . </t>
  </si>
  <si>
    <t>Van Dijk, K., van der Zwan, J., Fraaij, A.L.A., Mulder E., &amp; Hendriks, F. (2001). Closing the clay-brick cycle, options for the recycling or reuse of masonry debris. In CIB world building congress 2001 (pp. 1-12). CIB.</t>
  </si>
  <si>
    <r>
      <t>Verhagen, T. J., Sauer, M. L., van der Voet, E., &amp; Sprecher, B. (2021). Matching Demolition and Construction Material Flows, an Urban Mining Case Study. </t>
    </r>
    <r>
      <rPr>
        <i/>
        <sz val="10"/>
        <color rgb="FF222222"/>
        <rFont val="Avenir Next LT Pro"/>
        <family val="2"/>
      </rPr>
      <t>Sustainability</t>
    </r>
    <r>
      <rPr>
        <sz val="10"/>
        <color rgb="FF222222"/>
        <rFont val="Avenir Next LT Pro"/>
        <family val="2"/>
      </rPr>
      <t>, </t>
    </r>
    <r>
      <rPr>
        <i/>
        <sz val="10"/>
        <color rgb="FF222222"/>
        <rFont val="Avenir Next LT Pro"/>
        <family val="2"/>
      </rPr>
      <t>13</t>
    </r>
    <r>
      <rPr>
        <sz val="10"/>
        <color rgb="FF222222"/>
        <rFont val="Avenir Next LT Pro"/>
        <family val="2"/>
      </rPr>
      <t>(2), 653.</t>
    </r>
  </si>
  <si>
    <t xml:space="preserve">Vlakglas Recycling Nederland (2020). Jaarverslag 2020. https://www.vlakglasrecycling.nl/uploads/jaarverslagen/Jaarverslag%202020.pdf </t>
  </si>
  <si>
    <r>
      <t>Wiprächtiger, M., Haupt, M., Heeren, N., Waser, E., &amp; Hellweg, S. (2020). A framework for sustainable and circular system design: Development and application on thermal insulation materials. </t>
    </r>
    <r>
      <rPr>
        <i/>
        <sz val="10"/>
        <color rgb="FF222222"/>
        <rFont val="Avenir Next LT Pro"/>
        <family val="2"/>
      </rPr>
      <t>Resources, Conservation and Recycling</t>
    </r>
    <r>
      <rPr>
        <sz val="10"/>
        <color rgb="FF222222"/>
        <rFont val="Avenir Next LT Pro"/>
        <family val="2"/>
      </rPr>
      <t>, </t>
    </r>
    <r>
      <rPr>
        <i/>
        <sz val="10"/>
        <color rgb="FF222222"/>
        <rFont val="Avenir Next LT Pro"/>
        <family val="2"/>
      </rPr>
      <t>154</t>
    </r>
    <r>
      <rPr>
        <sz val="10"/>
        <color rgb="FF222222"/>
        <rFont val="Avenir Next LT Pro"/>
        <family val="2"/>
      </rPr>
      <t>, 104631.</t>
    </r>
  </si>
  <si>
    <t>Zhang, C. (2021). Chapter 2: Eco-efficiency assessment of technological innovations in high-grade concrete recycling.</t>
  </si>
  <si>
    <t>Bouwen met Staal (n.d.). Recycling en hergebruik. https://www.bouwenmetstaal.nl/themas/duurzaam/recycling-en-hergebruik/</t>
  </si>
  <si>
    <t>Secondary_share_GWP</t>
  </si>
  <si>
    <t>IPCC 2013 | climate change | GWP 100a</t>
  </si>
  <si>
    <t>Primary material impact</t>
  </si>
  <si>
    <t>Secondary material impact</t>
  </si>
  <si>
    <t>Building material</t>
  </si>
  <si>
    <t>Urbanization</t>
  </si>
  <si>
    <t>Primary material inflow</t>
  </si>
  <si>
    <t>GWP</t>
  </si>
  <si>
    <t>Land use</t>
  </si>
  <si>
    <t>Megaton</t>
  </si>
  <si>
    <t>Megaton CO2 eq.</t>
  </si>
  <si>
    <t xml:space="preserve">km2 </t>
  </si>
  <si>
    <t xml:space="preserve">Megaton CO2 eq. </t>
  </si>
  <si>
    <t>--</t>
  </si>
  <si>
    <t>Combined with Dense</t>
  </si>
  <si>
    <t>Combined with Conventional</t>
  </si>
  <si>
    <t>Green infrastructure availability**</t>
  </si>
  <si>
    <t>Air temperature**</t>
  </si>
  <si>
    <t>Stormwater retention**</t>
  </si>
  <si>
    <t>Deviation from 2018</t>
  </si>
  <si>
    <t xml:space="preserve">* The values listed under the "Construction material" header indicate the relative change when compared to conventional construction materials, while those under the "Urban planning" header show the relative change in relation to dense building construction. </t>
  </si>
  <si>
    <t>lucode</t>
  </si>
  <si>
    <t>urban_nature</t>
  </si>
  <si>
    <t>search_radius_m</t>
  </si>
  <si>
    <t>kg/m2 UFA</t>
  </si>
  <si>
    <t>Mean of Dense and Sparse</t>
  </si>
  <si>
    <t>Mean of Conventional, Biobased &amp; Circular</t>
  </si>
  <si>
    <t>Sustainability indicator</t>
  </si>
  <si>
    <t>inflow/stock</t>
  </si>
  <si>
    <t>Stock 2050</t>
  </si>
  <si>
    <t>0-5%</t>
  </si>
  <si>
    <t>&gt;5%</t>
  </si>
  <si>
    <t>&gt; 5%</t>
  </si>
  <si>
    <t>** Values show the mean increase (&gt;100%) or decrease (&lt;100%) for the specified sustainability indicator between 2018 and 2050</t>
  </si>
  <si>
    <t>Content</t>
  </si>
  <si>
    <t xml:space="preserve">S2.1. </t>
  </si>
  <si>
    <t>Optimization table</t>
  </si>
  <si>
    <t>S2.2.1</t>
  </si>
  <si>
    <t>S2.2.2.</t>
  </si>
  <si>
    <t>S2.2.3.</t>
  </si>
  <si>
    <t>Impact on land-use</t>
  </si>
  <si>
    <t>Impact on ecosystem services</t>
  </si>
  <si>
    <t>Impact on building materials</t>
  </si>
  <si>
    <t>S2.3.2.</t>
  </si>
  <si>
    <t>S2.3.3.</t>
  </si>
  <si>
    <t>S2.4.1.</t>
  </si>
  <si>
    <t>S2.4.2.</t>
  </si>
  <si>
    <t>S2.4.3.</t>
  </si>
  <si>
    <t>S2.4.4</t>
  </si>
  <si>
    <t>S2.4.5</t>
  </si>
  <si>
    <t>S2.4.6</t>
  </si>
  <si>
    <t>S2.4.7</t>
  </si>
  <si>
    <t>Biophysical table for urban cooling model</t>
  </si>
  <si>
    <t>Biophysical table for urban stormwater retention model</t>
  </si>
  <si>
    <t>Assumptions for green infrastructure availability</t>
  </si>
  <si>
    <t>Building footprints</t>
  </si>
  <si>
    <t>Material intensiteis - Circular</t>
  </si>
  <si>
    <t>Material intensities - conventional</t>
  </si>
  <si>
    <t>Material intensities - Biobased</t>
  </si>
  <si>
    <t>Material intensities - Historic</t>
  </si>
  <si>
    <t>Useful-floor-area per building type</t>
  </si>
  <si>
    <t>EOL recycling rates</t>
  </si>
  <si>
    <t>Insulation shares</t>
  </si>
  <si>
    <t>LCI GWP</t>
  </si>
  <si>
    <t>LCI land use</t>
  </si>
  <si>
    <t>S2.4.8</t>
  </si>
  <si>
    <t>S2.4.9</t>
  </si>
  <si>
    <t>S2.4.10</t>
  </si>
  <si>
    <t>S2.4.11</t>
  </si>
  <si>
    <t>RVO (2016)</t>
  </si>
  <si>
    <t>S2.3.1.</t>
  </si>
  <si>
    <t>S2.3.4.</t>
  </si>
  <si>
    <t>Classification of LULC</t>
  </si>
  <si>
    <t>KNMI, n.d.</t>
  </si>
  <si>
    <r>
      <t xml:space="preserve">KNMI. (n.d.). </t>
    </r>
    <r>
      <rPr>
        <i/>
        <sz val="9"/>
        <color theme="1"/>
        <rFont val="Calibri"/>
        <family val="2"/>
      </rPr>
      <t>Extreme neerslag</t>
    </r>
    <r>
      <rPr>
        <sz val="9"/>
        <color theme="1"/>
        <rFont val="Calibri"/>
        <family val="2"/>
      </rPr>
      <t>. Retrieved April 5, 2023, from https://www.knmi.nl/kennis-en-datacentrum/uitleg/extreme-neerslag</t>
    </r>
  </si>
  <si>
    <r>
      <t xml:space="preserve">USDA. (1986). </t>
    </r>
    <r>
      <rPr>
        <i/>
        <sz val="9"/>
        <color theme="1"/>
        <rFont val="Calibri"/>
        <family val="2"/>
      </rPr>
      <t>Urban Hydrology for Small Watersheds</t>
    </r>
    <r>
      <rPr>
        <sz val="9"/>
        <color theme="1"/>
        <rFont val="Calibri"/>
        <family val="2"/>
      </rPr>
      <t xml:space="preserve"> (TR-55). United States Department of Agriculture.</t>
    </r>
  </si>
  <si>
    <t>USDA, 1986</t>
  </si>
  <si>
    <t>Bosch et al. (2021) &amp; Veerkamp et al. (2022)</t>
  </si>
  <si>
    <r>
      <t xml:space="preserve">Bosch, M., Locatelli, M., Hamel, P., Remme, R. P., Chenal, J., &amp; Joost, S. (2021). A spatially explicit approach to simulate urban heat mitigation with InVEST (v3.8.0). </t>
    </r>
    <r>
      <rPr>
        <i/>
        <sz val="9"/>
        <color theme="1"/>
        <rFont val="Calibri"/>
        <family val="2"/>
      </rPr>
      <t>Geoscientific Model Development</t>
    </r>
    <r>
      <rPr>
        <sz val="9"/>
        <color theme="1"/>
        <rFont val="Calibri"/>
        <family val="2"/>
      </rPr>
      <t xml:space="preserve">, </t>
    </r>
    <r>
      <rPr>
        <i/>
        <sz val="9"/>
        <color theme="1"/>
        <rFont val="Calibri"/>
        <family val="2"/>
      </rPr>
      <t>14</t>
    </r>
    <r>
      <rPr>
        <sz val="9"/>
        <color theme="1"/>
        <rFont val="Calibri"/>
        <family val="2"/>
      </rPr>
      <t>(6), 3521–3537. https://doi.org/10.5194/gmd-14-3521-2021</t>
    </r>
  </si>
  <si>
    <r>
      <t xml:space="preserve">Veerkamp, C. J., Loreti, M., Benavidez, R., Jackson, B., &amp; Schipper, A. M. (2023). Comparing three spatial modeling tools for assessing urban ecosystem services. </t>
    </r>
    <r>
      <rPr>
        <i/>
        <sz val="9"/>
        <color theme="1"/>
        <rFont val="Calibri"/>
        <family val="2"/>
      </rPr>
      <t>Ecosystem Services</t>
    </r>
    <r>
      <rPr>
        <sz val="9"/>
        <color theme="1"/>
        <rFont val="Calibri"/>
        <family val="2"/>
      </rPr>
      <t xml:space="preserve">, </t>
    </r>
    <r>
      <rPr>
        <i/>
        <sz val="9"/>
        <color theme="1"/>
        <rFont val="Calibri"/>
        <family val="2"/>
      </rPr>
      <t>59</t>
    </r>
    <r>
      <rPr>
        <sz val="9"/>
        <color theme="1"/>
        <rFont val="Calibri"/>
        <family val="2"/>
      </rPr>
      <t>, 101500. https://doi.org/10.1016/j.ecoser.2022.101500</t>
    </r>
  </si>
  <si>
    <r>
      <t xml:space="preserve">Roo, M. D., Kuypers, V. H. M., &amp; Lenzholzer, S. (2011). </t>
    </r>
    <r>
      <rPr>
        <i/>
        <sz val="9"/>
        <color theme="1"/>
        <rFont val="Calibri"/>
        <family val="2"/>
      </rPr>
      <t>The green city guidelines: Techniques for a healthy liveable city.</t>
    </r>
    <r>
      <rPr>
        <sz val="9"/>
        <color theme="1"/>
        <rFont val="Calibri"/>
        <family val="2"/>
      </rPr>
      <t xml:space="preserve"> http://library.wur.nl/WebQuery/wurpubs/fulltext/178666</t>
    </r>
  </si>
  <si>
    <t>Roo et al. (2011)</t>
  </si>
  <si>
    <t>van Oorschot et al. (2023)</t>
  </si>
  <si>
    <r>
      <t xml:space="preserve">van Oorschot, J., Sprecher, B., Roelofs, B., van der Horst, J., &amp; van der Voet, E. (2022). Towards a low-carbon and circular economy: Scenarios for metal stocks and flows in the Dutch electricity system. </t>
    </r>
    <r>
      <rPr>
        <i/>
        <sz val="9"/>
        <color theme="1"/>
        <rFont val="Calibri"/>
        <family val="2"/>
      </rPr>
      <t>Resources, Conservation and Recycling</t>
    </r>
    <r>
      <rPr>
        <sz val="9"/>
        <color theme="1"/>
        <rFont val="Calibri"/>
        <family val="2"/>
      </rPr>
      <t xml:space="preserve">, </t>
    </r>
    <r>
      <rPr>
        <i/>
        <sz val="9"/>
        <color theme="1"/>
        <rFont val="Calibri"/>
        <family val="2"/>
      </rPr>
      <t>178</t>
    </r>
    <r>
      <rPr>
        <sz val="9"/>
        <color theme="1"/>
        <rFont val="Calibri"/>
        <family val="2"/>
      </rPr>
      <t>, 106105. https://doi.org/10.1016/j.resconrec.2021.106105</t>
    </r>
  </si>
  <si>
    <r>
      <t xml:space="preserve">RVO. (2016). </t>
    </r>
    <r>
      <rPr>
        <i/>
        <sz val="9"/>
        <color theme="1"/>
        <rFont val="Calibri"/>
        <family val="2"/>
      </rPr>
      <t>Referentie gebouwen BENG (Bijna EnergieNeutrale Gebouwen).</t>
    </r>
    <r>
      <rPr>
        <sz val="9"/>
        <color theme="1"/>
        <rFont val="Calibri"/>
        <family val="2"/>
      </rPr>
      <t xml:space="preserve"> (E.2015.1371.00.R001). Rijksdienst voor Ondernemend Nederland.</t>
    </r>
  </si>
  <si>
    <r>
      <t xml:space="preserve">BAG. (2018). </t>
    </r>
    <r>
      <rPr>
        <i/>
        <sz val="9"/>
        <color theme="1"/>
        <rFont val="Calibri"/>
        <family val="2"/>
      </rPr>
      <t>Basisregistratie Adressen en Gebouwen (Basic registration of addresses and buildings).</t>
    </r>
    <r>
      <rPr>
        <sz val="9"/>
        <color theme="1"/>
        <rFont val="Calibri"/>
        <family val="2"/>
      </rPr>
      <t xml:space="preserve"> Https://Www.Geobasisregistraties.Nl/Basisregistraties/Adressen-En-Gebouwen.</t>
    </r>
  </si>
  <si>
    <t>References:</t>
  </si>
  <si>
    <r>
      <t xml:space="preserve">Wernet, G., Bauer, C., Steubing, B., Reinhard, J., Moreno-Ruiz, E., &amp; Weidema, B. (2016). The ecoinvent database version 3 (part I): Overview and methodology. </t>
    </r>
    <r>
      <rPr>
        <i/>
        <sz val="9"/>
        <color theme="1"/>
        <rFont val="Calibri"/>
        <family val="2"/>
      </rPr>
      <t>The International Journal of Life Cycle Assessment</t>
    </r>
    <r>
      <rPr>
        <sz val="9"/>
        <color theme="1"/>
        <rFont val="Calibri"/>
        <family val="2"/>
      </rPr>
      <t xml:space="preserve">, </t>
    </r>
    <r>
      <rPr>
        <i/>
        <sz val="9"/>
        <color theme="1"/>
        <rFont val="Calibri"/>
        <family val="2"/>
      </rPr>
      <t>21</t>
    </r>
    <r>
      <rPr>
        <sz val="9"/>
        <color theme="1"/>
        <rFont val="Calibri"/>
        <family val="2"/>
      </rPr>
      <t>(9), 1218–1230. https://doi.org/10.1007/s11367-016-1087-8</t>
    </r>
  </si>
  <si>
    <t>References</t>
  </si>
  <si>
    <t>Wernet et al. (2016)</t>
  </si>
  <si>
    <t>0-10%</t>
  </si>
  <si>
    <t>&gt;10%</t>
  </si>
  <si>
    <t>Other classification:</t>
  </si>
  <si>
    <t>Primary wood demand</t>
  </si>
  <si>
    <t>kg</t>
  </si>
  <si>
    <t>Board hardwood</t>
  </si>
  <si>
    <t>Beam softwood</t>
  </si>
  <si>
    <t>Beam hardwood</t>
  </si>
  <si>
    <t>kg/m3</t>
  </si>
  <si>
    <t>amount needed for 1 m3</t>
  </si>
  <si>
    <t>Total primary sawlog demand 2018-2050 (m3)</t>
  </si>
  <si>
    <t>Hardwood</t>
  </si>
  <si>
    <t>Softwood</t>
  </si>
  <si>
    <t>Yield (m3/m2) (excluding bark)*</t>
  </si>
  <si>
    <t>rotation period (years) *</t>
  </si>
  <si>
    <t>Yield (m3/m2) (excluding bark)/year *</t>
  </si>
  <si>
    <t>Demand in m3/year</t>
  </si>
  <si>
    <t>Land occupation</t>
  </si>
  <si>
    <t>Surface area NL</t>
  </si>
  <si>
    <t>m2</t>
  </si>
  <si>
    <t>% of surface area NL</t>
  </si>
  <si>
    <t>Total m2</t>
  </si>
  <si>
    <t>Total km2</t>
  </si>
  <si>
    <t>Land use related to wood production, based on Van Oorschot et al., 2023</t>
  </si>
  <si>
    <t>buildings constructed between 2018 and 2050 - difference from reference strategy: Conventional + Dense</t>
  </si>
  <si>
    <t xml:space="preserve"> </t>
  </si>
  <si>
    <t>Green infrastructure availability</t>
  </si>
  <si>
    <t>Air temperature</t>
  </si>
  <si>
    <t>Stormwater retention</t>
  </si>
  <si>
    <t>Embodied GHG emissions</t>
  </si>
  <si>
    <t>Embodied land-use</t>
  </si>
  <si>
    <t>Total green infrastructure</t>
  </si>
  <si>
    <t>Total agricultural area</t>
  </si>
  <si>
    <t>difference between 2018 and 2050</t>
  </si>
  <si>
    <t>ha</t>
  </si>
  <si>
    <t>Green infrastructure within 1 km2 area (km2/km2)</t>
  </si>
  <si>
    <t>Not applicable</t>
  </si>
  <si>
    <t>Supplementary Information I</t>
  </si>
  <si>
    <t>Increase Dense</t>
  </si>
  <si>
    <t>Increase Sparse</t>
  </si>
  <si>
    <t>Reference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</si>
</sst>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0.0"/>
    <numFmt numFmtId="166" formatCode="0.0000"/>
  </numFmts>
  <fonts count="31" x14ac:knownFonts="1">
    <font>
      <sz val="11"/>
      <color theme="1"/>
      <name val="Calibri"/>
      <family val="2"/>
      <scheme val="minor"/>
    </font>
    <font>
      <sz val="11"/>
      <color theme="1"/>
      <name val="Calibri"/>
      <family val="2"/>
      <scheme val="minor"/>
    </font>
    <font>
      <sz val="9"/>
      <color theme="1"/>
      <name val="Avenir Next LT Pro"/>
      <family val="2"/>
    </font>
    <font>
      <sz val="11"/>
      <color theme="1"/>
      <name val="Avenir Next LT Pro"/>
      <family val="2"/>
    </font>
    <font>
      <b/>
      <sz val="10"/>
      <color theme="1"/>
      <name val="Avenir Next LT Pro"/>
      <family val="2"/>
    </font>
    <font>
      <b/>
      <sz val="9"/>
      <color theme="1"/>
      <name val="Avenir Next LT Pro"/>
      <family val="2"/>
    </font>
    <font>
      <sz val="8"/>
      <color theme="1"/>
      <name val="Avenir Next LT Pro"/>
      <family val="2"/>
    </font>
    <font>
      <sz val="8"/>
      <name val="Avenir Next LT Pro"/>
      <family val="2"/>
    </font>
    <font>
      <sz val="9"/>
      <name val="Avenir Next LT Pro"/>
      <family val="2"/>
    </font>
    <font>
      <sz val="10"/>
      <name val="Avenir Next LT Pro"/>
      <family val="2"/>
    </font>
    <font>
      <sz val="11"/>
      <color rgb="FFFF0000"/>
      <name val="Calibri"/>
      <family val="2"/>
      <scheme val="minor"/>
    </font>
    <font>
      <b/>
      <sz val="11"/>
      <color theme="1"/>
      <name val="Calibri"/>
      <family val="2"/>
      <scheme val="minor"/>
    </font>
    <font>
      <sz val="10"/>
      <color theme="1"/>
      <name val="Avenir Next LT Pro"/>
      <family val="2"/>
    </font>
    <font>
      <b/>
      <sz val="11"/>
      <color theme="1"/>
      <name val="Avenir Next LT Pro"/>
      <family val="2"/>
    </font>
    <font>
      <b/>
      <vertAlign val="superscript"/>
      <sz val="9"/>
      <color theme="1"/>
      <name val="Avenir Next LT Pro"/>
      <family val="2"/>
    </font>
    <font>
      <b/>
      <sz val="8"/>
      <color theme="1"/>
      <name val="Avenir Next LT Pro"/>
      <family val="2"/>
    </font>
    <font>
      <vertAlign val="superscript"/>
      <sz val="9"/>
      <color theme="1"/>
      <name val="Avenir Next LT Pro"/>
      <family val="2"/>
    </font>
    <font>
      <sz val="9"/>
      <color theme="1"/>
      <name val="Calibri"/>
      <family val="2"/>
      <scheme val="minor"/>
    </font>
    <font>
      <sz val="8"/>
      <color theme="1"/>
      <name val="Calibri"/>
      <family val="2"/>
      <scheme val="minor"/>
    </font>
    <font>
      <sz val="11"/>
      <name val="Calibri"/>
      <family val="2"/>
      <scheme val="minor"/>
    </font>
    <font>
      <sz val="11"/>
      <name val="Avenir Next LT Pro"/>
      <family val="2"/>
    </font>
    <font>
      <sz val="11"/>
      <color rgb="FFFF0000"/>
      <name val="Avenir Next LT Pro"/>
      <family val="2"/>
    </font>
    <font>
      <sz val="10"/>
      <color rgb="FF222222"/>
      <name val="Avenir Next LT Pro"/>
      <family val="2"/>
    </font>
    <font>
      <i/>
      <sz val="10"/>
      <color rgb="FF222222"/>
      <name val="Avenir Next LT Pro"/>
      <family val="2"/>
    </font>
    <font>
      <sz val="8"/>
      <name val="Calibri"/>
      <family val="2"/>
      <scheme val="minor"/>
    </font>
    <font>
      <sz val="9"/>
      <color theme="1"/>
      <name val="Calibri"/>
      <family val="2"/>
    </font>
    <font>
      <i/>
      <sz val="9"/>
      <color theme="1"/>
      <name val="Calibri"/>
      <family val="2"/>
    </font>
    <font>
      <i/>
      <sz val="9"/>
      <color theme="1"/>
      <name val="Avenir Next LT Pro"/>
      <family val="2"/>
    </font>
    <font>
      <sz val="10"/>
      <color rgb="FFFF0000"/>
      <name val="Avenir Next LT Pro"/>
      <family val="2"/>
    </font>
    <font>
      <u/>
      <sz val="11"/>
      <color theme="10"/>
      <name val="Calibri"/>
      <family val="2"/>
      <scheme val="minor"/>
    </font>
    <font>
      <sz val="10"/>
      <color theme="1"/>
      <name val="Calibri"/>
      <family val="2"/>
      <scheme val="minor"/>
    </font>
  </fonts>
  <fills count="14">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7" tint="0.39997558519241921"/>
        <bgColor indexed="64"/>
      </patternFill>
    </fill>
    <fill>
      <patternFill patternType="solid">
        <fgColor rgb="FFF9844A"/>
        <bgColor indexed="64"/>
      </patternFill>
    </fill>
    <fill>
      <patternFill patternType="solid">
        <fgColor rgb="FFF9C74F"/>
        <bgColor indexed="64"/>
      </patternFill>
    </fill>
    <fill>
      <patternFill patternType="solid">
        <fgColor rgb="FFA6E4A0"/>
        <bgColor indexed="64"/>
      </patternFill>
    </fill>
    <fill>
      <patternFill patternType="solid">
        <fgColor rgb="FF47AB79"/>
        <bgColor indexed="64"/>
      </patternFill>
    </fill>
    <fill>
      <patternFill patternType="solid">
        <fgColor theme="7" tint="-0.249977111117893"/>
        <bgColor indexed="64"/>
      </patternFill>
    </fill>
    <fill>
      <patternFill patternType="solid">
        <fgColor theme="9" tint="0.59999389629810485"/>
        <bgColor indexed="64"/>
      </patternFill>
    </fill>
    <fill>
      <patternFill patternType="solid">
        <fgColor theme="2" tint="-9.9978637043366805E-2"/>
        <bgColor indexed="64"/>
      </patternFill>
    </fill>
    <fill>
      <patternFill patternType="solid">
        <fgColor theme="0" tint="-0.14999847407452621"/>
        <bgColor indexed="64"/>
      </patternFill>
    </fill>
    <fill>
      <patternFill patternType="solid">
        <fgColor theme="0" tint="-4.9989318521683403E-2"/>
        <bgColor indexed="64"/>
      </patternFill>
    </fill>
  </fills>
  <borders count="41">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medium">
        <color indexed="64"/>
      </top>
      <bottom/>
      <diagonal/>
    </border>
    <border>
      <left style="medium">
        <color indexed="64"/>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top style="medium">
        <color indexed="64"/>
      </top>
      <bottom style="thin">
        <color indexed="64"/>
      </bottom>
      <diagonal/>
    </border>
    <border>
      <left style="medium">
        <color indexed="64"/>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right style="medium">
        <color indexed="64"/>
      </right>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auto="1"/>
      </top>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medium">
        <color indexed="64"/>
      </top>
      <bottom style="thin">
        <color theme="2" tint="-9.9978637043366805E-2"/>
      </bottom>
      <diagonal/>
    </border>
    <border>
      <left/>
      <right style="medium">
        <color indexed="64"/>
      </right>
      <top style="thin">
        <color theme="2" tint="-9.9978637043366805E-2"/>
      </top>
      <bottom style="medium">
        <color indexed="64"/>
      </bottom>
      <diagonal/>
    </border>
    <border>
      <left style="thin">
        <color indexed="64"/>
      </left>
      <right style="thin">
        <color indexed="64"/>
      </right>
      <top style="medium">
        <color indexed="64"/>
      </top>
      <bottom style="thin">
        <color theme="2" tint="-9.9978637043366805E-2"/>
      </bottom>
      <diagonal/>
    </border>
    <border>
      <left style="thin">
        <color indexed="64"/>
      </left>
      <right style="thin">
        <color indexed="64"/>
      </right>
      <top style="thin">
        <color theme="2" tint="-9.9978637043366805E-2"/>
      </top>
      <bottom style="medium">
        <color indexed="64"/>
      </bottom>
      <diagonal/>
    </border>
    <border>
      <left/>
      <right style="thin">
        <color indexed="64"/>
      </right>
      <top style="medium">
        <color indexed="64"/>
      </top>
      <bottom style="thin">
        <color theme="2" tint="-9.9978637043366805E-2"/>
      </bottom>
      <diagonal/>
    </border>
    <border>
      <left/>
      <right style="thin">
        <color indexed="64"/>
      </right>
      <top style="thin">
        <color theme="2" tint="-9.9978637043366805E-2"/>
      </top>
      <bottom style="medium">
        <color indexed="64"/>
      </bottom>
      <diagonal/>
    </border>
    <border>
      <left style="medium">
        <color indexed="64"/>
      </left>
      <right style="thin">
        <color indexed="64"/>
      </right>
      <top style="medium">
        <color indexed="64"/>
      </top>
      <bottom style="thin">
        <color theme="2" tint="-9.9978637043366805E-2"/>
      </bottom>
      <diagonal/>
    </border>
    <border>
      <left style="medium">
        <color indexed="64"/>
      </left>
      <right style="thin">
        <color indexed="64"/>
      </right>
      <top style="thin">
        <color theme="2" tint="-9.9978637043366805E-2"/>
      </top>
      <bottom style="medium">
        <color indexed="64"/>
      </bottom>
      <diagonal/>
    </border>
    <border>
      <left/>
      <right style="medium">
        <color theme="2" tint="-9.9978637043366805E-2"/>
      </right>
      <top style="medium">
        <color indexed="64"/>
      </top>
      <bottom style="medium">
        <color indexed="64"/>
      </bottom>
      <diagonal/>
    </border>
    <border>
      <left style="thin">
        <color theme="0" tint="-0.499984740745262"/>
      </left>
      <right style="thin">
        <color theme="0" tint="-0.499984740745262"/>
      </right>
      <top style="thin">
        <color theme="0" tint="-0.499984740745262"/>
      </top>
      <bottom style="thin">
        <color theme="0" tint="-0.499984740745262"/>
      </bottom>
      <diagonal/>
    </border>
    <border>
      <left/>
      <right style="medium">
        <color indexed="64"/>
      </right>
      <top/>
      <bottom style="thin">
        <color indexed="64"/>
      </bottom>
      <diagonal/>
    </border>
  </borders>
  <cellStyleXfs count="3">
    <xf numFmtId="0" fontId="0" fillId="0" borderId="0"/>
    <xf numFmtId="9" fontId="1" fillId="0" borderId="0" applyFont="0" applyFill="0" applyBorder="0" applyAlignment="0" applyProtection="0"/>
    <xf numFmtId="0" fontId="29" fillId="0" borderId="0" applyNumberFormat="0" applyFill="0" applyBorder="0" applyAlignment="0" applyProtection="0"/>
  </cellStyleXfs>
  <cellXfs count="386">
    <xf numFmtId="0" fontId="0" fillId="0" borderId="0" xfId="0"/>
    <xf numFmtId="0" fontId="3" fillId="2" borderId="0" xfId="0" applyFont="1" applyFill="1"/>
    <xf numFmtId="0" fontId="4" fillId="2" borderId="0" xfId="0" applyFont="1" applyFill="1"/>
    <xf numFmtId="0" fontId="6" fillId="0" borderId="6" xfId="0" applyFont="1" applyBorder="1" applyAlignment="1">
      <alignment horizontal="center" vertical="center" wrapText="1"/>
    </xf>
    <xf numFmtId="0" fontId="2" fillId="2" borderId="0" xfId="0" applyFont="1" applyFill="1" applyAlignment="1">
      <alignment horizontal="left" vertical="center"/>
    </xf>
    <xf numFmtId="0" fontId="0" fillId="2" borderId="0" xfId="0" applyFill="1"/>
    <xf numFmtId="0" fontId="9" fillId="2" borderId="0" xfId="0" applyFont="1" applyFill="1" applyAlignment="1">
      <alignment horizontal="left" vertical="top"/>
    </xf>
    <xf numFmtId="0" fontId="7" fillId="2" borderId="0" xfId="0" applyFont="1" applyFill="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2" fillId="0" borderId="13" xfId="0" applyFont="1" applyBorder="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3" fillId="0" borderId="0" xfId="0" applyFont="1"/>
    <xf numFmtId="0" fontId="2" fillId="0" borderId="0" xfId="0" applyFont="1"/>
    <xf numFmtId="11" fontId="2" fillId="0" borderId="0" xfId="0" applyNumberFormat="1" applyFont="1"/>
    <xf numFmtId="0" fontId="12" fillId="0" borderId="0" xfId="0" applyFont="1"/>
    <xf numFmtId="0" fontId="5" fillId="0" borderId="0" xfId="0" applyFont="1" applyAlignment="1">
      <alignment horizontal="center" vertical="center"/>
    </xf>
    <xf numFmtId="0" fontId="5" fillId="0" borderId="0" xfId="0" applyFont="1"/>
    <xf numFmtId="0" fontId="11" fillId="0" borderId="0" xfId="0" applyFont="1"/>
    <xf numFmtId="2" fontId="12" fillId="0" borderId="20" xfId="0" applyNumberFormat="1" applyFont="1" applyBorder="1"/>
    <xf numFmtId="2" fontId="12" fillId="0" borderId="23" xfId="0" applyNumberFormat="1" applyFont="1" applyBorder="1"/>
    <xf numFmtId="2" fontId="12" fillId="0" borderId="16" xfId="0" applyNumberFormat="1" applyFont="1" applyBorder="1"/>
    <xf numFmtId="2" fontId="12" fillId="0" borderId="15" xfId="0" applyNumberFormat="1" applyFont="1" applyBorder="1"/>
    <xf numFmtId="2" fontId="12" fillId="0" borderId="0" xfId="0" applyNumberFormat="1" applyFont="1"/>
    <xf numFmtId="2" fontId="12" fillId="0" borderId="14" xfId="0" applyNumberFormat="1" applyFont="1" applyBorder="1"/>
    <xf numFmtId="0" fontId="12" fillId="0" borderId="14" xfId="0" applyFont="1" applyBorder="1"/>
    <xf numFmtId="0" fontId="12" fillId="0" borderId="15" xfId="0" applyFont="1" applyBorder="1"/>
    <xf numFmtId="0" fontId="12" fillId="0" borderId="23" xfId="0" applyFont="1" applyBorder="1"/>
    <xf numFmtId="2" fontId="2" fillId="0" borderId="4" xfId="0" applyNumberFormat="1" applyFont="1" applyBorder="1"/>
    <xf numFmtId="2" fontId="2" fillId="0" borderId="5" xfId="0" applyNumberFormat="1" applyFont="1" applyBorder="1"/>
    <xf numFmtId="2" fontId="2" fillId="0" borderId="6" xfId="0" applyNumberFormat="1" applyFont="1" applyBorder="1"/>
    <xf numFmtId="2" fontId="2" fillId="0" borderId="20" xfId="0" applyNumberFormat="1" applyFont="1" applyBorder="1"/>
    <xf numFmtId="2" fontId="2" fillId="0" borderId="0" xfId="0" applyNumberFormat="1" applyFont="1"/>
    <xf numFmtId="2" fontId="2" fillId="0" borderId="23" xfId="0" applyNumberFormat="1" applyFont="1" applyBorder="1"/>
    <xf numFmtId="2" fontId="2" fillId="0" borderId="14" xfId="0" applyNumberFormat="1" applyFont="1" applyBorder="1"/>
    <xf numFmtId="2" fontId="2" fillId="0" borderId="16" xfId="0" applyNumberFormat="1" applyFont="1" applyBorder="1"/>
    <xf numFmtId="2" fontId="2" fillId="0" borderId="15" xfId="0" applyNumberFormat="1" applyFont="1" applyBorder="1"/>
    <xf numFmtId="1" fontId="0" fillId="0" borderId="5" xfId="0" applyNumberFormat="1" applyBorder="1"/>
    <xf numFmtId="1" fontId="0" fillId="0" borderId="6" xfId="0" applyNumberFormat="1" applyBorder="1"/>
    <xf numFmtId="1" fontId="0" fillId="0" borderId="0" xfId="0" applyNumberFormat="1"/>
    <xf numFmtId="1" fontId="2" fillId="0" borderId="16" xfId="0" applyNumberFormat="1" applyFont="1" applyBorder="1"/>
    <xf numFmtId="0" fontId="12" fillId="0" borderId="20" xfId="0" applyFont="1" applyBorder="1"/>
    <xf numFmtId="0" fontId="0" fillId="0" borderId="6" xfId="0" applyBorder="1"/>
    <xf numFmtId="0" fontId="0" fillId="0" borderId="23" xfId="0" applyBorder="1"/>
    <xf numFmtId="0" fontId="0" fillId="0" borderId="15" xfId="0" applyBorder="1"/>
    <xf numFmtId="0" fontId="2" fillId="0" borderId="0" xfId="0" applyFont="1" applyAlignment="1">
      <alignment vertical="center" wrapText="1"/>
    </xf>
    <xf numFmtId="0" fontId="2" fillId="0" borderId="4" xfId="0" applyFont="1" applyBorder="1"/>
    <xf numFmtId="0" fontId="2" fillId="0" borderId="5" xfId="0" applyFont="1" applyBorder="1"/>
    <xf numFmtId="0" fontId="2" fillId="0" borderId="6" xfId="0" applyFont="1" applyBorder="1"/>
    <xf numFmtId="0" fontId="2" fillId="0" borderId="20" xfId="0" applyFont="1" applyBorder="1"/>
    <xf numFmtId="0" fontId="2" fillId="0" borderId="23" xfId="0" applyFont="1" applyBorder="1"/>
    <xf numFmtId="0" fontId="2" fillId="0" borderId="14" xfId="0" applyFont="1" applyBorder="1"/>
    <xf numFmtId="0" fontId="2" fillId="0" borderId="16" xfId="0" applyFont="1" applyBorder="1"/>
    <xf numFmtId="0" fontId="2" fillId="0" borderId="15" xfId="0" applyFont="1" applyBorder="1"/>
    <xf numFmtId="0" fontId="2" fillId="0" borderId="10" xfId="0" applyFont="1" applyBorder="1"/>
    <xf numFmtId="0" fontId="2" fillId="0" borderId="11" xfId="0" applyFont="1" applyBorder="1"/>
    <xf numFmtId="1" fontId="2" fillId="0" borderId="20" xfId="0" applyNumberFormat="1" applyFont="1" applyBorder="1"/>
    <xf numFmtId="1" fontId="2" fillId="0" borderId="0" xfId="0" applyNumberFormat="1" applyFont="1"/>
    <xf numFmtId="0" fontId="2" fillId="0" borderId="20" xfId="0" applyFont="1" applyBorder="1" applyAlignment="1">
      <alignment horizontal="center" vertical="center"/>
    </xf>
    <xf numFmtId="1" fontId="2" fillId="0" borderId="14" xfId="0" applyNumberFormat="1" applyFont="1" applyBorder="1"/>
    <xf numFmtId="0" fontId="2" fillId="0" borderId="14" xfId="0" applyFont="1" applyBorder="1" applyAlignment="1">
      <alignment horizontal="center" vertical="center"/>
    </xf>
    <xf numFmtId="0" fontId="2" fillId="0" borderId="22" xfId="0" applyFont="1" applyBorder="1" applyAlignment="1">
      <alignment horizontal="center" vertical="center"/>
    </xf>
    <xf numFmtId="0" fontId="2" fillId="0" borderId="18" xfId="0" applyFont="1" applyBorder="1" applyAlignment="1">
      <alignment horizontal="center" vertical="center"/>
    </xf>
    <xf numFmtId="0" fontId="5" fillId="0" borderId="0" xfId="0" applyFont="1" applyAlignment="1">
      <alignment vertical="center" wrapText="1"/>
    </xf>
    <xf numFmtId="0" fontId="2" fillId="0" borderId="23" xfId="0" applyFont="1" applyBorder="1" applyAlignment="1">
      <alignment horizontal="center" vertical="center"/>
    </xf>
    <xf numFmtId="0" fontId="2" fillId="0" borderId="15" xfId="0" applyFont="1" applyBorder="1" applyAlignment="1">
      <alignment horizontal="center" vertical="center"/>
    </xf>
    <xf numFmtId="2" fontId="0" fillId="0" borderId="0" xfId="0" applyNumberFormat="1"/>
    <xf numFmtId="0" fontId="2" fillId="0" borderId="4" xfId="0" applyFont="1" applyBorder="1" applyAlignment="1">
      <alignment horizontal="center" vertical="center"/>
    </xf>
    <xf numFmtId="0" fontId="5" fillId="0" borderId="20"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7" xfId="0" applyFont="1" applyBorder="1" applyAlignment="1">
      <alignment horizontal="center" vertical="center" wrapText="1"/>
    </xf>
    <xf numFmtId="0" fontId="5" fillId="0" borderId="0" xfId="0" applyFont="1" applyAlignment="1">
      <alignment horizontal="center" vertical="center" wrapText="1"/>
    </xf>
    <xf numFmtId="0" fontId="2" fillId="0" borderId="0" xfId="0" applyFont="1" applyAlignment="1">
      <alignment horizontal="center" vertical="center"/>
    </xf>
    <xf numFmtId="0" fontId="2" fillId="0" borderId="0" xfId="0" applyFont="1" applyAlignment="1">
      <alignment horizontal="left" vertical="center"/>
    </xf>
    <xf numFmtId="165" fontId="2" fillId="0" borderId="0" xfId="0" applyNumberFormat="1" applyFont="1"/>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0" xfId="0" applyFont="1" applyAlignment="1">
      <alignment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17" fillId="0" borderId="0" xfId="0" applyFont="1"/>
    <xf numFmtId="1" fontId="2" fillId="0" borderId="4" xfId="0" applyNumberFormat="1" applyFont="1" applyBorder="1" applyAlignment="1">
      <alignment vertical="center"/>
    </xf>
    <xf numFmtId="1" fontId="2" fillId="0" borderId="5" xfId="0" applyNumberFormat="1" applyFont="1" applyBorder="1" applyAlignment="1">
      <alignment vertical="center"/>
    </xf>
    <xf numFmtId="1" fontId="2" fillId="0" borderId="6" xfId="0" applyNumberFormat="1" applyFont="1" applyBorder="1" applyAlignment="1">
      <alignment vertical="center"/>
    </xf>
    <xf numFmtId="2" fontId="2" fillId="0" borderId="4" xfId="0" applyNumberFormat="1" applyFont="1" applyBorder="1" applyAlignment="1">
      <alignment vertical="center"/>
    </xf>
    <xf numFmtId="2" fontId="2" fillId="0" borderId="5" xfId="0" applyNumberFormat="1" applyFont="1" applyBorder="1" applyAlignment="1">
      <alignment vertical="center"/>
    </xf>
    <xf numFmtId="2" fontId="2" fillId="0" borderId="6" xfId="0" applyNumberFormat="1" applyFont="1" applyBorder="1" applyAlignment="1">
      <alignment vertical="center"/>
    </xf>
    <xf numFmtId="2" fontId="2" fillId="0" borderId="17" xfId="0" applyNumberFormat="1" applyFont="1" applyBorder="1" applyAlignment="1">
      <alignment horizontal="center" vertical="center"/>
    </xf>
    <xf numFmtId="2" fontId="2" fillId="0" borderId="4" xfId="1" applyNumberFormat="1" applyFont="1" applyBorder="1" applyAlignment="1">
      <alignment vertical="center"/>
    </xf>
    <xf numFmtId="1" fontId="2" fillId="0" borderId="20" xfId="0" applyNumberFormat="1" applyFont="1" applyBorder="1" applyAlignment="1">
      <alignment vertical="center"/>
    </xf>
    <xf numFmtId="1" fontId="2" fillId="0" borderId="0" xfId="0" applyNumberFormat="1" applyFont="1" applyAlignment="1">
      <alignment vertical="center"/>
    </xf>
    <xf numFmtId="1" fontId="2" fillId="0" borderId="23" xfId="0" applyNumberFormat="1" applyFont="1" applyBorder="1" applyAlignment="1">
      <alignment vertical="center"/>
    </xf>
    <xf numFmtId="2" fontId="2" fillId="0" borderId="20" xfId="0" applyNumberFormat="1" applyFont="1" applyBorder="1" applyAlignment="1">
      <alignment vertical="center"/>
    </xf>
    <xf numFmtId="2" fontId="2" fillId="0" borderId="0" xfId="0" applyNumberFormat="1" applyFont="1" applyAlignment="1">
      <alignment vertical="center"/>
    </xf>
    <xf numFmtId="2" fontId="2" fillId="0" borderId="23" xfId="0" applyNumberFormat="1" applyFont="1" applyBorder="1" applyAlignment="1">
      <alignment vertical="center"/>
    </xf>
    <xf numFmtId="2" fontId="2" fillId="0" borderId="22" xfId="0" applyNumberFormat="1" applyFont="1" applyBorder="1" applyAlignment="1">
      <alignment horizontal="center" vertical="center"/>
    </xf>
    <xf numFmtId="1" fontId="2" fillId="0" borderId="14" xfId="0" applyNumberFormat="1" applyFont="1" applyBorder="1" applyAlignment="1">
      <alignment vertical="center"/>
    </xf>
    <xf numFmtId="1" fontId="2" fillId="0" borderId="16" xfId="0" applyNumberFormat="1" applyFont="1" applyBorder="1" applyAlignment="1">
      <alignment vertical="center"/>
    </xf>
    <xf numFmtId="1" fontId="2" fillId="0" borderId="15" xfId="0" applyNumberFormat="1" applyFont="1" applyBorder="1" applyAlignment="1">
      <alignment vertical="center"/>
    </xf>
    <xf numFmtId="2" fontId="2" fillId="0" borderId="14" xfId="0" applyNumberFormat="1" applyFont="1" applyBorder="1" applyAlignment="1">
      <alignment vertical="center"/>
    </xf>
    <xf numFmtId="2" fontId="2" fillId="0" borderId="16" xfId="0" applyNumberFormat="1" applyFont="1" applyBorder="1" applyAlignment="1">
      <alignment vertical="center"/>
    </xf>
    <xf numFmtId="2" fontId="2" fillId="0" borderId="15" xfId="0" applyNumberFormat="1" applyFont="1" applyBorder="1" applyAlignment="1">
      <alignment vertical="center"/>
    </xf>
    <xf numFmtId="2" fontId="2" fillId="0" borderId="18" xfId="0" applyNumberFormat="1" applyFont="1" applyBorder="1" applyAlignment="1">
      <alignment horizontal="center" vertical="center"/>
    </xf>
    <xf numFmtId="0" fontId="4" fillId="0" borderId="1" xfId="0" applyFont="1" applyBorder="1" applyAlignment="1">
      <alignment horizontal="center" wrapText="1"/>
    </xf>
    <xf numFmtId="0" fontId="4" fillId="0" borderId="3" xfId="0" applyFont="1" applyBorder="1" applyAlignment="1">
      <alignment horizontal="center" wrapText="1"/>
    </xf>
    <xf numFmtId="0" fontId="4" fillId="0" borderId="2" xfId="0" applyFont="1" applyBorder="1" applyAlignment="1">
      <alignment horizontal="center" wrapText="1"/>
    </xf>
    <xf numFmtId="2" fontId="9" fillId="0" borderId="0" xfId="0" applyNumberFormat="1" applyFont="1"/>
    <xf numFmtId="0" fontId="5" fillId="0" borderId="0" xfId="0" applyFont="1" applyAlignment="1">
      <alignment vertical="center"/>
    </xf>
    <xf numFmtId="0" fontId="4" fillId="0" borderId="3" xfId="0" applyFont="1" applyBorder="1" applyAlignment="1">
      <alignment horizontal="center" vertical="center" wrapText="1"/>
    </xf>
    <xf numFmtId="2" fontId="7" fillId="0" borderId="23" xfId="0" applyNumberFormat="1" applyFont="1" applyBorder="1" applyAlignment="1">
      <alignment horizontal="center" vertical="center"/>
    </xf>
    <xf numFmtId="2" fontId="6" fillId="0" borderId="23" xfId="0" applyNumberFormat="1" applyFont="1" applyBorder="1" applyAlignment="1">
      <alignment horizontal="center" vertical="center"/>
    </xf>
    <xf numFmtId="2" fontId="7" fillId="0" borderId="15" xfId="0" applyNumberFormat="1" applyFont="1" applyBorder="1" applyAlignment="1">
      <alignment horizontal="center" vertical="center"/>
    </xf>
    <xf numFmtId="0" fontId="15" fillId="0" borderId="20" xfId="0" applyFont="1" applyBorder="1" applyAlignment="1">
      <alignment horizontal="center" vertical="center" wrapText="1"/>
    </xf>
    <xf numFmtId="2" fontId="7" fillId="0" borderId="22" xfId="0" applyNumberFormat="1" applyFont="1" applyBorder="1" applyAlignment="1">
      <alignment horizontal="center" vertical="center"/>
    </xf>
    <xf numFmtId="2" fontId="7" fillId="0" borderId="18" xfId="0" applyNumberFormat="1" applyFont="1" applyBorder="1" applyAlignment="1">
      <alignment horizontal="center" vertical="center"/>
    </xf>
    <xf numFmtId="0" fontId="0" fillId="0" borderId="17" xfId="0" applyBorder="1"/>
    <xf numFmtId="0" fontId="0" fillId="0" borderId="22" xfId="0" applyBorder="1"/>
    <xf numFmtId="0" fontId="0" fillId="0" borderId="18" xfId="0" applyBorder="1"/>
    <xf numFmtId="0" fontId="2" fillId="0" borderId="4" xfId="0" applyFont="1" applyBorder="1" applyAlignment="1">
      <alignment wrapText="1"/>
    </xf>
    <xf numFmtId="0" fontId="2" fillId="0" borderId="17" xfId="0" applyFont="1" applyBorder="1"/>
    <xf numFmtId="0" fontId="2" fillId="0" borderId="22" xfId="0" applyFont="1" applyBorder="1"/>
    <xf numFmtId="0" fontId="2" fillId="0" borderId="18" xfId="0" applyFont="1" applyBorder="1"/>
    <xf numFmtId="11" fontId="2" fillId="0" borderId="4" xfId="0" applyNumberFormat="1" applyFont="1" applyBorder="1"/>
    <xf numFmtId="11" fontId="2" fillId="0" borderId="17" xfId="0" applyNumberFormat="1" applyFont="1" applyBorder="1"/>
    <xf numFmtId="11" fontId="2" fillId="0" borderId="6" xfId="0" applyNumberFormat="1" applyFont="1" applyBorder="1"/>
    <xf numFmtId="11" fontId="2" fillId="0" borderId="20" xfId="0" applyNumberFormat="1" applyFont="1" applyBorder="1"/>
    <xf numFmtId="11" fontId="2" fillId="0" borderId="22" xfId="0" applyNumberFormat="1" applyFont="1" applyBorder="1"/>
    <xf numFmtId="11" fontId="2" fillId="0" borderId="23" xfId="0" applyNumberFormat="1" applyFont="1" applyBorder="1"/>
    <xf numFmtId="11" fontId="2" fillId="0" borderId="14" xfId="0" applyNumberFormat="1" applyFont="1" applyBorder="1"/>
    <xf numFmtId="11" fontId="2" fillId="0" borderId="18" xfId="0" applyNumberFormat="1" applyFont="1" applyBorder="1"/>
    <xf numFmtId="11" fontId="2" fillId="0" borderId="15" xfId="0" applyNumberFormat="1" applyFont="1" applyBorder="1"/>
    <xf numFmtId="166" fontId="2" fillId="0" borderId="6" xfId="0" applyNumberFormat="1" applyFont="1" applyBorder="1" applyAlignment="1">
      <alignment horizontal="center" vertical="center"/>
    </xf>
    <xf numFmtId="166" fontId="2" fillId="0" borderId="23" xfId="0" applyNumberFormat="1" applyFont="1" applyBorder="1" applyAlignment="1">
      <alignment horizontal="center" vertical="center"/>
    </xf>
    <xf numFmtId="166" fontId="2" fillId="0" borderId="15" xfId="0" applyNumberFormat="1" applyFont="1" applyBorder="1" applyAlignment="1">
      <alignment horizontal="center" vertical="center"/>
    </xf>
    <xf numFmtId="0" fontId="6" fillId="0" borderId="3" xfId="0" applyFont="1" applyBorder="1" applyAlignment="1">
      <alignment horizontal="center" vertical="center" wrapText="1"/>
    </xf>
    <xf numFmtId="0" fontId="21" fillId="0" borderId="0" xfId="0" applyFont="1" applyAlignment="1">
      <alignment horizontal="left" vertical="top"/>
    </xf>
    <xf numFmtId="0" fontId="22" fillId="0" borderId="0" xfId="0" applyFont="1"/>
    <xf numFmtId="0" fontId="4" fillId="0" borderId="21" xfId="0" applyFont="1" applyBorder="1" applyAlignment="1">
      <alignment horizontal="center" vertical="center" wrapText="1"/>
    </xf>
    <xf numFmtId="0" fontId="5" fillId="0" borderId="3" xfId="0" applyFont="1" applyBorder="1" applyAlignment="1">
      <alignment horizontal="center" vertical="center"/>
    </xf>
    <xf numFmtId="0" fontId="13" fillId="0" borderId="3" xfId="0" applyFont="1" applyBorder="1" applyAlignment="1">
      <alignment horizontal="center" vertical="center" wrapText="1"/>
    </xf>
    <xf numFmtId="0" fontId="6" fillId="0" borderId="17" xfId="0" applyFont="1" applyBorder="1" applyAlignment="1">
      <alignment horizontal="center" vertical="center" wrapText="1"/>
    </xf>
    <xf numFmtId="0" fontId="15" fillId="0" borderId="24" xfId="0" applyFont="1" applyBorder="1" applyAlignment="1">
      <alignment horizontal="center" vertical="center" wrapText="1"/>
    </xf>
    <xf numFmtId="0" fontId="6" fillId="0" borderId="21" xfId="0" applyFont="1" applyBorder="1" applyAlignment="1">
      <alignment horizontal="center" vertical="center" wrapText="1"/>
    </xf>
    <xf numFmtId="0" fontId="7" fillId="0" borderId="21" xfId="0" applyFont="1" applyBorder="1" applyAlignment="1">
      <alignment horizontal="center" vertical="center" wrapText="1"/>
    </xf>
    <xf numFmtId="0" fontId="15" fillId="0" borderId="25" xfId="0" applyFont="1" applyBorder="1" applyAlignment="1">
      <alignment horizontal="center" vertical="center" wrapText="1"/>
    </xf>
    <xf numFmtId="0" fontId="7" fillId="0" borderId="22" xfId="0" applyFont="1" applyBorder="1" applyAlignment="1">
      <alignment horizontal="center" vertical="center" wrapText="1"/>
    </xf>
    <xf numFmtId="0" fontId="6" fillId="0" borderId="23" xfId="0" applyFont="1" applyBorder="1" applyAlignment="1">
      <alignment horizontal="center" vertical="center" wrapText="1"/>
    </xf>
    <xf numFmtId="0" fontId="18" fillId="0" borderId="21" xfId="0" applyFont="1" applyBorder="1" applyAlignment="1">
      <alignment horizontal="center" vertical="center" wrapText="1"/>
    </xf>
    <xf numFmtId="0" fontId="7" fillId="0" borderId="23" xfId="0" applyFont="1" applyBorder="1" applyAlignment="1">
      <alignment horizontal="center" vertical="center" wrapText="1"/>
    </xf>
    <xf numFmtId="0" fontId="15" fillId="0" borderId="26" xfId="0" applyFont="1" applyBorder="1" applyAlignment="1">
      <alignment horizontal="center" vertical="center" wrapText="1"/>
    </xf>
    <xf numFmtId="0" fontId="7" fillId="0" borderId="3" xfId="0" applyFont="1" applyBorder="1" applyAlignment="1">
      <alignment horizontal="center" vertical="center" wrapText="1"/>
    </xf>
    <xf numFmtId="0" fontId="19" fillId="0" borderId="0" xfId="0" applyFont="1"/>
    <xf numFmtId="0" fontId="20" fillId="0" borderId="23" xfId="0" applyFont="1" applyBorder="1" applyAlignment="1">
      <alignment horizontal="center" wrapText="1"/>
    </xf>
    <xf numFmtId="0" fontId="0" fillId="0" borderId="0" xfId="0" applyAlignment="1">
      <alignment wrapText="1"/>
    </xf>
    <xf numFmtId="0" fontId="0" fillId="0" borderId="20" xfId="0" applyBorder="1"/>
    <xf numFmtId="0" fontId="0" fillId="0" borderId="23" xfId="0" applyBorder="1" applyAlignment="1">
      <alignment wrapText="1"/>
    </xf>
    <xf numFmtId="0" fontId="15" fillId="0" borderId="14" xfId="0" applyFont="1" applyBorder="1" applyAlignment="1">
      <alignment horizontal="center" vertical="center" wrapText="1"/>
    </xf>
    <xf numFmtId="0" fontId="0" fillId="0" borderId="16" xfId="0" applyBorder="1"/>
    <xf numFmtId="0" fontId="0" fillId="3" borderId="4" xfId="0" applyFill="1" applyBorder="1"/>
    <xf numFmtId="0" fontId="0" fillId="3" borderId="6" xfId="0" applyFill="1" applyBorder="1"/>
    <xf numFmtId="0" fontId="0" fillId="3" borderId="5" xfId="0" applyFill="1" applyBorder="1"/>
    <xf numFmtId="0" fontId="11" fillId="0" borderId="5"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16" xfId="0" applyFont="1" applyBorder="1" applyAlignment="1">
      <alignment horizontal="center" vertical="center" wrapText="1"/>
    </xf>
    <xf numFmtId="0" fontId="11" fillId="0" borderId="15"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14" xfId="0" applyFont="1" applyBorder="1" applyAlignment="1">
      <alignment horizontal="center" vertical="center" wrapText="1"/>
    </xf>
    <xf numFmtId="0" fontId="0" fillId="0" borderId="2" xfId="0" applyBorder="1"/>
    <xf numFmtId="0" fontId="0" fillId="0" borderId="3" xfId="0" applyBorder="1"/>
    <xf numFmtId="0" fontId="0" fillId="0" borderId="21" xfId="0" applyBorder="1"/>
    <xf numFmtId="0" fontId="5" fillId="0" borderId="1" xfId="0" applyFont="1" applyBorder="1"/>
    <xf numFmtId="0" fontId="5" fillId="0" borderId="2" xfId="0" applyFont="1" applyBorder="1"/>
    <xf numFmtId="0" fontId="5" fillId="0" borderId="3" xfId="0" applyFont="1" applyBorder="1"/>
    <xf numFmtId="0" fontId="11" fillId="0" borderId="0" xfId="0" applyFont="1" applyAlignment="1">
      <alignment horizontal="center" vertical="center" wrapText="1"/>
    </xf>
    <xf numFmtId="0" fontId="11" fillId="0" borderId="20" xfId="0" applyFont="1" applyBorder="1" applyAlignment="1">
      <alignment horizontal="center" vertical="center" wrapText="1"/>
    </xf>
    <xf numFmtId="0" fontId="11" fillId="0" borderId="23" xfId="0" applyFont="1" applyBorder="1" applyAlignment="1">
      <alignment horizontal="center" vertical="center" wrapText="1"/>
    </xf>
    <xf numFmtId="9" fontId="0" fillId="0" borderId="14" xfId="1" applyFont="1" applyBorder="1"/>
    <xf numFmtId="9" fontId="0" fillId="0" borderId="16" xfId="1" applyFont="1" applyBorder="1"/>
    <xf numFmtId="2" fontId="0" fillId="0" borderId="4" xfId="0" applyNumberFormat="1" applyBorder="1"/>
    <xf numFmtId="2" fontId="0" fillId="0" borderId="5" xfId="0" applyNumberFormat="1" applyBorder="1"/>
    <xf numFmtId="2" fontId="0" fillId="0" borderId="6" xfId="0" applyNumberFormat="1" applyBorder="1"/>
    <xf numFmtId="0" fontId="12" fillId="2" borderId="0" xfId="0" quotePrefix="1" applyFont="1" applyFill="1" applyAlignment="1">
      <alignment horizontal="left" vertical="center"/>
    </xf>
    <xf numFmtId="164" fontId="0" fillId="0" borderId="4" xfId="1" applyNumberFormat="1" applyFont="1" applyBorder="1"/>
    <xf numFmtId="164" fontId="0" fillId="0" borderId="5" xfId="1" applyNumberFormat="1" applyFont="1" applyBorder="1"/>
    <xf numFmtId="164" fontId="0" fillId="0" borderId="6" xfId="1" applyNumberFormat="1" applyFont="1" applyBorder="1"/>
    <xf numFmtId="164" fontId="0" fillId="0" borderId="14" xfId="1" applyNumberFormat="1" applyFont="1" applyBorder="1"/>
    <xf numFmtId="164" fontId="0" fillId="0" borderId="16" xfId="1" applyNumberFormat="1" applyFont="1" applyBorder="1"/>
    <xf numFmtId="164" fontId="0" fillId="0" borderId="15" xfId="1" applyNumberFormat="1" applyFont="1" applyBorder="1"/>
    <xf numFmtId="0" fontId="2" fillId="0" borderId="27" xfId="0" applyFont="1" applyBorder="1" applyAlignment="1">
      <alignment horizontal="center" vertical="center" wrapText="1"/>
    </xf>
    <xf numFmtId="0" fontId="10" fillId="0" borderId="0" xfId="0" applyFont="1"/>
    <xf numFmtId="10" fontId="0" fillId="0" borderId="16" xfId="1" applyNumberFormat="1" applyFont="1" applyBorder="1" applyAlignment="1">
      <alignment horizontal="left" indent="1"/>
    </xf>
    <xf numFmtId="164" fontId="6" fillId="4" borderId="28" xfId="0" quotePrefix="1" applyNumberFormat="1" applyFont="1" applyFill="1" applyBorder="1" applyAlignment="1">
      <alignment horizontal="center" vertical="center"/>
    </xf>
    <xf numFmtId="0" fontId="3" fillId="5" borderId="0" xfId="0" applyFont="1" applyFill="1"/>
    <xf numFmtId="0" fontId="3" fillId="6" borderId="0" xfId="0" applyFont="1" applyFill="1"/>
    <xf numFmtId="0" fontId="3" fillId="7" borderId="0" xfId="0" applyFont="1" applyFill="1"/>
    <xf numFmtId="0" fontId="3" fillId="8" borderId="0" xfId="0" applyFont="1" applyFill="1"/>
    <xf numFmtId="164" fontId="6" fillId="7" borderId="27" xfId="0" applyNumberFormat="1" applyFont="1" applyFill="1" applyBorder="1" applyAlignment="1">
      <alignment horizontal="center" vertical="center"/>
    </xf>
    <xf numFmtId="164" fontId="6" fillId="7" borderId="29" xfId="0" quotePrefix="1" applyNumberFormat="1" applyFont="1" applyFill="1" applyBorder="1" applyAlignment="1">
      <alignment horizontal="center" vertical="center"/>
    </xf>
    <xf numFmtId="0" fontId="7" fillId="0" borderId="19" xfId="0" applyFont="1" applyBorder="1" applyAlignment="1">
      <alignment horizontal="center" vertical="center" wrapText="1"/>
    </xf>
    <xf numFmtId="0" fontId="7" fillId="0" borderId="16"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5" xfId="0" applyFont="1" applyBorder="1" applyAlignment="1">
      <alignment horizontal="center" vertical="center" wrapText="1"/>
    </xf>
    <xf numFmtId="0" fontId="6" fillId="0" borderId="9" xfId="0" applyFont="1" applyBorder="1" applyAlignment="1">
      <alignment horizontal="center" vertical="center" wrapText="1"/>
    </xf>
    <xf numFmtId="0" fontId="6" fillId="0" borderId="2" xfId="0" applyFont="1" applyBorder="1" applyAlignment="1">
      <alignment horizontal="center" vertical="center" wrapText="1"/>
    </xf>
    <xf numFmtId="0" fontId="7" fillId="0" borderId="11" xfId="0" applyFont="1" applyBorder="1" applyAlignment="1">
      <alignment horizontal="center" vertical="center" wrapText="1"/>
    </xf>
    <xf numFmtId="0" fontId="8" fillId="2" borderId="0" xfId="0" applyFont="1" applyFill="1" applyAlignment="1">
      <alignment horizontal="left" vertical="top"/>
    </xf>
    <xf numFmtId="0" fontId="8" fillId="2" borderId="0" xfId="0" applyFont="1" applyFill="1" applyAlignment="1">
      <alignment horizontal="center" vertical="center" wrapText="1"/>
    </xf>
    <xf numFmtId="0" fontId="17" fillId="2" borderId="0" xfId="0" applyFont="1" applyFill="1"/>
    <xf numFmtId="164" fontId="6" fillId="8" borderId="3" xfId="0" applyNumberFormat="1" applyFont="1" applyFill="1" applyBorder="1" applyAlignment="1">
      <alignment horizontal="center" vertical="center"/>
    </xf>
    <xf numFmtId="164" fontId="6" fillId="5" borderId="3" xfId="0" applyNumberFormat="1" applyFont="1" applyFill="1" applyBorder="1" applyAlignment="1">
      <alignment horizontal="center" vertical="center"/>
    </xf>
    <xf numFmtId="164" fontId="6" fillId="8" borderId="28" xfId="0" quotePrefix="1" applyNumberFormat="1" applyFont="1" applyFill="1" applyBorder="1" applyAlignment="1">
      <alignment horizontal="center" vertical="center"/>
    </xf>
    <xf numFmtId="164" fontId="6" fillId="8" borderId="28" xfId="0" applyNumberFormat="1" applyFont="1" applyFill="1" applyBorder="1" applyAlignment="1">
      <alignment horizontal="center" vertical="center"/>
    </xf>
    <xf numFmtId="164" fontId="6" fillId="5" borderId="28" xfId="0" quotePrefix="1" applyNumberFormat="1" applyFont="1" applyFill="1" applyBorder="1" applyAlignment="1">
      <alignment horizontal="center" vertical="center"/>
    </xf>
    <xf numFmtId="164" fontId="6" fillId="4" borderId="3" xfId="0" quotePrefix="1" applyNumberFormat="1" applyFont="1" applyFill="1" applyBorder="1" applyAlignment="1">
      <alignment horizontal="center" vertical="center"/>
    </xf>
    <xf numFmtId="164" fontId="6" fillId="5" borderId="30" xfId="1" applyNumberFormat="1" applyFont="1" applyFill="1" applyBorder="1" applyAlignment="1">
      <alignment horizontal="center" vertical="center"/>
    </xf>
    <xf numFmtId="164" fontId="6" fillId="4" borderId="31" xfId="1" applyNumberFormat="1" applyFont="1" applyFill="1" applyBorder="1" applyAlignment="1">
      <alignment horizontal="center" vertical="center"/>
    </xf>
    <xf numFmtId="164" fontId="6" fillId="4" borderId="30" xfId="1" applyNumberFormat="1" applyFont="1" applyFill="1" applyBorder="1" applyAlignment="1">
      <alignment horizontal="center" vertical="center"/>
    </xf>
    <xf numFmtId="164" fontId="6" fillId="5" borderId="32" xfId="1" applyNumberFormat="1" applyFont="1" applyFill="1" applyBorder="1" applyAlignment="1">
      <alignment horizontal="center" vertical="center"/>
    </xf>
    <xf numFmtId="164" fontId="6" fillId="4" borderId="33" xfId="1" applyNumberFormat="1" applyFont="1" applyFill="1" applyBorder="1" applyAlignment="1">
      <alignment horizontal="center" vertical="center"/>
    </xf>
    <xf numFmtId="164" fontId="6" fillId="4" borderId="32" xfId="1" applyNumberFormat="1" applyFont="1" applyFill="1" applyBorder="1" applyAlignment="1">
      <alignment horizontal="center" vertical="center"/>
    </xf>
    <xf numFmtId="164" fontId="6" fillId="5" borderId="29" xfId="0" applyNumberFormat="1" applyFont="1" applyFill="1" applyBorder="1" applyAlignment="1">
      <alignment horizontal="center" vertical="center"/>
    </xf>
    <xf numFmtId="164" fontId="6" fillId="4" borderId="29" xfId="0" quotePrefix="1" applyNumberFormat="1" applyFont="1" applyFill="1" applyBorder="1" applyAlignment="1">
      <alignment horizontal="center" vertical="center"/>
    </xf>
    <xf numFmtId="164" fontId="6" fillId="8" borderId="34" xfId="1" applyNumberFormat="1" applyFont="1" applyFill="1" applyBorder="1" applyAlignment="1">
      <alignment horizontal="center" vertical="center"/>
    </xf>
    <xf numFmtId="164" fontId="6" fillId="7" borderId="35" xfId="1" applyNumberFormat="1" applyFont="1" applyFill="1" applyBorder="1" applyAlignment="1">
      <alignment horizontal="center" vertical="center"/>
    </xf>
    <xf numFmtId="164" fontId="6" fillId="7" borderId="34" xfId="1" applyNumberFormat="1" applyFont="1" applyFill="1" applyBorder="1" applyAlignment="1">
      <alignment horizontal="center" vertical="center"/>
    </xf>
    <xf numFmtId="164" fontId="6" fillId="4" borderId="27" xfId="0" quotePrefix="1" applyNumberFormat="1" applyFont="1" applyFill="1" applyBorder="1" applyAlignment="1">
      <alignment horizontal="center" vertical="center"/>
    </xf>
    <xf numFmtId="164" fontId="6" fillId="8" borderId="36" xfId="1" applyNumberFormat="1" applyFont="1" applyFill="1" applyBorder="1" applyAlignment="1">
      <alignment horizontal="center" vertical="center"/>
    </xf>
    <xf numFmtId="164" fontId="6" fillId="7" borderId="37" xfId="1" applyNumberFormat="1" applyFont="1" applyFill="1" applyBorder="1" applyAlignment="1">
      <alignment horizontal="center" vertical="center"/>
    </xf>
    <xf numFmtId="164" fontId="6" fillId="4" borderId="36" xfId="1" applyNumberFormat="1" applyFont="1" applyFill="1" applyBorder="1" applyAlignment="1">
      <alignment horizontal="center" vertical="center"/>
    </xf>
    <xf numFmtId="0" fontId="8" fillId="2" borderId="0" xfId="0" applyFont="1" applyFill="1" applyAlignment="1">
      <alignment vertical="top" wrapText="1"/>
    </xf>
    <xf numFmtId="0" fontId="5" fillId="2" borderId="0" xfId="0" applyFont="1" applyFill="1"/>
    <xf numFmtId="0" fontId="2" fillId="2" borderId="0" xfId="0" applyFont="1" applyFill="1"/>
    <xf numFmtId="0" fontId="2" fillId="8" borderId="0" xfId="0" applyFont="1" applyFill="1"/>
    <xf numFmtId="0" fontId="2" fillId="2" borderId="0" xfId="0" quotePrefix="1" applyFont="1" applyFill="1" applyAlignment="1">
      <alignment horizontal="left" vertical="center"/>
    </xf>
    <xf numFmtId="0" fontId="2" fillId="7" borderId="0" xfId="0" applyFont="1" applyFill="1"/>
    <xf numFmtId="0" fontId="2" fillId="6" borderId="0" xfId="0" applyFont="1" applyFill="1"/>
    <xf numFmtId="0" fontId="2" fillId="5" borderId="0" xfId="0" applyFont="1" applyFill="1"/>
    <xf numFmtId="0" fontId="0" fillId="9" borderId="0" xfId="0" applyFill="1"/>
    <xf numFmtId="0" fontId="0" fillId="4" borderId="0" xfId="0" applyFill="1"/>
    <xf numFmtId="0" fontId="0" fillId="10" borderId="0" xfId="0" applyFill="1"/>
    <xf numFmtId="0" fontId="0" fillId="11" borderId="0" xfId="0" applyFill="1"/>
    <xf numFmtId="0" fontId="25" fillId="0" borderId="0" xfId="0" applyFont="1" applyAlignment="1">
      <alignment vertical="center"/>
    </xf>
    <xf numFmtId="0" fontId="4" fillId="0" borderId="0" xfId="0" applyFont="1" applyAlignment="1">
      <alignment horizontal="center" wrapText="1"/>
    </xf>
    <xf numFmtId="0" fontId="11" fillId="0" borderId="0" xfId="0" applyFont="1" applyAlignment="1">
      <alignment wrapText="1"/>
    </xf>
    <xf numFmtId="0" fontId="0" fillId="3" borderId="0" xfId="0" applyFill="1"/>
    <xf numFmtId="11" fontId="2" fillId="0" borderId="16" xfId="0" applyNumberFormat="1" applyFont="1" applyBorder="1"/>
    <xf numFmtId="9" fontId="2" fillId="0" borderId="0" xfId="1" applyFont="1"/>
    <xf numFmtId="0" fontId="12" fillId="12" borderId="21" xfId="0" applyFont="1" applyFill="1" applyBorder="1" applyAlignment="1">
      <alignment wrapText="1"/>
    </xf>
    <xf numFmtId="0" fontId="12" fillId="12" borderId="2" xfId="0" applyFont="1" applyFill="1" applyBorder="1" applyAlignment="1">
      <alignment wrapText="1"/>
    </xf>
    <xf numFmtId="0" fontId="12" fillId="12" borderId="3" xfId="0" applyFont="1" applyFill="1" applyBorder="1" applyAlignment="1">
      <alignment wrapText="1"/>
    </xf>
    <xf numFmtId="0" fontId="12" fillId="0" borderId="22" xfId="0" applyFont="1" applyBorder="1" applyAlignment="1">
      <alignment wrapText="1"/>
    </xf>
    <xf numFmtId="11" fontId="12" fillId="0" borderId="0" xfId="0" applyNumberFormat="1" applyFont="1" applyAlignment="1">
      <alignment wrapText="1"/>
    </xf>
    <xf numFmtId="11" fontId="12" fillId="0" borderId="23" xfId="0" applyNumberFormat="1" applyFont="1" applyBorder="1" applyAlignment="1">
      <alignment wrapText="1"/>
    </xf>
    <xf numFmtId="0" fontId="12" fillId="0" borderId="0" xfId="0" applyFont="1" applyAlignment="1">
      <alignment wrapText="1"/>
    </xf>
    <xf numFmtId="0" fontId="12" fillId="0" borderId="23" xfId="0" applyFont="1" applyBorder="1" applyAlignment="1">
      <alignment wrapText="1"/>
    </xf>
    <xf numFmtId="11" fontId="9" fillId="0" borderId="0" xfId="0" applyNumberFormat="1" applyFont="1" applyAlignment="1">
      <alignment wrapText="1"/>
    </xf>
    <xf numFmtId="11" fontId="28" fillId="0" borderId="23" xfId="0" applyNumberFormat="1" applyFont="1" applyBorder="1" applyAlignment="1">
      <alignment wrapText="1"/>
    </xf>
    <xf numFmtId="0" fontId="29" fillId="0" borderId="0" xfId="2"/>
    <xf numFmtId="0" fontId="2" fillId="0" borderId="2" xfId="0" applyFont="1" applyBorder="1"/>
    <xf numFmtId="0" fontId="2" fillId="0" borderId="3" xfId="0" applyFont="1" applyBorder="1"/>
    <xf numFmtId="0" fontId="2" fillId="0" borderId="1" xfId="0" applyFont="1" applyBorder="1"/>
    <xf numFmtId="9" fontId="2" fillId="0" borderId="16" xfId="1" applyFont="1" applyBorder="1"/>
    <xf numFmtId="9" fontId="2" fillId="0" borderId="15" xfId="1" applyFont="1" applyBorder="1"/>
    <xf numFmtId="0" fontId="27" fillId="0" borderId="14" xfId="0" applyFont="1" applyBorder="1"/>
    <xf numFmtId="0" fontId="27" fillId="0" borderId="16" xfId="0" applyFont="1" applyBorder="1"/>
    <xf numFmtId="11" fontId="2" fillId="0" borderId="5" xfId="0" applyNumberFormat="1" applyFont="1" applyBorder="1"/>
    <xf numFmtId="9" fontId="2" fillId="0" borderId="6" xfId="1" applyFont="1" applyBorder="1"/>
    <xf numFmtId="9" fontId="2" fillId="0" borderId="23" xfId="1" applyFont="1" applyBorder="1"/>
    <xf numFmtId="0" fontId="5" fillId="13" borderId="1" xfId="0" applyFont="1" applyFill="1" applyBorder="1"/>
    <xf numFmtId="0" fontId="5" fillId="13" borderId="38" xfId="0" applyFont="1" applyFill="1" applyBorder="1"/>
    <xf numFmtId="0" fontId="2" fillId="13" borderId="2" xfId="0" applyFont="1" applyFill="1" applyBorder="1"/>
    <xf numFmtId="0" fontId="2" fillId="13" borderId="3" xfId="0" applyFont="1" applyFill="1" applyBorder="1"/>
    <xf numFmtId="0" fontId="2" fillId="13" borderId="1" xfId="0" applyFont="1" applyFill="1" applyBorder="1"/>
    <xf numFmtId="0" fontId="5" fillId="13" borderId="5" xfId="0" applyFont="1" applyFill="1" applyBorder="1"/>
    <xf numFmtId="0" fontId="2" fillId="13" borderId="5" xfId="0" applyFont="1" applyFill="1" applyBorder="1"/>
    <xf numFmtId="0" fontId="2" fillId="13" borderId="6" xfId="0" applyFont="1" applyFill="1" applyBorder="1"/>
    <xf numFmtId="0" fontId="2" fillId="13" borderId="16" xfId="0" applyFont="1" applyFill="1" applyBorder="1"/>
    <xf numFmtId="0" fontId="2" fillId="13" borderId="15" xfId="0" applyFont="1" applyFill="1" applyBorder="1"/>
    <xf numFmtId="0" fontId="6" fillId="0" borderId="39" xfId="0" applyFont="1" applyBorder="1" applyAlignment="1">
      <alignment horizontal="center" vertical="center" wrapText="1"/>
    </xf>
    <xf numFmtId="164" fontId="6" fillId="8" borderId="39" xfId="0" quotePrefix="1" applyNumberFormat="1" applyFont="1" applyFill="1" applyBorder="1" applyAlignment="1">
      <alignment horizontal="center" vertical="center"/>
    </xf>
    <xf numFmtId="164" fontId="6" fillId="8" borderId="39" xfId="0" applyNumberFormat="1" applyFont="1" applyFill="1" applyBorder="1" applyAlignment="1">
      <alignment horizontal="center" vertical="center"/>
    </xf>
    <xf numFmtId="164" fontId="6" fillId="5" borderId="39" xfId="0" applyNumberFormat="1" applyFont="1" applyFill="1" applyBorder="1" applyAlignment="1">
      <alignment horizontal="center" vertical="center"/>
    </xf>
    <xf numFmtId="164" fontId="6" fillId="5" borderId="39" xfId="0" quotePrefix="1" applyNumberFormat="1" applyFont="1" applyFill="1" applyBorder="1" applyAlignment="1">
      <alignment horizontal="center" vertical="center"/>
    </xf>
    <xf numFmtId="164" fontId="6" fillId="7" borderId="39" xfId="0" applyNumberFormat="1" applyFont="1" applyFill="1" applyBorder="1" applyAlignment="1">
      <alignment horizontal="center" vertical="center"/>
    </xf>
    <xf numFmtId="164" fontId="6" fillId="4" borderId="39" xfId="0" quotePrefix="1" applyNumberFormat="1" applyFont="1" applyFill="1" applyBorder="1" applyAlignment="1">
      <alignment horizontal="center" vertical="center"/>
    </xf>
    <xf numFmtId="0" fontId="7" fillId="0" borderId="39" xfId="0" applyFont="1" applyBorder="1" applyAlignment="1">
      <alignment horizontal="center" vertical="center" wrapText="1"/>
    </xf>
    <xf numFmtId="164" fontId="6" fillId="8" borderId="39" xfId="1" applyNumberFormat="1" applyFont="1" applyFill="1" applyBorder="1" applyAlignment="1">
      <alignment horizontal="center" vertical="center"/>
    </xf>
    <xf numFmtId="164" fontId="6" fillId="5" borderId="39" xfId="1" applyNumberFormat="1" applyFont="1" applyFill="1" applyBorder="1" applyAlignment="1">
      <alignment horizontal="center" vertical="center"/>
    </xf>
    <xf numFmtId="164" fontId="6" fillId="4" borderId="39" xfId="1" applyNumberFormat="1" applyFont="1" applyFill="1" applyBorder="1" applyAlignment="1">
      <alignment horizontal="center" vertical="center"/>
    </xf>
    <xf numFmtId="164" fontId="6" fillId="7" borderId="39" xfId="1" applyNumberFormat="1" applyFont="1" applyFill="1" applyBorder="1" applyAlignment="1">
      <alignment horizontal="center" vertical="center"/>
    </xf>
    <xf numFmtId="0" fontId="2" fillId="0" borderId="39" xfId="0" applyFont="1" applyBorder="1" applyAlignment="1">
      <alignment horizontal="center" vertical="center" wrapText="1"/>
    </xf>
    <xf numFmtId="164" fontId="0" fillId="0" borderId="0" xfId="1" applyNumberFormat="1" applyFont="1"/>
    <xf numFmtId="2" fontId="0" fillId="0" borderId="0" xfId="1" applyNumberFormat="1" applyFont="1" applyFill="1" applyBorder="1"/>
    <xf numFmtId="0" fontId="3" fillId="12" borderId="0" xfId="0" applyFont="1" applyFill="1"/>
    <xf numFmtId="164" fontId="6" fillId="12" borderId="39" xfId="0" applyNumberFormat="1" applyFont="1" applyFill="1" applyBorder="1" applyAlignment="1">
      <alignment horizontal="center" vertical="center"/>
    </xf>
    <xf numFmtId="164" fontId="6" fillId="12" borderId="39" xfId="0" quotePrefix="1" applyNumberFormat="1" applyFont="1" applyFill="1" applyBorder="1" applyAlignment="1">
      <alignment horizontal="center" vertical="center"/>
    </xf>
    <xf numFmtId="0" fontId="6" fillId="13" borderId="39" xfId="0" applyFont="1" applyFill="1" applyBorder="1" applyAlignment="1">
      <alignment horizontal="center" vertical="center"/>
    </xf>
    <xf numFmtId="0" fontId="3" fillId="13" borderId="0" xfId="0" applyFont="1" applyFill="1"/>
    <xf numFmtId="9" fontId="5" fillId="3" borderId="0" xfId="1" applyFont="1" applyFill="1" applyBorder="1"/>
    <xf numFmtId="9" fontId="5" fillId="3" borderId="23" xfId="1" applyFont="1" applyFill="1" applyBorder="1"/>
    <xf numFmtId="9" fontId="5" fillId="3" borderId="16" xfId="1" applyFont="1" applyFill="1" applyBorder="1"/>
    <xf numFmtId="9" fontId="5" fillId="3" borderId="15" xfId="1" applyFont="1" applyFill="1" applyBorder="1"/>
    <xf numFmtId="0" fontId="5" fillId="0" borderId="5" xfId="0" applyFont="1" applyBorder="1"/>
    <xf numFmtId="0" fontId="5" fillId="0" borderId="6" xfId="0" applyFont="1" applyBorder="1"/>
    <xf numFmtId="0" fontId="5" fillId="0" borderId="16" xfId="0" applyFont="1" applyBorder="1"/>
    <xf numFmtId="0" fontId="0" fillId="0" borderId="5" xfId="0" applyBorder="1"/>
    <xf numFmtId="9" fontId="0" fillId="0" borderId="23" xfId="1" applyFont="1" applyBorder="1"/>
    <xf numFmtId="9" fontId="0" fillId="0" borderId="15" xfId="1" applyFont="1" applyBorder="1"/>
    <xf numFmtId="0" fontId="2" fillId="0" borderId="40" xfId="0" applyFont="1" applyBorder="1"/>
    <xf numFmtId="0" fontId="30" fillId="0" borderId="0" xfId="0" applyFont="1"/>
    <xf numFmtId="0" fontId="9" fillId="2" borderId="0" xfId="0" applyFont="1" applyFill="1" applyAlignment="1">
      <alignment horizontal="left" vertical="top" wrapText="1"/>
    </xf>
    <xf numFmtId="0" fontId="5" fillId="0" borderId="39" xfId="0" applyFont="1" applyBorder="1" applyAlignment="1">
      <alignment horizontal="center" vertical="center" wrapText="1"/>
    </xf>
    <xf numFmtId="0" fontId="7" fillId="0" borderId="39" xfId="0" applyFont="1" applyBorder="1" applyAlignment="1">
      <alignment horizontal="center" vertical="center" wrapText="1"/>
    </xf>
    <xf numFmtId="0" fontId="6" fillId="0" borderId="39"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12" xfId="0" applyFont="1" applyBorder="1" applyAlignment="1">
      <alignment horizontal="center" vertical="center" wrapText="1"/>
    </xf>
    <xf numFmtId="0" fontId="8" fillId="2" borderId="5" xfId="0" applyFont="1" applyFill="1" applyBorder="1" applyAlignment="1">
      <alignment horizontal="center" vertical="top" wrapText="1"/>
    </xf>
    <xf numFmtId="0" fontId="8" fillId="2" borderId="0" xfId="0" applyFont="1" applyFill="1" applyAlignment="1">
      <alignment horizontal="center" vertical="top" wrapText="1"/>
    </xf>
    <xf numFmtId="0" fontId="5" fillId="0" borderId="4"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6"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8" fillId="0" borderId="7" xfId="0" applyFont="1" applyBorder="1" applyAlignment="1">
      <alignment horizontal="center" vertical="center" wrapText="1"/>
    </xf>
    <xf numFmtId="0" fontId="8" fillId="0" borderId="13" xfId="0" applyFont="1" applyBorder="1" applyAlignment="1">
      <alignment horizontal="center" vertical="center" wrapText="1"/>
    </xf>
    <xf numFmtId="0" fontId="2" fillId="0" borderId="5" xfId="0" applyFont="1" applyBorder="1" applyAlignment="1">
      <alignment horizontal="center"/>
    </xf>
    <xf numFmtId="0" fontId="2" fillId="0" borderId="6" xfId="0" applyFont="1" applyBorder="1" applyAlignment="1">
      <alignment horizontal="center"/>
    </xf>
    <xf numFmtId="0" fontId="5" fillId="0" borderId="0" xfId="0" applyFont="1" applyAlignment="1">
      <alignment horizontal="center" vertical="center"/>
    </xf>
    <xf numFmtId="0" fontId="5" fillId="0" borderId="0" xfId="0" applyFont="1" applyAlignment="1">
      <alignment horizontal="center"/>
    </xf>
    <xf numFmtId="0" fontId="5" fillId="0" borderId="20" xfId="0" applyFont="1" applyBorder="1" applyAlignment="1">
      <alignment horizontal="center"/>
    </xf>
    <xf numFmtId="0" fontId="5" fillId="0" borderId="14" xfId="0" applyFont="1" applyBorder="1" applyAlignment="1">
      <alignment horizontal="center"/>
    </xf>
    <xf numFmtId="0" fontId="2" fillId="0" borderId="4" xfId="0" applyFont="1" applyBorder="1" applyAlignment="1">
      <alignment horizontal="center"/>
    </xf>
    <xf numFmtId="0" fontId="5" fillId="3" borderId="20" xfId="0" applyFont="1" applyFill="1" applyBorder="1" applyAlignment="1">
      <alignment horizontal="center" vertical="center" wrapText="1"/>
    </xf>
    <xf numFmtId="0" fontId="5" fillId="3" borderId="0" xfId="0" applyFont="1" applyFill="1" applyAlignment="1">
      <alignment horizontal="center" vertical="center" wrapText="1"/>
    </xf>
    <xf numFmtId="0" fontId="5" fillId="3" borderId="5" xfId="0" applyFont="1" applyFill="1" applyBorder="1" applyAlignment="1">
      <alignment horizontal="center" wrapText="1"/>
    </xf>
    <xf numFmtId="0" fontId="5" fillId="3" borderId="6" xfId="0" applyFont="1" applyFill="1" applyBorder="1" applyAlignment="1">
      <alignment horizontal="center" wrapText="1"/>
    </xf>
    <xf numFmtId="0" fontId="5" fillId="3" borderId="0" xfId="0" applyFont="1" applyFill="1" applyAlignment="1">
      <alignment horizontal="center" wrapText="1"/>
    </xf>
    <xf numFmtId="0" fontId="5" fillId="3" borderId="23" xfId="0" applyFont="1" applyFill="1" applyBorder="1" applyAlignment="1">
      <alignment horizontal="center" wrapText="1"/>
    </xf>
    <xf numFmtId="0" fontId="2" fillId="0" borderId="20" xfId="0" applyFont="1" applyBorder="1" applyAlignment="1">
      <alignment horizontal="center"/>
    </xf>
    <xf numFmtId="0" fontId="2" fillId="0" borderId="0" xfId="0" applyFont="1" applyAlignment="1">
      <alignment horizontal="center"/>
    </xf>
    <xf numFmtId="0" fontId="2" fillId="0" borderId="23" xfId="0" applyFont="1" applyBorder="1" applyAlignment="1">
      <alignment horizontal="center"/>
    </xf>
    <xf numFmtId="0" fontId="5" fillId="3" borderId="23" xfId="0" applyFont="1" applyFill="1" applyBorder="1" applyAlignment="1">
      <alignment horizontal="center" vertical="center" wrapText="1"/>
    </xf>
    <xf numFmtId="0" fontId="11" fillId="0" borderId="4" xfId="0" applyFont="1" applyBorder="1" applyAlignment="1">
      <alignment horizontal="center" vertical="center" wrapText="1"/>
    </xf>
    <xf numFmtId="0" fontId="11" fillId="0" borderId="14"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16" xfId="0" applyFont="1" applyBorder="1" applyAlignment="1">
      <alignment horizontal="center" vertical="center" wrapText="1"/>
    </xf>
    <xf numFmtId="0" fontId="0" fillId="0" borderId="20" xfId="0" applyBorder="1" applyAlignment="1">
      <alignment horizontal="center"/>
    </xf>
    <xf numFmtId="0" fontId="0" fillId="0" borderId="14" xfId="0" applyBorder="1" applyAlignment="1">
      <alignment horizontal="center"/>
    </xf>
    <xf numFmtId="0" fontId="0" fillId="0" borderId="4" xfId="0" applyBorder="1" applyAlignment="1">
      <alignment horizontal="center"/>
    </xf>
    <xf numFmtId="0" fontId="11" fillId="0" borderId="6" xfId="0" applyFont="1" applyBorder="1" applyAlignment="1">
      <alignment horizontal="center" vertical="center" wrapText="1"/>
    </xf>
    <xf numFmtId="0" fontId="11" fillId="0" borderId="4" xfId="0" applyFont="1" applyBorder="1" applyAlignment="1">
      <alignment horizontal="center" wrapText="1"/>
    </xf>
    <xf numFmtId="0" fontId="11" fillId="0" borderId="6" xfId="0" applyFont="1" applyBorder="1" applyAlignment="1">
      <alignment horizontal="center" wrapText="1"/>
    </xf>
    <xf numFmtId="0" fontId="0" fillId="0" borderId="17" xfId="0" applyBorder="1" applyAlignment="1">
      <alignment horizontal="center" wrapText="1"/>
    </xf>
    <xf numFmtId="0" fontId="0" fillId="0" borderId="18" xfId="0" applyBorder="1" applyAlignment="1">
      <alignment horizontal="center" wrapText="1"/>
    </xf>
    <xf numFmtId="0" fontId="0" fillId="0" borderId="4" xfId="0" applyBorder="1" applyAlignment="1">
      <alignment horizontal="center" wrapText="1"/>
    </xf>
    <xf numFmtId="0" fontId="0" fillId="0" borderId="14" xfId="0" applyBorder="1" applyAlignment="1">
      <alignment horizontal="center" wrapText="1"/>
    </xf>
    <xf numFmtId="0" fontId="2" fillId="0" borderId="0" xfId="0" applyFont="1" applyAlignment="1">
      <alignment vertical="center"/>
    </xf>
    <xf numFmtId="0" fontId="2" fillId="0" borderId="22" xfId="0" applyFont="1" applyBorder="1" applyAlignment="1">
      <alignment horizontal="center" vertical="center"/>
    </xf>
    <xf numFmtId="0" fontId="2" fillId="0" borderId="17" xfId="0" applyFont="1" applyBorder="1" applyAlignment="1">
      <alignment horizontal="center" vertical="center"/>
    </xf>
    <xf numFmtId="0" fontId="2" fillId="0" borderId="18" xfId="0" applyFont="1" applyBorder="1" applyAlignment="1">
      <alignment horizontal="center" vertical="center"/>
    </xf>
    <xf numFmtId="0" fontId="0" fillId="0" borderId="17" xfId="0" applyBorder="1" applyAlignment="1">
      <alignment horizontal="center" vertical="center" wrapText="1"/>
    </xf>
    <xf numFmtId="0" fontId="0" fillId="0" borderId="22" xfId="0" applyBorder="1" applyAlignment="1">
      <alignment horizontal="center" vertical="center" wrapText="1"/>
    </xf>
    <xf numFmtId="0" fontId="0" fillId="0" borderId="18" xfId="0" applyBorder="1" applyAlignment="1">
      <alignment horizontal="center" vertical="center" wrapText="1"/>
    </xf>
    <xf numFmtId="0" fontId="25" fillId="0" borderId="0" xfId="0" applyFont="1" applyAlignment="1">
      <alignment horizontal="center" vertical="center" wrapText="1"/>
    </xf>
    <xf numFmtId="0" fontId="2"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20" xfId="0" applyFont="1" applyBorder="1" applyAlignment="1">
      <alignment horizontal="center" vertical="center" wrapText="1"/>
    </xf>
    <xf numFmtId="0" fontId="0" fillId="0" borderId="0" xfId="0" applyAlignment="1">
      <alignment horizontal="center" vertical="center" wrapText="1"/>
    </xf>
    <xf numFmtId="0" fontId="2" fillId="0" borderId="14" xfId="0" applyFont="1" applyBorder="1" applyAlignment="1">
      <alignment horizontal="center"/>
    </xf>
    <xf numFmtId="0" fontId="2" fillId="0" borderId="20" xfId="0" applyFont="1" applyBorder="1" applyAlignment="1">
      <alignment horizontal="center" wrapText="1"/>
    </xf>
    <xf numFmtId="0" fontId="2" fillId="0" borderId="1" xfId="0" applyFont="1" applyBorder="1" applyAlignment="1">
      <alignment horizontal="center" wrapText="1"/>
    </xf>
    <xf numFmtId="0" fontId="2" fillId="0" borderId="3" xfId="0" applyFont="1" applyBorder="1" applyAlignment="1">
      <alignment horizontal="center" wrapText="1"/>
    </xf>
    <xf numFmtId="164" fontId="6" fillId="12" borderId="1" xfId="0" applyNumberFormat="1" applyFont="1" applyFill="1" applyBorder="1" applyAlignment="1">
      <alignment horizontal="center" vertical="center"/>
    </xf>
    <xf numFmtId="164" fontId="6" fillId="12" borderId="1" xfId="0" quotePrefix="1" applyNumberFormat="1" applyFont="1" applyFill="1" applyBorder="1" applyAlignment="1">
      <alignment horizontal="center" vertical="center"/>
    </xf>
    <xf numFmtId="164" fontId="6" fillId="12" borderId="27" xfId="0" quotePrefix="1" applyNumberFormat="1" applyFont="1" applyFill="1" applyBorder="1" applyAlignment="1">
      <alignment horizontal="center" vertical="center"/>
    </xf>
    <xf numFmtId="164" fontId="6" fillId="12" borderId="28" xfId="0" quotePrefix="1" applyNumberFormat="1" applyFont="1" applyFill="1" applyBorder="1" applyAlignment="1">
      <alignment horizontal="center" vertical="center"/>
    </xf>
  </cellXfs>
  <cellStyles count="3">
    <cellStyle name="Hyperlink" xfId="2" builtinId="8"/>
    <cellStyle name="Procent" xfId="1" builtinId="5"/>
    <cellStyle name="Standaard" xfId="0" builtinId="0"/>
  </cellStyles>
  <dxfs count="0"/>
  <tableStyles count="0" defaultTableStyle="TableStyleMedium2" defaultPivotStyle="PivotStyleLight16"/>
  <colors>
    <mruColors>
      <color rgb="FF29524A"/>
      <color rgb="FFF6CE50"/>
      <color rgb="FFC36F09"/>
      <color rgb="FFDA667B"/>
      <color rgb="FF653239"/>
      <color rgb="FF000000"/>
      <color rgb="FF5ABA8A"/>
      <color rgb="FF56458B"/>
      <color rgb="FF475F89"/>
      <color rgb="FFA6E4A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microsoft.com/office/2017/10/relationships/person" Target="persons/perso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stacked"/>
        <c:varyColors val="0"/>
        <c:ser>
          <c:idx val="0"/>
          <c:order val="0"/>
          <c:tx>
            <c:strRef>
              <c:f>'S2.2.1. LULC_change'!$L$10</c:f>
              <c:strCache>
                <c:ptCount val="1"/>
                <c:pt idx="0">
                  <c:v>Grey infrastructure</c:v>
                </c:pt>
              </c:strCache>
            </c:strRef>
          </c:tx>
          <c:spPr>
            <a:solidFill>
              <a:schemeClr val="tx1">
                <a:lumMod val="65000"/>
                <a:lumOff val="35000"/>
              </a:schemeClr>
            </a:solidFill>
            <a:ln>
              <a:noFill/>
            </a:ln>
            <a:effectLst/>
          </c:spPr>
          <c:invertIfNegative val="0"/>
          <c:cat>
            <c:multiLvlStrRef>
              <c:f>'S2.2.1. LULC_change'!$J$11:$K$16</c:f>
              <c:multiLvlStrCache>
                <c:ptCount val="6"/>
                <c:lvl>
                  <c:pt idx="0">
                    <c:v>2018</c:v>
                  </c:pt>
                  <c:pt idx="1">
                    <c:v>Green 2050</c:v>
                  </c:pt>
                  <c:pt idx="2">
                    <c:v>Grey 2050</c:v>
                  </c:pt>
                  <c:pt idx="3">
                    <c:v>2018</c:v>
                  </c:pt>
                  <c:pt idx="4">
                    <c:v>Green 2050</c:v>
                  </c:pt>
                  <c:pt idx="5">
                    <c:v>Grey 2050</c:v>
                  </c:pt>
                </c:lvl>
                <c:lvl>
                  <c:pt idx="0">
                    <c:v>Dense</c:v>
                  </c:pt>
                  <c:pt idx="3">
                    <c:v>Sparse</c:v>
                  </c:pt>
                </c:lvl>
              </c:multiLvlStrCache>
            </c:multiLvlStrRef>
          </c:cat>
          <c:val>
            <c:numRef>
              <c:f>'S2.2.1. LULC_change'!$L$11:$L$16</c:f>
              <c:numCache>
                <c:formatCode>0.00E+00</c:formatCode>
                <c:ptCount val="6"/>
                <c:pt idx="0">
                  <c:v>124943700</c:v>
                </c:pt>
                <c:pt idx="1">
                  <c:v>85053500</c:v>
                </c:pt>
                <c:pt idx="2">
                  <c:v>529097800</c:v>
                </c:pt>
                <c:pt idx="3">
                  <c:v>26801500</c:v>
                </c:pt>
                <c:pt idx="4">
                  <c:v>80392900</c:v>
                </c:pt>
                <c:pt idx="5">
                  <c:v>608151300</c:v>
                </c:pt>
              </c:numCache>
            </c:numRef>
          </c:val>
          <c:extLst>
            <c:ext xmlns:c16="http://schemas.microsoft.com/office/drawing/2014/chart" uri="{C3380CC4-5D6E-409C-BE32-E72D297353CC}">
              <c16:uniqueId val="{00000005-892F-42F7-88E3-6F2063FA1E4A}"/>
            </c:ext>
          </c:extLst>
        </c:ser>
        <c:ser>
          <c:idx val="1"/>
          <c:order val="1"/>
          <c:tx>
            <c:strRef>
              <c:f>'S2.2.1. LULC_change'!$M$10</c:f>
              <c:strCache>
                <c:ptCount val="1"/>
                <c:pt idx="0">
                  <c:v>Green infrastructure</c:v>
                </c:pt>
              </c:strCache>
            </c:strRef>
          </c:tx>
          <c:spPr>
            <a:solidFill>
              <a:srgbClr val="5ABA8A"/>
            </a:solidFill>
            <a:ln>
              <a:noFill/>
            </a:ln>
            <a:effectLst/>
          </c:spPr>
          <c:invertIfNegative val="0"/>
          <c:cat>
            <c:multiLvlStrRef>
              <c:f>'S2.2.1. LULC_change'!$J$11:$K$16</c:f>
              <c:multiLvlStrCache>
                <c:ptCount val="6"/>
                <c:lvl>
                  <c:pt idx="0">
                    <c:v>2018</c:v>
                  </c:pt>
                  <c:pt idx="1">
                    <c:v>Green 2050</c:v>
                  </c:pt>
                  <c:pt idx="2">
                    <c:v>Grey 2050</c:v>
                  </c:pt>
                  <c:pt idx="3">
                    <c:v>2018</c:v>
                  </c:pt>
                  <c:pt idx="4">
                    <c:v>Green 2050</c:v>
                  </c:pt>
                  <c:pt idx="5">
                    <c:v>Grey 2050</c:v>
                  </c:pt>
                </c:lvl>
                <c:lvl>
                  <c:pt idx="0">
                    <c:v>Dense</c:v>
                  </c:pt>
                  <c:pt idx="3">
                    <c:v>Sparse</c:v>
                  </c:pt>
                </c:lvl>
              </c:multiLvlStrCache>
            </c:multiLvlStrRef>
          </c:cat>
          <c:val>
            <c:numRef>
              <c:f>'S2.2.1. LULC_change'!$M$11:$M$16</c:f>
              <c:numCache>
                <c:formatCode>0.00E+00</c:formatCode>
                <c:ptCount val="6"/>
                <c:pt idx="0">
                  <c:v>261457900</c:v>
                </c:pt>
                <c:pt idx="1">
                  <c:v>535361300</c:v>
                </c:pt>
                <c:pt idx="2">
                  <c:v>34775900</c:v>
                </c:pt>
                <c:pt idx="3">
                  <c:v>102794100</c:v>
                </c:pt>
                <c:pt idx="4">
                  <c:v>644638300</c:v>
                </c:pt>
                <c:pt idx="5">
                  <c:v>42455300</c:v>
                </c:pt>
              </c:numCache>
            </c:numRef>
          </c:val>
          <c:extLst>
            <c:ext xmlns:c16="http://schemas.microsoft.com/office/drawing/2014/chart" uri="{C3380CC4-5D6E-409C-BE32-E72D297353CC}">
              <c16:uniqueId val="{00000007-892F-42F7-88E3-6F2063FA1E4A}"/>
            </c:ext>
          </c:extLst>
        </c:ser>
        <c:ser>
          <c:idx val="2"/>
          <c:order val="2"/>
          <c:tx>
            <c:strRef>
              <c:f>'S2.2.1. LULC_change'!$N$10</c:f>
              <c:strCache>
                <c:ptCount val="1"/>
                <c:pt idx="0">
                  <c:v>Agricultural land</c:v>
                </c:pt>
              </c:strCache>
            </c:strRef>
          </c:tx>
          <c:spPr>
            <a:solidFill>
              <a:schemeClr val="accent4">
                <a:lumMod val="60000"/>
                <a:lumOff val="40000"/>
              </a:schemeClr>
            </a:solidFill>
            <a:ln>
              <a:noFill/>
            </a:ln>
            <a:effectLst/>
          </c:spPr>
          <c:invertIfNegative val="0"/>
          <c:cat>
            <c:multiLvlStrRef>
              <c:f>'S2.2.1. LULC_change'!$J$11:$K$16</c:f>
              <c:multiLvlStrCache>
                <c:ptCount val="6"/>
                <c:lvl>
                  <c:pt idx="0">
                    <c:v>2018</c:v>
                  </c:pt>
                  <c:pt idx="1">
                    <c:v>Green 2050</c:v>
                  </c:pt>
                  <c:pt idx="2">
                    <c:v>Grey 2050</c:v>
                  </c:pt>
                  <c:pt idx="3">
                    <c:v>2018</c:v>
                  </c:pt>
                  <c:pt idx="4">
                    <c:v>Green 2050</c:v>
                  </c:pt>
                  <c:pt idx="5">
                    <c:v>Grey 2050</c:v>
                  </c:pt>
                </c:lvl>
                <c:lvl>
                  <c:pt idx="0">
                    <c:v>Dense</c:v>
                  </c:pt>
                  <c:pt idx="3">
                    <c:v>Sparse</c:v>
                  </c:pt>
                </c:lvl>
              </c:multiLvlStrCache>
            </c:multiLvlStrRef>
          </c:cat>
          <c:val>
            <c:numRef>
              <c:f>'S2.2.1. LULC_change'!$N$11:$N$16</c:f>
              <c:numCache>
                <c:formatCode>0.00E+00</c:formatCode>
                <c:ptCount val="6"/>
                <c:pt idx="0">
                  <c:v>138746600</c:v>
                </c:pt>
                <c:pt idx="1">
                  <c:v>0</c:v>
                </c:pt>
                <c:pt idx="2">
                  <c:v>0</c:v>
                </c:pt>
                <c:pt idx="3">
                  <c:v>533257000</c:v>
                </c:pt>
                <c:pt idx="4">
                  <c:v>0</c:v>
                </c:pt>
                <c:pt idx="5">
                  <c:v>0</c:v>
                </c:pt>
              </c:numCache>
            </c:numRef>
          </c:val>
          <c:extLst>
            <c:ext xmlns:c16="http://schemas.microsoft.com/office/drawing/2014/chart" uri="{C3380CC4-5D6E-409C-BE32-E72D297353CC}">
              <c16:uniqueId val="{00000009-892F-42F7-88E3-6F2063FA1E4A}"/>
            </c:ext>
          </c:extLst>
        </c:ser>
        <c:ser>
          <c:idx val="3"/>
          <c:order val="3"/>
          <c:tx>
            <c:strRef>
              <c:f>'S2.2.1. LULC_change'!$O$10</c:f>
              <c:strCache>
                <c:ptCount val="1"/>
                <c:pt idx="0">
                  <c:v>Other</c:v>
                </c:pt>
              </c:strCache>
            </c:strRef>
          </c:tx>
          <c:spPr>
            <a:solidFill>
              <a:srgbClr val="56458B"/>
            </a:solidFill>
            <a:ln>
              <a:noFill/>
            </a:ln>
            <a:effectLst/>
          </c:spPr>
          <c:invertIfNegative val="0"/>
          <c:cat>
            <c:multiLvlStrRef>
              <c:f>'S2.2.1. LULC_change'!$J$11:$K$16</c:f>
              <c:multiLvlStrCache>
                <c:ptCount val="6"/>
                <c:lvl>
                  <c:pt idx="0">
                    <c:v>2018</c:v>
                  </c:pt>
                  <c:pt idx="1">
                    <c:v>Green 2050</c:v>
                  </c:pt>
                  <c:pt idx="2">
                    <c:v>Grey 2050</c:v>
                  </c:pt>
                  <c:pt idx="3">
                    <c:v>2018</c:v>
                  </c:pt>
                  <c:pt idx="4">
                    <c:v>Green 2050</c:v>
                  </c:pt>
                  <c:pt idx="5">
                    <c:v>Grey 2050</c:v>
                  </c:pt>
                </c:lvl>
                <c:lvl>
                  <c:pt idx="0">
                    <c:v>Dense</c:v>
                  </c:pt>
                  <c:pt idx="3">
                    <c:v>Sparse</c:v>
                  </c:pt>
                </c:lvl>
              </c:multiLvlStrCache>
            </c:multiLvlStrRef>
          </c:cat>
          <c:val>
            <c:numRef>
              <c:f>'S2.2.1. LULC_change'!$O$11:$O$16</c:f>
              <c:numCache>
                <c:formatCode>0.00E+00</c:formatCode>
                <c:ptCount val="6"/>
                <c:pt idx="0">
                  <c:v>100002300</c:v>
                </c:pt>
                <c:pt idx="1">
                  <c:v>4545700</c:v>
                </c:pt>
                <c:pt idx="2">
                  <c:v>61086800</c:v>
                </c:pt>
                <c:pt idx="3">
                  <c:v>64024800</c:v>
                </c:pt>
                <c:pt idx="4">
                  <c:v>1846200</c:v>
                </c:pt>
                <c:pt idx="5">
                  <c:v>76270800</c:v>
                </c:pt>
              </c:numCache>
            </c:numRef>
          </c:val>
          <c:extLst>
            <c:ext xmlns:c16="http://schemas.microsoft.com/office/drawing/2014/chart" uri="{C3380CC4-5D6E-409C-BE32-E72D297353CC}">
              <c16:uniqueId val="{0000000B-892F-42F7-88E3-6F2063FA1E4A}"/>
            </c:ext>
          </c:extLst>
        </c:ser>
        <c:dLbls>
          <c:showLegendKey val="0"/>
          <c:showVal val="0"/>
          <c:showCatName val="0"/>
          <c:showSerName val="0"/>
          <c:showPercent val="0"/>
          <c:showBubbleSize val="0"/>
        </c:dLbls>
        <c:gapWidth val="150"/>
        <c:overlap val="100"/>
        <c:axId val="382917199"/>
        <c:axId val="252303135"/>
      </c:barChart>
      <c:catAx>
        <c:axId val="382917199"/>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venir Next LT Pro" panose="020B0504020202020204" pitchFamily="34" charset="0"/>
                    <a:ea typeface="+mn-ea"/>
                    <a:cs typeface="+mn-cs"/>
                  </a:defRPr>
                </a:pPr>
                <a:r>
                  <a:rPr lang="en-US"/>
                  <a:t>Strategy</a:t>
                </a:r>
              </a:p>
            </c:rich>
          </c:tx>
          <c:overlay val="0"/>
          <c:spPr>
            <a:noFill/>
            <a:ln>
              <a:noFill/>
            </a:ln>
            <a:effectLst/>
          </c:spPr>
        </c:title>
        <c:numFmt formatCode="General" sourceLinked="1"/>
        <c:majorTickMark val="none"/>
        <c:minorTickMark val="none"/>
        <c:tickLblPos val="nextTo"/>
        <c:spPr>
          <a:noFill/>
          <a:ln w="9525" cap="flat" cmpd="sng" algn="ctr">
            <a:solidFill>
              <a:sysClr val="windowText" lastClr="000000"/>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venir Next LT Pro" panose="020B0504020202020204" pitchFamily="34" charset="0"/>
                <a:ea typeface="+mn-ea"/>
                <a:cs typeface="+mn-cs"/>
              </a:defRPr>
            </a:pPr>
            <a:endParaRPr lang="en-US"/>
          </a:p>
        </c:txPr>
        <c:crossAx val="252303135"/>
        <c:crosses val="autoZero"/>
        <c:auto val="1"/>
        <c:lblAlgn val="ctr"/>
        <c:lblOffset val="100"/>
        <c:noMultiLvlLbl val="0"/>
      </c:catAx>
      <c:valAx>
        <c:axId val="252303135"/>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ysClr val="windowText" lastClr="000000"/>
                    </a:solidFill>
                    <a:latin typeface="Avenir Next LT Pro" panose="020B0504020202020204" pitchFamily="34" charset="0"/>
                    <a:ea typeface="+mn-ea"/>
                    <a:cs typeface="+mn-cs"/>
                  </a:defRPr>
                </a:pPr>
                <a:r>
                  <a:rPr lang="en-US"/>
                  <a:t>m</a:t>
                </a:r>
                <a:r>
                  <a:rPr lang="en-US" baseline="30000"/>
                  <a:t>2</a:t>
                </a:r>
              </a:p>
            </c:rich>
          </c:tx>
          <c:overlay val="0"/>
          <c:spPr>
            <a:noFill/>
            <a:ln>
              <a:noFill/>
            </a:ln>
            <a:effectLst/>
          </c:spPr>
        </c:title>
        <c:numFmt formatCode="0.00E+00" sourceLinked="0"/>
        <c:majorTickMark val="none"/>
        <c:minorTickMark val="none"/>
        <c:tickLblPos val="nextTo"/>
        <c:spPr>
          <a:noFill/>
          <a:ln>
            <a:solidFill>
              <a:sysClr val="windowText" lastClr="000000"/>
            </a:solid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venir Next LT Pro" panose="020B0504020202020204" pitchFamily="34" charset="0"/>
                <a:ea typeface="+mn-ea"/>
                <a:cs typeface="+mn-cs"/>
              </a:defRPr>
            </a:pPr>
            <a:endParaRPr lang="en-US"/>
          </a:p>
        </c:txPr>
        <c:crossAx val="382917199"/>
        <c:crosses val="autoZero"/>
        <c:crossBetween val="between"/>
      </c:valAx>
    </c:plotArea>
    <c:legend>
      <c:legendPos val="b"/>
      <c:layout>
        <c:manualLayout>
          <c:xMode val="edge"/>
          <c:yMode val="edge"/>
          <c:x val="0.18937985126090878"/>
          <c:y val="0.89255273780768618"/>
          <c:w val="0.77727750699929565"/>
          <c:h val="6.2686503162623711E-2"/>
        </c:manualLayout>
      </c:layout>
      <c:overlay val="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Avenir Next LT Pro" panose="020B0504020202020204" pitchFamily="34" charset="0"/>
              <a:ea typeface="+mn-ea"/>
              <a:cs typeface="+mn-cs"/>
            </a:defRPr>
          </a:pPr>
          <a:endParaRPr lang="en-US"/>
        </a:p>
      </c:txPr>
    </c:legend>
    <c:plotVisOnly val="1"/>
    <c:dispBlanksAs val="gap"/>
    <c:showDLblsOverMax val="0"/>
    <c:extLst/>
  </c:chart>
  <c:spPr>
    <a:solidFill>
      <a:schemeClr val="bg1"/>
    </a:solidFill>
    <a:ln w="9525" cap="flat" cmpd="sng" algn="ctr">
      <a:noFill/>
      <a:round/>
    </a:ln>
    <a:effectLst/>
  </c:spPr>
  <c:txPr>
    <a:bodyPr/>
    <a:lstStyle/>
    <a:p>
      <a:pPr>
        <a:defRPr>
          <a:solidFill>
            <a:sysClr val="windowText" lastClr="000000"/>
          </a:solidFill>
          <a:latin typeface="Avenir Next LT Pro" panose="020B0504020202020204" pitchFamily="34" charset="0"/>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50" b="0" i="0" u="none" strike="noStrike" kern="1200" spc="0" baseline="0">
                <a:solidFill>
                  <a:sysClr val="windowText" lastClr="000000"/>
                </a:solidFill>
                <a:latin typeface="Avenir Next LT Pro" panose="020B0504020202020204" pitchFamily="34" charset="0"/>
                <a:ea typeface="+mn-ea"/>
                <a:cs typeface="+mn-cs"/>
              </a:defRPr>
            </a:pPr>
            <a:r>
              <a:rPr lang="en-US" sz="1050"/>
              <a:t>Primary material inflow</a:t>
            </a:r>
            <a:br>
              <a:rPr lang="en-US" sz="1050"/>
            </a:br>
            <a:r>
              <a:rPr lang="en-US" sz="1050"/>
              <a:t>(Mt)</a:t>
            </a:r>
          </a:p>
        </c:rich>
      </c:tx>
      <c:overlay val="0"/>
      <c:spPr>
        <a:noFill/>
        <a:ln>
          <a:noFill/>
        </a:ln>
        <a:effectLst/>
      </c:spPr>
      <c:txPr>
        <a:bodyPr rot="0" spcFirstLastPara="1" vertOverflow="ellipsis" vert="horz" wrap="square" anchor="ctr" anchorCtr="1"/>
        <a:lstStyle/>
        <a:p>
          <a:pPr>
            <a:defRPr sz="1050" b="0" i="0" u="none" strike="noStrike" kern="1200" spc="0" baseline="0">
              <a:solidFill>
                <a:sysClr val="windowText" lastClr="000000"/>
              </a:solidFill>
              <a:latin typeface="Avenir Next LT Pro" panose="020B0504020202020204" pitchFamily="34" charset="0"/>
              <a:ea typeface="+mn-ea"/>
              <a:cs typeface="+mn-cs"/>
            </a:defRPr>
          </a:pPr>
          <a:endParaRPr lang="en-US"/>
        </a:p>
      </c:txPr>
    </c:title>
    <c:autoTitleDeleted val="0"/>
    <c:plotArea>
      <c:layout/>
      <c:barChart>
        <c:barDir val="col"/>
        <c:grouping val="clustered"/>
        <c:varyColors val="0"/>
        <c:ser>
          <c:idx val="0"/>
          <c:order val="0"/>
          <c:tx>
            <c:strRef>
              <c:f>'S2.2.3. material_data'!$C$1:$C$2</c:f>
              <c:strCache>
                <c:ptCount val="2"/>
                <c:pt idx="0">
                  <c:v>Primary material inflow</c:v>
                </c:pt>
                <c:pt idx="1">
                  <c:v>Megaton</c:v>
                </c:pt>
              </c:strCache>
            </c:strRef>
          </c:tx>
          <c:spPr>
            <a:solidFill>
              <a:srgbClr val="653239"/>
            </a:solidFill>
            <a:ln>
              <a:noFill/>
            </a:ln>
            <a:effectLst/>
          </c:spPr>
          <c:invertIfNegative val="0"/>
          <c:dPt>
            <c:idx val="1"/>
            <c:invertIfNegative val="0"/>
            <c:bubble3D val="0"/>
            <c:spPr>
              <a:solidFill>
                <a:srgbClr val="DA667B"/>
              </a:solidFill>
              <a:ln>
                <a:noFill/>
              </a:ln>
              <a:effectLst/>
            </c:spPr>
            <c:extLst>
              <c:ext xmlns:c16="http://schemas.microsoft.com/office/drawing/2014/chart" uri="{C3380CC4-5D6E-409C-BE32-E72D297353CC}">
                <c16:uniqueId val="{00000001-411E-49C4-92C0-1C171D29C0CA}"/>
              </c:ext>
            </c:extLst>
          </c:dPt>
          <c:dPt>
            <c:idx val="2"/>
            <c:invertIfNegative val="0"/>
            <c:bubble3D val="0"/>
            <c:spPr>
              <a:solidFill>
                <a:srgbClr val="C36F09"/>
              </a:solidFill>
              <a:ln>
                <a:noFill/>
              </a:ln>
              <a:effectLst/>
            </c:spPr>
            <c:extLst>
              <c:ext xmlns:c16="http://schemas.microsoft.com/office/drawing/2014/chart" uri="{C3380CC4-5D6E-409C-BE32-E72D297353CC}">
                <c16:uniqueId val="{00000002-411E-49C4-92C0-1C171D29C0CA}"/>
              </c:ext>
            </c:extLst>
          </c:dPt>
          <c:dPt>
            <c:idx val="3"/>
            <c:invertIfNegative val="0"/>
            <c:bubble3D val="0"/>
            <c:spPr>
              <a:solidFill>
                <a:srgbClr val="F6CE50"/>
              </a:solidFill>
              <a:ln>
                <a:noFill/>
              </a:ln>
              <a:effectLst/>
            </c:spPr>
            <c:extLst>
              <c:ext xmlns:c16="http://schemas.microsoft.com/office/drawing/2014/chart" uri="{C3380CC4-5D6E-409C-BE32-E72D297353CC}">
                <c16:uniqueId val="{00000003-411E-49C4-92C0-1C171D29C0CA}"/>
              </c:ext>
            </c:extLst>
          </c:dPt>
          <c:dPt>
            <c:idx val="4"/>
            <c:invertIfNegative val="0"/>
            <c:bubble3D val="0"/>
            <c:spPr>
              <a:solidFill>
                <a:srgbClr val="29524A"/>
              </a:solidFill>
              <a:ln>
                <a:noFill/>
              </a:ln>
              <a:effectLst/>
            </c:spPr>
            <c:extLst>
              <c:ext xmlns:c16="http://schemas.microsoft.com/office/drawing/2014/chart" uri="{C3380CC4-5D6E-409C-BE32-E72D297353CC}">
                <c16:uniqueId val="{00000004-411E-49C4-92C0-1C171D29C0CA}"/>
              </c:ext>
            </c:extLst>
          </c:dPt>
          <c:dPt>
            <c:idx val="5"/>
            <c:invertIfNegative val="0"/>
            <c:bubble3D val="0"/>
            <c:spPr>
              <a:solidFill>
                <a:schemeClr val="accent5">
                  <a:lumMod val="75000"/>
                </a:schemeClr>
              </a:solidFill>
              <a:ln>
                <a:noFill/>
              </a:ln>
              <a:effectLst/>
            </c:spPr>
            <c:extLst>
              <c:ext xmlns:c16="http://schemas.microsoft.com/office/drawing/2014/chart" uri="{C3380CC4-5D6E-409C-BE32-E72D297353CC}">
                <c16:uniqueId val="{00000005-411E-49C4-92C0-1C171D29C0CA}"/>
              </c:ext>
            </c:extLst>
          </c:dPt>
          <c:cat>
            <c:multiLvlStrRef>
              <c:f>'S2.2.3. material_data'!$A$3:$B$8</c:f>
              <c:multiLvlStrCache>
                <c:ptCount val="6"/>
                <c:lvl>
                  <c:pt idx="0">
                    <c:v>Dense</c:v>
                  </c:pt>
                  <c:pt idx="1">
                    <c:v>Sparse</c:v>
                  </c:pt>
                  <c:pt idx="2">
                    <c:v>Dense</c:v>
                  </c:pt>
                  <c:pt idx="3">
                    <c:v>Sparse</c:v>
                  </c:pt>
                  <c:pt idx="4">
                    <c:v>Dense</c:v>
                  </c:pt>
                  <c:pt idx="5">
                    <c:v>Sparse</c:v>
                  </c:pt>
                </c:lvl>
                <c:lvl>
                  <c:pt idx="0">
                    <c:v>Conventional</c:v>
                  </c:pt>
                  <c:pt idx="2">
                    <c:v>Biobased</c:v>
                  </c:pt>
                  <c:pt idx="4">
                    <c:v>Circular</c:v>
                  </c:pt>
                </c:lvl>
              </c:multiLvlStrCache>
            </c:multiLvlStrRef>
          </c:cat>
          <c:val>
            <c:numRef>
              <c:f>'S2.2.3. material_data'!$C$3:$C$8</c:f>
              <c:numCache>
                <c:formatCode>0.00</c:formatCode>
                <c:ptCount val="6"/>
                <c:pt idx="0">
                  <c:v>347.52972113300103</c:v>
                </c:pt>
                <c:pt idx="1">
                  <c:v>461.99290904493989</c:v>
                </c:pt>
                <c:pt idx="2">
                  <c:v>161.76943005278645</c:v>
                </c:pt>
                <c:pt idx="3">
                  <c:v>242.74817655622698</c:v>
                </c:pt>
                <c:pt idx="4">
                  <c:v>167.89668964472196</c:v>
                </c:pt>
                <c:pt idx="5">
                  <c:v>281.65000065069825</c:v>
                </c:pt>
              </c:numCache>
            </c:numRef>
          </c:val>
          <c:extLst>
            <c:ext xmlns:c16="http://schemas.microsoft.com/office/drawing/2014/chart" uri="{C3380CC4-5D6E-409C-BE32-E72D297353CC}">
              <c16:uniqueId val="{00000000-411E-49C4-92C0-1C171D29C0CA}"/>
            </c:ext>
          </c:extLst>
        </c:ser>
        <c:dLbls>
          <c:showLegendKey val="0"/>
          <c:showVal val="0"/>
          <c:showCatName val="0"/>
          <c:showSerName val="0"/>
          <c:showPercent val="0"/>
          <c:showBubbleSize val="0"/>
        </c:dLbls>
        <c:gapWidth val="50"/>
        <c:overlap val="-27"/>
        <c:axId val="1310043519"/>
        <c:axId val="1090088447"/>
      </c:barChart>
      <c:catAx>
        <c:axId val="1310043519"/>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800" b="0" i="0" u="none" strike="noStrike" kern="1200" baseline="0">
                <a:solidFill>
                  <a:sysClr val="windowText" lastClr="000000"/>
                </a:solidFill>
                <a:latin typeface="Avenir Next LT Pro" panose="020B0504020202020204" pitchFamily="34" charset="0"/>
                <a:ea typeface="+mn-ea"/>
                <a:cs typeface="+mn-cs"/>
              </a:defRPr>
            </a:pPr>
            <a:endParaRPr lang="en-US"/>
          </a:p>
        </c:txPr>
        <c:crossAx val="1090088447"/>
        <c:crosses val="autoZero"/>
        <c:auto val="1"/>
        <c:lblAlgn val="ctr"/>
        <c:lblOffset val="100"/>
        <c:noMultiLvlLbl val="0"/>
      </c:catAx>
      <c:valAx>
        <c:axId val="1090088447"/>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800" b="0" i="0" u="none" strike="noStrike" kern="1200" baseline="0">
                <a:solidFill>
                  <a:sysClr val="windowText" lastClr="000000"/>
                </a:solidFill>
                <a:latin typeface="Avenir Next LT Pro" panose="020B0504020202020204" pitchFamily="34" charset="0"/>
                <a:ea typeface="+mn-ea"/>
                <a:cs typeface="+mn-cs"/>
              </a:defRPr>
            </a:pPr>
            <a:endParaRPr lang="en-US"/>
          </a:p>
        </c:txPr>
        <c:crossAx val="1310043519"/>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solidFill>
            <a:sysClr val="windowText" lastClr="000000"/>
          </a:solidFill>
          <a:latin typeface="Avenir Next LT Pro" panose="020B0504020202020204" pitchFamily="34" charset="0"/>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50" b="0" i="0" u="none" strike="noStrike" kern="1200" spc="0" baseline="0">
                <a:solidFill>
                  <a:sysClr val="windowText" lastClr="000000"/>
                </a:solidFill>
                <a:latin typeface="Avenir Next LT Pro" panose="020B0504020202020204" pitchFamily="34" charset="0"/>
                <a:ea typeface="+mn-ea"/>
                <a:cs typeface="+mn-cs"/>
              </a:defRPr>
            </a:pPr>
            <a:r>
              <a:rPr lang="en-US" sz="1050"/>
              <a:t>Global warming potential</a:t>
            </a:r>
            <a:br>
              <a:rPr lang="en-US" sz="1050"/>
            </a:br>
            <a:r>
              <a:rPr lang="en-US" sz="1050"/>
              <a:t>(Mt CO</a:t>
            </a:r>
            <a:r>
              <a:rPr lang="en-US" sz="1050" baseline="-25000"/>
              <a:t>2</a:t>
            </a:r>
            <a:r>
              <a:rPr lang="en-US" sz="1050"/>
              <a:t> eq.)</a:t>
            </a:r>
          </a:p>
        </c:rich>
      </c:tx>
      <c:overlay val="0"/>
      <c:spPr>
        <a:noFill/>
        <a:ln>
          <a:noFill/>
        </a:ln>
        <a:effectLst/>
      </c:spPr>
      <c:txPr>
        <a:bodyPr rot="0" spcFirstLastPara="1" vertOverflow="ellipsis" vert="horz" wrap="square" anchor="ctr" anchorCtr="1"/>
        <a:lstStyle/>
        <a:p>
          <a:pPr>
            <a:defRPr sz="1050" b="0" i="0" u="none" strike="noStrike" kern="1200" spc="0" baseline="0">
              <a:solidFill>
                <a:sysClr val="windowText" lastClr="000000"/>
              </a:solidFill>
              <a:latin typeface="Avenir Next LT Pro" panose="020B0504020202020204" pitchFamily="34" charset="0"/>
              <a:ea typeface="+mn-ea"/>
              <a:cs typeface="+mn-cs"/>
            </a:defRPr>
          </a:pPr>
          <a:endParaRPr lang="en-US"/>
        </a:p>
      </c:txPr>
    </c:title>
    <c:autoTitleDeleted val="0"/>
    <c:plotArea>
      <c:layout/>
      <c:barChart>
        <c:barDir val="col"/>
        <c:grouping val="clustered"/>
        <c:varyColors val="0"/>
        <c:ser>
          <c:idx val="0"/>
          <c:order val="0"/>
          <c:tx>
            <c:strRef>
              <c:f>'S2.2.3. material_data'!$C$1:$C$2</c:f>
              <c:strCache>
                <c:ptCount val="2"/>
                <c:pt idx="0">
                  <c:v>Primary material inflow</c:v>
                </c:pt>
                <c:pt idx="1">
                  <c:v>Megaton</c:v>
                </c:pt>
              </c:strCache>
            </c:strRef>
          </c:tx>
          <c:spPr>
            <a:solidFill>
              <a:schemeClr val="accent1"/>
            </a:solidFill>
            <a:ln>
              <a:noFill/>
            </a:ln>
            <a:effectLst/>
          </c:spPr>
          <c:invertIfNegative val="0"/>
          <c:dPt>
            <c:idx val="0"/>
            <c:invertIfNegative val="0"/>
            <c:bubble3D val="0"/>
            <c:spPr>
              <a:solidFill>
                <a:srgbClr val="653239"/>
              </a:solidFill>
              <a:ln>
                <a:noFill/>
              </a:ln>
              <a:effectLst/>
            </c:spPr>
            <c:extLst>
              <c:ext xmlns:c16="http://schemas.microsoft.com/office/drawing/2014/chart" uri="{C3380CC4-5D6E-409C-BE32-E72D297353CC}">
                <c16:uniqueId val="{0000001D-2E70-4BEA-A802-7244B90C1BB8}"/>
              </c:ext>
            </c:extLst>
          </c:dPt>
          <c:dPt>
            <c:idx val="1"/>
            <c:invertIfNegative val="0"/>
            <c:bubble3D val="0"/>
            <c:spPr>
              <a:solidFill>
                <a:srgbClr val="DA667B"/>
              </a:solidFill>
              <a:ln>
                <a:noFill/>
              </a:ln>
              <a:effectLst/>
            </c:spPr>
            <c:extLst>
              <c:ext xmlns:c16="http://schemas.microsoft.com/office/drawing/2014/chart" uri="{C3380CC4-5D6E-409C-BE32-E72D297353CC}">
                <c16:uniqueId val="{00000001-2E70-4BEA-A802-7244B90C1BB8}"/>
              </c:ext>
            </c:extLst>
          </c:dPt>
          <c:dPt>
            <c:idx val="2"/>
            <c:invertIfNegative val="0"/>
            <c:bubble3D val="0"/>
            <c:spPr>
              <a:solidFill>
                <a:srgbClr val="C36F09"/>
              </a:solidFill>
              <a:ln>
                <a:noFill/>
              </a:ln>
              <a:effectLst/>
            </c:spPr>
            <c:extLst>
              <c:ext xmlns:c16="http://schemas.microsoft.com/office/drawing/2014/chart" uri="{C3380CC4-5D6E-409C-BE32-E72D297353CC}">
                <c16:uniqueId val="{00000003-2E70-4BEA-A802-7244B90C1BB8}"/>
              </c:ext>
            </c:extLst>
          </c:dPt>
          <c:dPt>
            <c:idx val="3"/>
            <c:invertIfNegative val="0"/>
            <c:bubble3D val="0"/>
            <c:spPr>
              <a:solidFill>
                <a:srgbClr val="F6CE50"/>
              </a:solidFill>
              <a:ln>
                <a:noFill/>
              </a:ln>
              <a:effectLst/>
            </c:spPr>
            <c:extLst>
              <c:ext xmlns:c16="http://schemas.microsoft.com/office/drawing/2014/chart" uri="{C3380CC4-5D6E-409C-BE32-E72D297353CC}">
                <c16:uniqueId val="{00000005-2E70-4BEA-A802-7244B90C1BB8}"/>
              </c:ext>
            </c:extLst>
          </c:dPt>
          <c:dPt>
            <c:idx val="4"/>
            <c:invertIfNegative val="0"/>
            <c:bubble3D val="0"/>
            <c:spPr>
              <a:solidFill>
                <a:srgbClr val="29524A"/>
              </a:solidFill>
              <a:ln>
                <a:noFill/>
              </a:ln>
              <a:effectLst/>
            </c:spPr>
            <c:extLst>
              <c:ext xmlns:c16="http://schemas.microsoft.com/office/drawing/2014/chart" uri="{C3380CC4-5D6E-409C-BE32-E72D297353CC}">
                <c16:uniqueId val="{00000007-2E70-4BEA-A802-7244B90C1BB8}"/>
              </c:ext>
            </c:extLst>
          </c:dPt>
          <c:dPt>
            <c:idx val="5"/>
            <c:invertIfNegative val="0"/>
            <c:bubble3D val="0"/>
            <c:spPr>
              <a:solidFill>
                <a:schemeClr val="accent5">
                  <a:lumMod val="75000"/>
                </a:schemeClr>
              </a:solidFill>
              <a:ln>
                <a:noFill/>
              </a:ln>
              <a:effectLst/>
            </c:spPr>
            <c:extLst>
              <c:ext xmlns:c16="http://schemas.microsoft.com/office/drawing/2014/chart" uri="{C3380CC4-5D6E-409C-BE32-E72D297353CC}">
                <c16:uniqueId val="{00000009-2E70-4BEA-A802-7244B90C1BB8}"/>
              </c:ext>
            </c:extLst>
          </c:dPt>
          <c:cat>
            <c:multiLvlStrRef>
              <c:f>'S2.2.3. material_data'!$A$3:$B$8</c:f>
              <c:multiLvlStrCache>
                <c:ptCount val="6"/>
                <c:lvl>
                  <c:pt idx="0">
                    <c:v>Dense</c:v>
                  </c:pt>
                  <c:pt idx="1">
                    <c:v>Sparse</c:v>
                  </c:pt>
                  <c:pt idx="2">
                    <c:v>Dense</c:v>
                  </c:pt>
                  <c:pt idx="3">
                    <c:v>Sparse</c:v>
                  </c:pt>
                  <c:pt idx="4">
                    <c:v>Dense</c:v>
                  </c:pt>
                  <c:pt idx="5">
                    <c:v>Sparse</c:v>
                  </c:pt>
                </c:lvl>
                <c:lvl>
                  <c:pt idx="0">
                    <c:v>Conventional</c:v>
                  </c:pt>
                  <c:pt idx="2">
                    <c:v>Biobased</c:v>
                  </c:pt>
                  <c:pt idx="4">
                    <c:v>Circular</c:v>
                  </c:pt>
                </c:lvl>
              </c:multiLvlStrCache>
            </c:multiLvlStrRef>
          </c:cat>
          <c:val>
            <c:numRef>
              <c:f>'S2.2.3. material_data'!$D$3:$D$8</c:f>
              <c:numCache>
                <c:formatCode>0.00</c:formatCode>
                <c:ptCount val="6"/>
                <c:pt idx="0">
                  <c:v>112.88049260648557</c:v>
                </c:pt>
                <c:pt idx="1">
                  <c:v>126.38749918263704</c:v>
                </c:pt>
                <c:pt idx="2">
                  <c:v>68.125822329754811</c:v>
                </c:pt>
                <c:pt idx="3">
                  <c:v>79.637240024633826</c:v>
                </c:pt>
                <c:pt idx="4">
                  <c:v>70.50931686512061</c:v>
                </c:pt>
                <c:pt idx="5">
                  <c:v>80.951267614216263</c:v>
                </c:pt>
              </c:numCache>
            </c:numRef>
          </c:val>
          <c:extLst>
            <c:ext xmlns:c16="http://schemas.microsoft.com/office/drawing/2014/chart" uri="{C3380CC4-5D6E-409C-BE32-E72D297353CC}">
              <c16:uniqueId val="{0000000A-2E70-4BEA-A802-7244B90C1BB8}"/>
            </c:ext>
          </c:extLst>
        </c:ser>
        <c:dLbls>
          <c:showLegendKey val="0"/>
          <c:showVal val="0"/>
          <c:showCatName val="0"/>
          <c:showSerName val="0"/>
          <c:showPercent val="0"/>
          <c:showBubbleSize val="0"/>
        </c:dLbls>
        <c:gapWidth val="50"/>
        <c:overlap val="-27"/>
        <c:axId val="1310043519"/>
        <c:axId val="1090088447"/>
      </c:barChart>
      <c:catAx>
        <c:axId val="1310043519"/>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800" b="0" i="0" u="none" strike="noStrike" kern="1200" baseline="0">
                <a:solidFill>
                  <a:sysClr val="windowText" lastClr="000000"/>
                </a:solidFill>
                <a:latin typeface="Avenir Next LT Pro" panose="020B0504020202020204" pitchFamily="34" charset="0"/>
                <a:ea typeface="+mn-ea"/>
                <a:cs typeface="+mn-cs"/>
              </a:defRPr>
            </a:pPr>
            <a:endParaRPr lang="en-US"/>
          </a:p>
        </c:txPr>
        <c:crossAx val="1090088447"/>
        <c:crosses val="autoZero"/>
        <c:auto val="1"/>
        <c:lblAlgn val="ctr"/>
        <c:lblOffset val="100"/>
        <c:noMultiLvlLbl val="0"/>
      </c:catAx>
      <c:valAx>
        <c:axId val="1090088447"/>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800" b="0" i="0" u="none" strike="noStrike" kern="1200" baseline="0">
                <a:solidFill>
                  <a:sysClr val="windowText" lastClr="000000"/>
                </a:solidFill>
                <a:latin typeface="Avenir Next LT Pro" panose="020B0504020202020204" pitchFamily="34" charset="0"/>
                <a:ea typeface="+mn-ea"/>
                <a:cs typeface="+mn-cs"/>
              </a:defRPr>
            </a:pPr>
            <a:endParaRPr lang="en-US"/>
          </a:p>
        </c:txPr>
        <c:crossAx val="1310043519"/>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solidFill>
            <a:sysClr val="windowText" lastClr="000000"/>
          </a:solidFill>
          <a:latin typeface="Avenir Next LT Pro" panose="020B0504020202020204" pitchFamily="34" charset="0"/>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50" b="0" i="0" u="none" strike="noStrike" kern="1200" spc="0" baseline="0">
                <a:solidFill>
                  <a:sysClr val="windowText" lastClr="000000"/>
                </a:solidFill>
                <a:latin typeface="Avenir Next LT Pro" panose="020B0504020202020204" pitchFamily="34" charset="0"/>
                <a:ea typeface="+mn-ea"/>
                <a:cs typeface="+mn-cs"/>
              </a:defRPr>
            </a:pPr>
            <a:r>
              <a:rPr lang="en-US" sz="1050"/>
              <a:t>Embodied</a:t>
            </a:r>
            <a:r>
              <a:rPr lang="en-US" sz="1050" baseline="0"/>
              <a:t> l</a:t>
            </a:r>
            <a:r>
              <a:rPr lang="en-US" sz="1050"/>
              <a:t>and use</a:t>
            </a:r>
            <a:br>
              <a:rPr lang="en-US" sz="1050"/>
            </a:br>
            <a:r>
              <a:rPr lang="en-US" sz="1050"/>
              <a:t>(km</a:t>
            </a:r>
            <a:r>
              <a:rPr lang="en-US" sz="1050" baseline="30000"/>
              <a:t>2</a:t>
            </a:r>
            <a:r>
              <a:rPr lang="en-US" sz="1050"/>
              <a:t>)</a:t>
            </a:r>
          </a:p>
        </c:rich>
      </c:tx>
      <c:overlay val="0"/>
      <c:spPr>
        <a:noFill/>
        <a:ln>
          <a:noFill/>
        </a:ln>
        <a:effectLst/>
      </c:spPr>
      <c:txPr>
        <a:bodyPr rot="0" spcFirstLastPara="1" vertOverflow="ellipsis" vert="horz" wrap="square" anchor="ctr" anchorCtr="1"/>
        <a:lstStyle/>
        <a:p>
          <a:pPr>
            <a:defRPr sz="1050" b="0" i="0" u="none" strike="noStrike" kern="1200" spc="0" baseline="0">
              <a:solidFill>
                <a:sysClr val="windowText" lastClr="000000"/>
              </a:solidFill>
              <a:latin typeface="Avenir Next LT Pro" panose="020B0504020202020204" pitchFamily="34" charset="0"/>
              <a:ea typeface="+mn-ea"/>
              <a:cs typeface="+mn-cs"/>
            </a:defRPr>
          </a:pPr>
          <a:endParaRPr lang="en-US"/>
        </a:p>
      </c:txPr>
    </c:title>
    <c:autoTitleDeleted val="0"/>
    <c:plotArea>
      <c:layout/>
      <c:barChart>
        <c:barDir val="col"/>
        <c:grouping val="clustered"/>
        <c:varyColors val="0"/>
        <c:ser>
          <c:idx val="0"/>
          <c:order val="0"/>
          <c:tx>
            <c:strRef>
              <c:f>'S2.2.3. material_data'!$C$1:$C$2</c:f>
              <c:strCache>
                <c:ptCount val="2"/>
                <c:pt idx="0">
                  <c:v>Primary material inflow</c:v>
                </c:pt>
                <c:pt idx="1">
                  <c:v>Megaton</c:v>
                </c:pt>
              </c:strCache>
            </c:strRef>
          </c:tx>
          <c:spPr>
            <a:solidFill>
              <a:schemeClr val="accent1"/>
            </a:solidFill>
            <a:ln>
              <a:noFill/>
            </a:ln>
            <a:effectLst/>
          </c:spPr>
          <c:invertIfNegative val="0"/>
          <c:dPt>
            <c:idx val="0"/>
            <c:invertIfNegative val="0"/>
            <c:bubble3D val="0"/>
            <c:spPr>
              <a:solidFill>
                <a:srgbClr val="653239"/>
              </a:solidFill>
              <a:ln>
                <a:noFill/>
              </a:ln>
              <a:effectLst/>
            </c:spPr>
            <c:extLst>
              <c:ext xmlns:c16="http://schemas.microsoft.com/office/drawing/2014/chart" uri="{C3380CC4-5D6E-409C-BE32-E72D297353CC}">
                <c16:uniqueId val="{0000000B-3D70-4E41-BB4C-51B3B20CB1CF}"/>
              </c:ext>
            </c:extLst>
          </c:dPt>
          <c:dPt>
            <c:idx val="1"/>
            <c:invertIfNegative val="0"/>
            <c:bubble3D val="0"/>
            <c:spPr>
              <a:solidFill>
                <a:srgbClr val="DA667B"/>
              </a:solidFill>
              <a:ln>
                <a:noFill/>
              </a:ln>
              <a:effectLst/>
            </c:spPr>
            <c:extLst>
              <c:ext xmlns:c16="http://schemas.microsoft.com/office/drawing/2014/chart" uri="{C3380CC4-5D6E-409C-BE32-E72D297353CC}">
                <c16:uniqueId val="{00000001-3D70-4E41-BB4C-51B3B20CB1CF}"/>
              </c:ext>
            </c:extLst>
          </c:dPt>
          <c:dPt>
            <c:idx val="2"/>
            <c:invertIfNegative val="0"/>
            <c:bubble3D val="0"/>
            <c:spPr>
              <a:solidFill>
                <a:srgbClr val="C36F09"/>
              </a:solidFill>
              <a:ln>
                <a:noFill/>
              </a:ln>
              <a:effectLst/>
            </c:spPr>
            <c:extLst>
              <c:ext xmlns:c16="http://schemas.microsoft.com/office/drawing/2014/chart" uri="{C3380CC4-5D6E-409C-BE32-E72D297353CC}">
                <c16:uniqueId val="{00000003-3D70-4E41-BB4C-51B3B20CB1CF}"/>
              </c:ext>
            </c:extLst>
          </c:dPt>
          <c:dPt>
            <c:idx val="3"/>
            <c:invertIfNegative val="0"/>
            <c:bubble3D val="0"/>
            <c:spPr>
              <a:solidFill>
                <a:srgbClr val="F6CE50"/>
              </a:solidFill>
              <a:ln>
                <a:noFill/>
              </a:ln>
              <a:effectLst/>
            </c:spPr>
            <c:extLst>
              <c:ext xmlns:c16="http://schemas.microsoft.com/office/drawing/2014/chart" uri="{C3380CC4-5D6E-409C-BE32-E72D297353CC}">
                <c16:uniqueId val="{00000005-3D70-4E41-BB4C-51B3B20CB1CF}"/>
              </c:ext>
            </c:extLst>
          </c:dPt>
          <c:dPt>
            <c:idx val="4"/>
            <c:invertIfNegative val="0"/>
            <c:bubble3D val="0"/>
            <c:spPr>
              <a:solidFill>
                <a:srgbClr val="29524A"/>
              </a:solidFill>
              <a:ln>
                <a:noFill/>
              </a:ln>
              <a:effectLst/>
            </c:spPr>
            <c:extLst>
              <c:ext xmlns:c16="http://schemas.microsoft.com/office/drawing/2014/chart" uri="{C3380CC4-5D6E-409C-BE32-E72D297353CC}">
                <c16:uniqueId val="{00000007-3D70-4E41-BB4C-51B3B20CB1CF}"/>
              </c:ext>
            </c:extLst>
          </c:dPt>
          <c:cat>
            <c:multiLvlStrRef>
              <c:f>'S2.2.3. material_data'!$A$3:$B$8</c:f>
              <c:multiLvlStrCache>
                <c:ptCount val="6"/>
                <c:lvl>
                  <c:pt idx="0">
                    <c:v>Dense</c:v>
                  </c:pt>
                  <c:pt idx="1">
                    <c:v>Sparse</c:v>
                  </c:pt>
                  <c:pt idx="2">
                    <c:v>Dense</c:v>
                  </c:pt>
                  <c:pt idx="3">
                    <c:v>Sparse</c:v>
                  </c:pt>
                  <c:pt idx="4">
                    <c:v>Dense</c:v>
                  </c:pt>
                  <c:pt idx="5">
                    <c:v>Sparse</c:v>
                  </c:pt>
                </c:lvl>
                <c:lvl>
                  <c:pt idx="0">
                    <c:v>Conventional</c:v>
                  </c:pt>
                  <c:pt idx="2">
                    <c:v>Biobased</c:v>
                  </c:pt>
                  <c:pt idx="4">
                    <c:v>Circular</c:v>
                  </c:pt>
                </c:lvl>
              </c:multiLvlStrCache>
            </c:multiLvlStrRef>
          </c:cat>
          <c:val>
            <c:numRef>
              <c:f>'S2.2.3. material_data'!$E$3:$E$8</c:f>
              <c:numCache>
                <c:formatCode>0</c:formatCode>
                <c:ptCount val="6"/>
                <c:pt idx="0">
                  <c:v>4322.0382255269105</c:v>
                </c:pt>
                <c:pt idx="1">
                  <c:v>6094.1526968014541</c:v>
                </c:pt>
                <c:pt idx="2">
                  <c:v>14918.368988263466</c:v>
                </c:pt>
                <c:pt idx="3">
                  <c:v>16373.947575011443</c:v>
                </c:pt>
                <c:pt idx="4">
                  <c:v>6037.5609292491226</c:v>
                </c:pt>
                <c:pt idx="5">
                  <c:v>7204.8428205838773</c:v>
                </c:pt>
              </c:numCache>
            </c:numRef>
          </c:val>
          <c:extLst>
            <c:ext xmlns:c16="http://schemas.microsoft.com/office/drawing/2014/chart" uri="{C3380CC4-5D6E-409C-BE32-E72D297353CC}">
              <c16:uniqueId val="{0000000A-3D70-4E41-BB4C-51B3B20CB1CF}"/>
            </c:ext>
          </c:extLst>
        </c:ser>
        <c:dLbls>
          <c:showLegendKey val="0"/>
          <c:showVal val="0"/>
          <c:showCatName val="0"/>
          <c:showSerName val="0"/>
          <c:showPercent val="0"/>
          <c:showBubbleSize val="0"/>
        </c:dLbls>
        <c:gapWidth val="50"/>
        <c:overlap val="-27"/>
        <c:axId val="1310043519"/>
        <c:axId val="1090088447"/>
      </c:barChart>
      <c:catAx>
        <c:axId val="1310043519"/>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800" b="0" i="0" u="none" strike="noStrike" kern="1200" baseline="0">
                <a:solidFill>
                  <a:sysClr val="windowText" lastClr="000000"/>
                </a:solidFill>
                <a:latin typeface="Avenir Next LT Pro" panose="020B0504020202020204" pitchFamily="34" charset="0"/>
                <a:ea typeface="+mn-ea"/>
                <a:cs typeface="+mn-cs"/>
              </a:defRPr>
            </a:pPr>
            <a:endParaRPr lang="en-US"/>
          </a:p>
        </c:txPr>
        <c:crossAx val="1090088447"/>
        <c:crosses val="autoZero"/>
        <c:auto val="1"/>
        <c:lblAlgn val="ctr"/>
        <c:lblOffset val="100"/>
        <c:noMultiLvlLbl val="0"/>
      </c:catAx>
      <c:valAx>
        <c:axId val="1090088447"/>
        <c:scaling>
          <c:orientation val="minMax"/>
        </c:scaling>
        <c:delete val="0"/>
        <c:axPos val="l"/>
        <c:majorGridlines>
          <c:spPr>
            <a:ln w="9525" cap="flat" cmpd="sng" algn="ctr">
              <a:solidFill>
                <a:schemeClr val="tx1">
                  <a:lumMod val="15000"/>
                  <a:lumOff val="85000"/>
                </a:schemeClr>
              </a:solidFill>
              <a:round/>
            </a:ln>
            <a:effectLst/>
          </c:spPr>
        </c:majorGridlines>
        <c:numFmt formatCode="0.0E+00" sourceLinked="0"/>
        <c:majorTickMark val="none"/>
        <c:minorTickMark val="none"/>
        <c:tickLblPos val="nextTo"/>
        <c:spPr>
          <a:noFill/>
          <a:ln>
            <a:noFill/>
          </a:ln>
          <a:effectLst/>
        </c:spPr>
        <c:txPr>
          <a:bodyPr rot="-60000000" spcFirstLastPara="1" vertOverflow="ellipsis" vert="horz" wrap="square" anchor="ctr" anchorCtr="1"/>
          <a:lstStyle/>
          <a:p>
            <a:pPr>
              <a:defRPr sz="800" b="0" i="0" u="none" strike="noStrike" kern="1200" baseline="0">
                <a:solidFill>
                  <a:sysClr val="windowText" lastClr="000000"/>
                </a:solidFill>
                <a:latin typeface="Avenir Next LT Pro" panose="020B0504020202020204" pitchFamily="34" charset="0"/>
                <a:ea typeface="+mn-ea"/>
                <a:cs typeface="+mn-cs"/>
              </a:defRPr>
            </a:pPr>
            <a:endParaRPr lang="en-US"/>
          </a:p>
        </c:txPr>
        <c:crossAx val="1310043519"/>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solidFill>
            <a:sysClr val="windowText" lastClr="000000"/>
          </a:solidFill>
          <a:latin typeface="Avenir Next LT Pro" panose="020B0504020202020204" pitchFamily="34" charset="0"/>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chart" Target="../charts/chart3.xml"/><Relationship Id="rId1" Type="http://schemas.openxmlformats.org/officeDocument/2006/relationships/chart" Target="../charts/chart2.xml"/></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12</xdr:row>
      <xdr:rowOff>397053</xdr:rowOff>
    </xdr:from>
    <xdr:to>
      <xdr:col>9</xdr:col>
      <xdr:colOff>8283</xdr:colOff>
      <xdr:row>12</xdr:row>
      <xdr:rowOff>397053</xdr:rowOff>
    </xdr:to>
    <xdr:cxnSp macro="">
      <xdr:nvCxnSpPr>
        <xdr:cNvPr id="19" name="Rechte verbindingslijn 18">
          <a:extLst>
            <a:ext uri="{FF2B5EF4-FFF2-40B4-BE49-F238E27FC236}">
              <a16:creationId xmlns:a16="http://schemas.microsoft.com/office/drawing/2014/main" id="{12C99480-A188-4829-BA3F-DC7A28DC36F5}"/>
            </a:ext>
          </a:extLst>
        </xdr:cNvPr>
        <xdr:cNvCxnSpPr/>
      </xdr:nvCxnSpPr>
      <xdr:spPr>
        <a:xfrm>
          <a:off x="0" y="3789574"/>
          <a:ext cx="7158113" cy="0"/>
        </a:xfrm>
        <a:prstGeom prst="line">
          <a:avLst/>
        </a:prstGeom>
        <a:ln w="285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0</xdr:colOff>
      <xdr:row>7</xdr:row>
      <xdr:rowOff>246</xdr:rowOff>
    </xdr:from>
    <xdr:to>
      <xdr:col>9</xdr:col>
      <xdr:colOff>8283</xdr:colOff>
      <xdr:row>7</xdr:row>
      <xdr:rowOff>246</xdr:rowOff>
    </xdr:to>
    <xdr:cxnSp macro="">
      <xdr:nvCxnSpPr>
        <xdr:cNvPr id="22" name="Rechte verbindingslijn 21">
          <a:extLst>
            <a:ext uri="{FF2B5EF4-FFF2-40B4-BE49-F238E27FC236}">
              <a16:creationId xmlns:a16="http://schemas.microsoft.com/office/drawing/2014/main" id="{FF4AFA4E-D0AE-4959-9741-6E6ACDEFCD9E}"/>
            </a:ext>
          </a:extLst>
        </xdr:cNvPr>
        <xdr:cNvCxnSpPr/>
      </xdr:nvCxnSpPr>
      <xdr:spPr>
        <a:xfrm>
          <a:off x="0" y="1930094"/>
          <a:ext cx="7139609" cy="0"/>
        </a:xfrm>
        <a:prstGeom prst="line">
          <a:avLst/>
        </a:prstGeom>
        <a:ln w="285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164</xdr:colOff>
      <xdr:row>5</xdr:row>
      <xdr:rowOff>1658</xdr:rowOff>
    </xdr:from>
    <xdr:to>
      <xdr:col>9</xdr:col>
      <xdr:colOff>10352</xdr:colOff>
      <xdr:row>5</xdr:row>
      <xdr:rowOff>1658</xdr:rowOff>
    </xdr:to>
    <xdr:cxnSp macro="">
      <xdr:nvCxnSpPr>
        <xdr:cNvPr id="24" name="Rechte verbindingslijn 23">
          <a:extLst>
            <a:ext uri="{FF2B5EF4-FFF2-40B4-BE49-F238E27FC236}">
              <a16:creationId xmlns:a16="http://schemas.microsoft.com/office/drawing/2014/main" id="{01D4FAD1-7DD4-4411-A51F-3804BFA4B0A3}"/>
            </a:ext>
          </a:extLst>
        </xdr:cNvPr>
        <xdr:cNvCxnSpPr/>
      </xdr:nvCxnSpPr>
      <xdr:spPr>
        <a:xfrm>
          <a:off x="164" y="1399762"/>
          <a:ext cx="7153110" cy="0"/>
        </a:xfrm>
        <a:prstGeom prst="line">
          <a:avLst/>
        </a:prstGeom>
        <a:ln w="285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328</xdr:colOff>
      <xdr:row>1</xdr:row>
      <xdr:rowOff>295025</xdr:rowOff>
    </xdr:from>
    <xdr:to>
      <xdr:col>9</xdr:col>
      <xdr:colOff>8611</xdr:colOff>
      <xdr:row>1</xdr:row>
      <xdr:rowOff>295025</xdr:rowOff>
    </xdr:to>
    <xdr:cxnSp macro="">
      <xdr:nvCxnSpPr>
        <xdr:cNvPr id="25" name="Rechte verbindingslijn 24">
          <a:extLst>
            <a:ext uri="{FF2B5EF4-FFF2-40B4-BE49-F238E27FC236}">
              <a16:creationId xmlns:a16="http://schemas.microsoft.com/office/drawing/2014/main" id="{DD7FFDB8-DE06-4C39-8450-9914B0CC2ED9}"/>
            </a:ext>
          </a:extLst>
        </xdr:cNvPr>
        <xdr:cNvCxnSpPr/>
      </xdr:nvCxnSpPr>
      <xdr:spPr>
        <a:xfrm>
          <a:off x="328" y="599825"/>
          <a:ext cx="7151205" cy="0"/>
        </a:xfrm>
        <a:prstGeom prst="line">
          <a:avLst/>
        </a:prstGeom>
        <a:ln w="285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835</xdr:colOff>
      <xdr:row>0</xdr:row>
      <xdr:rowOff>16072</xdr:rowOff>
    </xdr:from>
    <xdr:to>
      <xdr:col>9</xdr:col>
      <xdr:colOff>11023</xdr:colOff>
      <xdr:row>0</xdr:row>
      <xdr:rowOff>16072</xdr:rowOff>
    </xdr:to>
    <xdr:cxnSp macro="">
      <xdr:nvCxnSpPr>
        <xdr:cNvPr id="26" name="Rechte verbindingslijn 25">
          <a:extLst>
            <a:ext uri="{FF2B5EF4-FFF2-40B4-BE49-F238E27FC236}">
              <a16:creationId xmlns:a16="http://schemas.microsoft.com/office/drawing/2014/main" id="{0A7BFC83-963D-4873-AEEF-31E86295500F}"/>
            </a:ext>
          </a:extLst>
        </xdr:cNvPr>
        <xdr:cNvCxnSpPr/>
      </xdr:nvCxnSpPr>
      <xdr:spPr>
        <a:xfrm>
          <a:off x="835" y="16072"/>
          <a:ext cx="7153110" cy="0"/>
        </a:xfrm>
        <a:prstGeom prst="line">
          <a:avLst/>
        </a:prstGeom>
        <a:ln w="285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9</xdr:col>
      <xdr:colOff>8563</xdr:colOff>
      <xdr:row>21</xdr:row>
      <xdr:rowOff>98889</xdr:rowOff>
    </xdr:from>
    <xdr:to>
      <xdr:col>15</xdr:col>
      <xdr:colOff>513708</xdr:colOff>
      <xdr:row>44</xdr:row>
      <xdr:rowOff>17123</xdr:rowOff>
    </xdr:to>
    <xdr:graphicFrame macro="">
      <xdr:nvGraphicFramePr>
        <xdr:cNvPr id="3" name="Grafiek 2">
          <a:extLst>
            <a:ext uri="{FF2B5EF4-FFF2-40B4-BE49-F238E27FC236}">
              <a16:creationId xmlns:a16="http://schemas.microsoft.com/office/drawing/2014/main" id="{F9C87A14-E33F-2B7C-9290-34DFB36B966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1</xdr:col>
      <xdr:colOff>339090</xdr:colOff>
      <xdr:row>11</xdr:row>
      <xdr:rowOff>3810</xdr:rowOff>
    </xdr:from>
    <xdr:to>
      <xdr:col>5</xdr:col>
      <xdr:colOff>160020</xdr:colOff>
      <xdr:row>31</xdr:row>
      <xdr:rowOff>146686</xdr:rowOff>
    </xdr:to>
    <xdr:graphicFrame macro="">
      <xdr:nvGraphicFramePr>
        <xdr:cNvPr id="3" name="Grafiek 2">
          <a:extLst>
            <a:ext uri="{FF2B5EF4-FFF2-40B4-BE49-F238E27FC236}">
              <a16:creationId xmlns:a16="http://schemas.microsoft.com/office/drawing/2014/main" id="{322C0C33-421F-FCEB-8389-B0785098560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64770</xdr:colOff>
      <xdr:row>11</xdr:row>
      <xdr:rowOff>22860</xdr:rowOff>
    </xdr:from>
    <xdr:to>
      <xdr:col>7</xdr:col>
      <xdr:colOff>304800</xdr:colOff>
      <xdr:row>31</xdr:row>
      <xdr:rowOff>165736</xdr:rowOff>
    </xdr:to>
    <xdr:graphicFrame macro="">
      <xdr:nvGraphicFramePr>
        <xdr:cNvPr id="4" name="Grafiek 3">
          <a:extLst>
            <a:ext uri="{FF2B5EF4-FFF2-40B4-BE49-F238E27FC236}">
              <a16:creationId xmlns:a16="http://schemas.microsoft.com/office/drawing/2014/main" id="{C9DDB424-8FD9-43CC-B597-08A3CB01A2D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xdr:col>
      <xdr:colOff>224790</xdr:colOff>
      <xdr:row>11</xdr:row>
      <xdr:rowOff>19050</xdr:rowOff>
    </xdr:from>
    <xdr:to>
      <xdr:col>11</xdr:col>
      <xdr:colOff>110490</xdr:colOff>
      <xdr:row>31</xdr:row>
      <xdr:rowOff>161926</xdr:rowOff>
    </xdr:to>
    <xdr:graphicFrame macro="">
      <xdr:nvGraphicFramePr>
        <xdr:cNvPr id="5" name="Grafiek 4">
          <a:extLst>
            <a:ext uri="{FF2B5EF4-FFF2-40B4-BE49-F238E27FC236}">
              <a16:creationId xmlns:a16="http://schemas.microsoft.com/office/drawing/2014/main" id="{CF2D69BB-94D3-4EF6-87C3-91654A07254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0</xdr:colOff>
      <xdr:row>93</xdr:row>
      <xdr:rowOff>140970</xdr:rowOff>
    </xdr:from>
    <xdr:to>
      <xdr:col>8</xdr:col>
      <xdr:colOff>761681</xdr:colOff>
      <xdr:row>115</xdr:row>
      <xdr:rowOff>9031</xdr:rowOff>
    </xdr:to>
    <xdr:pic>
      <xdr:nvPicPr>
        <xdr:cNvPr id="2" name="Afbeelding 1">
          <a:extLst>
            <a:ext uri="{FF2B5EF4-FFF2-40B4-BE49-F238E27FC236}">
              <a16:creationId xmlns:a16="http://schemas.microsoft.com/office/drawing/2014/main" id="{AC76F577-7B9D-4ACF-83D4-C2F35FD18D55}"/>
            </a:ext>
          </a:extLst>
        </xdr:cNvPr>
        <xdr:cNvPicPr>
          <a:picLocks noChangeAspect="1"/>
        </xdr:cNvPicPr>
      </xdr:nvPicPr>
      <xdr:blipFill>
        <a:blip xmlns:r="http://schemas.openxmlformats.org/officeDocument/2006/relationships" r:embed="rId1"/>
        <a:stretch>
          <a:fillRect/>
        </a:stretch>
      </xdr:blipFill>
      <xdr:spPr>
        <a:xfrm>
          <a:off x="2019300" y="13936980"/>
          <a:ext cx="5108891" cy="3013216"/>
        </a:xfrm>
        <a:prstGeom prst="rect">
          <a:avLst/>
        </a:prstGeom>
      </xdr:spPr>
    </xdr:pic>
    <xdr:clientData/>
  </xdr:twoCellAnchor>
  <xdr:twoCellAnchor editAs="oneCell">
    <xdr:from>
      <xdr:col>3</xdr:col>
      <xdr:colOff>180975</xdr:colOff>
      <xdr:row>51</xdr:row>
      <xdr:rowOff>144145</xdr:rowOff>
    </xdr:from>
    <xdr:to>
      <xdr:col>9</xdr:col>
      <xdr:colOff>525461</xdr:colOff>
      <xdr:row>73</xdr:row>
      <xdr:rowOff>7761</xdr:rowOff>
    </xdr:to>
    <xdr:pic>
      <xdr:nvPicPr>
        <xdr:cNvPr id="3" name="Afbeelding 2">
          <a:extLst>
            <a:ext uri="{FF2B5EF4-FFF2-40B4-BE49-F238E27FC236}">
              <a16:creationId xmlns:a16="http://schemas.microsoft.com/office/drawing/2014/main" id="{0871F52F-F71A-4D45-91ED-7EF76E22E8AB}"/>
            </a:ext>
          </a:extLst>
        </xdr:cNvPr>
        <xdr:cNvPicPr>
          <a:picLocks noChangeAspect="1"/>
        </xdr:cNvPicPr>
      </xdr:nvPicPr>
      <xdr:blipFill>
        <a:blip xmlns:r="http://schemas.openxmlformats.org/officeDocument/2006/relationships" r:embed="rId2"/>
        <a:stretch>
          <a:fillRect/>
        </a:stretch>
      </xdr:blipFill>
      <xdr:spPr>
        <a:xfrm>
          <a:off x="2762250" y="8068945"/>
          <a:ext cx="5106986" cy="3216416"/>
        </a:xfrm>
        <a:prstGeom prst="rect">
          <a:avLst/>
        </a:prstGeom>
      </xdr:spPr>
    </xdr:pic>
    <xdr:clientData/>
  </xdr:twoCellAnchor>
  <xdr:twoCellAnchor editAs="oneCell">
    <xdr:from>
      <xdr:col>2</xdr:col>
      <xdr:colOff>0</xdr:colOff>
      <xdr:row>117</xdr:row>
      <xdr:rowOff>20320</xdr:rowOff>
    </xdr:from>
    <xdr:to>
      <xdr:col>8</xdr:col>
      <xdr:colOff>799781</xdr:colOff>
      <xdr:row>138</xdr:row>
      <xdr:rowOff>39130</xdr:rowOff>
    </xdr:to>
    <xdr:pic>
      <xdr:nvPicPr>
        <xdr:cNvPr id="4" name="Afbeelding 3">
          <a:extLst>
            <a:ext uri="{FF2B5EF4-FFF2-40B4-BE49-F238E27FC236}">
              <a16:creationId xmlns:a16="http://schemas.microsoft.com/office/drawing/2014/main" id="{EAB4A1F6-FA56-4E70-9D8D-E03573F11A54}"/>
            </a:ext>
          </a:extLst>
        </xdr:cNvPr>
        <xdr:cNvPicPr>
          <a:picLocks noChangeAspect="1"/>
        </xdr:cNvPicPr>
      </xdr:nvPicPr>
      <xdr:blipFill>
        <a:blip xmlns:r="http://schemas.openxmlformats.org/officeDocument/2006/relationships" r:embed="rId3"/>
        <a:stretch>
          <a:fillRect/>
        </a:stretch>
      </xdr:blipFill>
      <xdr:spPr>
        <a:xfrm>
          <a:off x="2001520" y="17291050"/>
          <a:ext cx="5154611" cy="3019185"/>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Janneke van Oorschot" id="{7C38FD1F-B812-4FB7-8581-5A5A3B64DC90}" userId="Janneke van Oorschot" providerId="None"/>
</personList>
</file>

<file path=xl/theme/theme1.xml><?xml version="1.0" encoding="utf-8"?>
<a:theme xmlns:a="http://schemas.openxmlformats.org/drawingml/2006/main" name="Kantoorth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A17" dT="2022-09-16T05:57:22.31" personId="{7C38FD1F-B812-4FB7-8581-5A5A3B64DC90}" id="{77CE2418-7B58-44FB-B239-24E45C19C167}">
    <text>mean of bitumen, gypsum, stone, sand-lime stone and sand</text>
  </threadedComment>
</ThreadedComments>
</file>

<file path=xl/threadedComments/threadedComment2.xml><?xml version="1.0" encoding="utf-8"?>
<ThreadedComments xmlns="http://schemas.microsoft.com/office/spreadsheetml/2018/threadedcomments" xmlns:x="http://schemas.openxmlformats.org/spreadsheetml/2006/main">
  <threadedComment ref="D18" dT="2023-03-23T18:50:09.89" personId="{7C38FD1F-B812-4FB7-8581-5A5A3B64DC90}" id="{6826BA68-DB78-4BFF-8D9F-A17F1AB57A2B}">
    <text>Only in inflow, so not assessed here</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8.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19.xml.rels><?xml version="1.0" encoding="UTF-8" standalone="yes"?>
<Relationships xmlns="http://schemas.openxmlformats.org/package/2006/relationships"><Relationship Id="rId3" Type="http://schemas.microsoft.com/office/2017/10/relationships/threadedComment" Target="../threadedComments/threadedComment2.xml"/><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124838-4ABC-4ACB-A554-A2517BFB0346}">
  <sheetPr>
    <tabColor theme="0"/>
  </sheetPr>
  <dimension ref="A1:B21"/>
  <sheetViews>
    <sheetView workbookViewId="0">
      <selection activeCell="B18" sqref="B18"/>
    </sheetView>
  </sheetViews>
  <sheetFormatPr defaultRowHeight="14.4" x14ac:dyDescent="0.55000000000000004"/>
  <cols>
    <col min="2" max="2" width="44.578125" customWidth="1"/>
  </cols>
  <sheetData>
    <row r="1" spans="1:2" x14ac:dyDescent="0.55000000000000004">
      <c r="A1" s="20" t="s">
        <v>389</v>
      </c>
    </row>
    <row r="2" spans="1:2" x14ac:dyDescent="0.55000000000000004">
      <c r="A2" s="20" t="s">
        <v>296</v>
      </c>
    </row>
    <row r="3" spans="1:2" x14ac:dyDescent="0.55000000000000004">
      <c r="A3" s="242" t="s">
        <v>297</v>
      </c>
      <c r="B3" t="s">
        <v>298</v>
      </c>
    </row>
    <row r="4" spans="1:2" x14ac:dyDescent="0.55000000000000004">
      <c r="A4" s="243" t="s">
        <v>299</v>
      </c>
      <c r="B4" t="s">
        <v>302</v>
      </c>
    </row>
    <row r="5" spans="1:2" x14ac:dyDescent="0.55000000000000004">
      <c r="A5" s="243" t="s">
        <v>300</v>
      </c>
      <c r="B5" t="s">
        <v>303</v>
      </c>
    </row>
    <row r="6" spans="1:2" x14ac:dyDescent="0.55000000000000004">
      <c r="A6" s="243" t="s">
        <v>301</v>
      </c>
      <c r="B6" t="s">
        <v>304</v>
      </c>
    </row>
    <row r="7" spans="1:2" x14ac:dyDescent="0.55000000000000004">
      <c r="A7" s="244" t="s">
        <v>332</v>
      </c>
      <c r="B7" t="s">
        <v>334</v>
      </c>
    </row>
    <row r="8" spans="1:2" x14ac:dyDescent="0.55000000000000004">
      <c r="A8" s="244" t="s">
        <v>305</v>
      </c>
      <c r="B8" t="s">
        <v>315</v>
      </c>
    </row>
    <row r="9" spans="1:2" x14ac:dyDescent="0.55000000000000004">
      <c r="A9" s="244" t="s">
        <v>306</v>
      </c>
      <c r="B9" t="s">
        <v>314</v>
      </c>
    </row>
    <row r="10" spans="1:2" x14ac:dyDescent="0.55000000000000004">
      <c r="A10" s="244" t="s">
        <v>333</v>
      </c>
      <c r="B10" t="s">
        <v>316</v>
      </c>
    </row>
    <row r="11" spans="1:2" x14ac:dyDescent="0.55000000000000004">
      <c r="A11" s="245" t="s">
        <v>307</v>
      </c>
      <c r="B11" t="s">
        <v>317</v>
      </c>
    </row>
    <row r="12" spans="1:2" x14ac:dyDescent="0.55000000000000004">
      <c r="A12" s="245" t="s">
        <v>308</v>
      </c>
      <c r="B12" t="s">
        <v>319</v>
      </c>
    </row>
    <row r="13" spans="1:2" x14ac:dyDescent="0.55000000000000004">
      <c r="A13" s="245" t="s">
        <v>309</v>
      </c>
      <c r="B13" t="s">
        <v>320</v>
      </c>
    </row>
    <row r="14" spans="1:2" x14ac:dyDescent="0.55000000000000004">
      <c r="A14" s="245" t="s">
        <v>310</v>
      </c>
      <c r="B14" t="s">
        <v>318</v>
      </c>
    </row>
    <row r="15" spans="1:2" x14ac:dyDescent="0.55000000000000004">
      <c r="A15" s="245" t="s">
        <v>311</v>
      </c>
      <c r="B15" t="s">
        <v>321</v>
      </c>
    </row>
    <row r="16" spans="1:2" x14ac:dyDescent="0.55000000000000004">
      <c r="A16" s="245" t="s">
        <v>312</v>
      </c>
      <c r="B16" t="s">
        <v>322</v>
      </c>
    </row>
    <row r="17" spans="1:2" x14ac:dyDescent="0.55000000000000004">
      <c r="A17" s="245" t="s">
        <v>313</v>
      </c>
      <c r="B17" t="s">
        <v>323</v>
      </c>
    </row>
    <row r="18" spans="1:2" x14ac:dyDescent="0.55000000000000004">
      <c r="A18" s="245" t="s">
        <v>327</v>
      </c>
      <c r="B18" t="s">
        <v>324</v>
      </c>
    </row>
    <row r="19" spans="1:2" x14ac:dyDescent="0.55000000000000004">
      <c r="A19" s="245" t="s">
        <v>328</v>
      </c>
      <c r="B19" t="s">
        <v>326</v>
      </c>
    </row>
    <row r="20" spans="1:2" x14ac:dyDescent="0.55000000000000004">
      <c r="A20" s="245" t="s">
        <v>329</v>
      </c>
      <c r="B20" t="s">
        <v>325</v>
      </c>
    </row>
    <row r="21" spans="1:2" x14ac:dyDescent="0.55000000000000004">
      <c r="A21" s="245" t="s">
        <v>330</v>
      </c>
      <c r="B21" t="s">
        <v>194</v>
      </c>
    </row>
  </sheetData>
  <phoneticPr fontId="24" type="noConversion"/>
  <pageMargins left="0.7" right="0.7" top="0.75" bottom="0.75" header="0.3" footer="0.3"/>
  <pageSetup paperSize="9" orientation="portrait"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608F23-9119-49D9-851A-4F2076FF70B9}">
  <sheetPr>
    <tabColor theme="7" tint="-0.249977111117893"/>
  </sheetPr>
  <dimension ref="A1:P36"/>
  <sheetViews>
    <sheetView tabSelected="1" zoomScale="94" zoomScaleNormal="94" workbookViewId="0">
      <selection activeCell="O8" sqref="O8"/>
    </sheetView>
  </sheetViews>
  <sheetFormatPr defaultRowHeight="14.4" x14ac:dyDescent="0.55000000000000004"/>
  <cols>
    <col min="1" max="1" width="16.68359375" customWidth="1"/>
    <col min="2" max="2" width="20.15625" customWidth="1"/>
    <col min="10" max="10" width="3.578125" customWidth="1"/>
    <col min="11" max="11" width="2.41796875" customWidth="1"/>
    <col min="12" max="12" width="16.68359375" customWidth="1"/>
  </cols>
  <sheetData>
    <row r="1" spans="1:16" ht="24" customHeight="1" x14ac:dyDescent="0.55000000000000004">
      <c r="A1" s="316" t="s">
        <v>289</v>
      </c>
      <c r="B1" s="316" t="s">
        <v>2</v>
      </c>
      <c r="C1" s="316" t="s">
        <v>0</v>
      </c>
      <c r="D1" s="316"/>
      <c r="E1" s="316"/>
      <c r="F1" s="316" t="s">
        <v>1</v>
      </c>
      <c r="G1" s="316"/>
      <c r="H1" s="316"/>
      <c r="I1" s="316"/>
      <c r="J1" s="1"/>
      <c r="K1" s="1"/>
      <c r="L1" s="1"/>
      <c r="M1" s="5"/>
      <c r="O1" s="5"/>
    </row>
    <row r="2" spans="1:16" ht="23.4" x14ac:dyDescent="0.55000000000000004">
      <c r="A2" s="316"/>
      <c r="B2" s="316"/>
      <c r="C2" s="295" t="s">
        <v>3</v>
      </c>
      <c r="D2" s="295" t="s">
        <v>4</v>
      </c>
      <c r="E2" s="295" t="s">
        <v>5</v>
      </c>
      <c r="F2" s="295" t="s">
        <v>6</v>
      </c>
      <c r="G2" s="295" t="s">
        <v>7</v>
      </c>
      <c r="H2" s="295" t="s">
        <v>8</v>
      </c>
      <c r="I2" s="295" t="s">
        <v>9</v>
      </c>
      <c r="J2" s="1"/>
      <c r="K2" s="2" t="s">
        <v>22</v>
      </c>
      <c r="L2" s="1"/>
      <c r="M2" s="5"/>
    </row>
    <row r="3" spans="1:16" ht="21" customHeight="1" x14ac:dyDescent="0.55000000000000004">
      <c r="A3" s="283" t="s">
        <v>194</v>
      </c>
      <c r="B3" s="318" t="s">
        <v>376</v>
      </c>
      <c r="C3" s="299">
        <f>'S2.2.3. material_data'!G4</f>
        <v>1</v>
      </c>
      <c r="D3" s="284">
        <f>'S2.2.3. material_data'!H4</f>
        <v>0.46548372762304446</v>
      </c>
      <c r="E3" s="285">
        <f>'S2.2.3. material_data'!I4</f>
        <v>0.48311462138361172</v>
      </c>
      <c r="F3" s="300">
        <f>'S2.2.3. material_data'!J4</f>
        <v>1</v>
      </c>
      <c r="G3" s="286">
        <f>'S2.2.3. material_data'!K4</f>
        <v>1.3293622989676135</v>
      </c>
      <c r="H3" s="300">
        <f>'S2.2.3. material_data'!J4</f>
        <v>1</v>
      </c>
      <c r="I3" s="286">
        <f>'S2.2.3. material_data'!K4</f>
        <v>1.3293622989676135</v>
      </c>
      <c r="J3" s="1"/>
      <c r="K3" s="200"/>
      <c r="L3" s="186" t="s">
        <v>11</v>
      </c>
      <c r="M3" s="5" t="s">
        <v>293</v>
      </c>
    </row>
    <row r="4" spans="1:16" ht="21" customHeight="1" x14ac:dyDescent="0.55000000000000004">
      <c r="A4" s="283" t="s">
        <v>381</v>
      </c>
      <c r="B4" s="318"/>
      <c r="C4" s="300">
        <f>'S2.2.3. material_data'!G6</f>
        <v>1</v>
      </c>
      <c r="D4" s="285">
        <f>'S2.2.3. material_data'!H6</f>
        <v>0.60352166044534628</v>
      </c>
      <c r="E4" s="285">
        <f>'S2.2.3. material_data'!I6</f>
        <v>0.62463686361579074</v>
      </c>
      <c r="F4" s="300">
        <f>'S2.2.3. material_data'!J6</f>
        <v>1</v>
      </c>
      <c r="G4" s="286">
        <f>'S2.2.3. material_data'!K6</f>
        <v>1.1196575800146307</v>
      </c>
      <c r="H4" s="300">
        <f>'S2.2.3. material_data'!J6</f>
        <v>1</v>
      </c>
      <c r="I4" s="286">
        <f>'S2.2.3. material_data'!K6</f>
        <v>1.1196575800146307</v>
      </c>
      <c r="J4" s="1"/>
      <c r="K4" s="199"/>
      <c r="L4" s="186" t="s">
        <v>12</v>
      </c>
      <c r="M4" s="5" t="s">
        <v>292</v>
      </c>
    </row>
    <row r="5" spans="1:16" ht="20.65" customHeight="1" x14ac:dyDescent="0.55000000000000004">
      <c r="A5" s="283" t="s">
        <v>382</v>
      </c>
      <c r="B5" s="318"/>
      <c r="C5" s="299">
        <f>'S2.2.3. material_data'!G8</f>
        <v>1</v>
      </c>
      <c r="D5" s="287">
        <f>'S2.2.3. material_data'!H8</f>
        <v>3.4516976041887575</v>
      </c>
      <c r="E5" s="286">
        <f>'S2.2.3. material_data'!I8</f>
        <v>1.3969244634603084</v>
      </c>
      <c r="F5" s="300">
        <f>'S2.2.3. material_data'!J8</f>
        <v>1</v>
      </c>
      <c r="G5" s="286">
        <f>'S2.2.3. material_data'!K8</f>
        <v>1.4100182318629311</v>
      </c>
      <c r="H5" s="300">
        <f>'S2.2.3. material_data'!J8</f>
        <v>1</v>
      </c>
      <c r="I5" s="286">
        <f>'S2.2.3. material_data'!K8</f>
        <v>1.4100182318629311</v>
      </c>
      <c r="J5" s="1"/>
      <c r="K5" s="198"/>
      <c r="L5" s="186" t="s">
        <v>13</v>
      </c>
      <c r="M5" s="5" t="s">
        <v>292</v>
      </c>
    </row>
    <row r="6" spans="1:16" ht="21" x14ac:dyDescent="0.55000000000000004">
      <c r="A6" s="283" t="s">
        <v>383</v>
      </c>
      <c r="B6" s="318" t="s">
        <v>385</v>
      </c>
      <c r="C6" s="301"/>
      <c r="D6" s="301"/>
      <c r="E6" s="301"/>
      <c r="F6" s="288">
        <f>'S2.2.1. LULC_change'!$L$5</f>
        <v>1.0291215612366826</v>
      </c>
      <c r="G6" s="284">
        <f>'S2.2.1. LULC_change'!$N$5</f>
        <v>1.0519814428041772</v>
      </c>
      <c r="H6" s="289">
        <f>'S2.2.1. LULC_change'!$M$5</f>
        <v>0.98001715302910386</v>
      </c>
      <c r="I6" s="289">
        <f>'S2.2.1. LULC_change'!$O$5</f>
        <v>0.99278120127998593</v>
      </c>
      <c r="J6" s="1"/>
      <c r="K6" s="197"/>
      <c r="L6" s="186" t="s">
        <v>275</v>
      </c>
      <c r="M6" s="5" t="s">
        <v>294</v>
      </c>
    </row>
    <row r="7" spans="1:16" ht="20.65" customHeight="1" x14ac:dyDescent="0.55000000000000004">
      <c r="A7" s="283" t="s">
        <v>384</v>
      </c>
      <c r="B7" s="318"/>
      <c r="C7" s="301"/>
      <c r="D7" s="301"/>
      <c r="E7" s="301"/>
      <c r="F7" s="289">
        <f>'S2.2.1. LULC_change'!$L$7</f>
        <v>0.99225501939513472</v>
      </c>
      <c r="G7" s="289">
        <f>'S2.2.1. LULC_change'!$N$7</f>
        <v>0.97023303545882467</v>
      </c>
      <c r="H7" s="289">
        <f>'S2.2.1. LULC_change'!$M$7</f>
        <v>0.99225501939513472</v>
      </c>
      <c r="I7" s="289">
        <f>'S2.2.1. LULC_change'!$O$7</f>
        <v>0.97023303545882467</v>
      </c>
      <c r="J7" s="1"/>
      <c r="K7" s="298"/>
      <c r="L7" s="4" t="s">
        <v>392</v>
      </c>
      <c r="M7" s="5"/>
      <c r="N7" s="5"/>
      <c r="O7" s="5"/>
    </row>
    <row r="8" spans="1:16" ht="21" customHeight="1" x14ac:dyDescent="0.55000000000000004">
      <c r="A8" s="317" t="s">
        <v>378</v>
      </c>
      <c r="B8" s="290" t="s">
        <v>15</v>
      </c>
      <c r="C8" s="301"/>
      <c r="D8" s="301"/>
      <c r="E8" s="301"/>
      <c r="F8" s="291">
        <f>'S2.2.2. ES_results'!H20</f>
        <v>1.3769754773696261</v>
      </c>
      <c r="G8" s="291">
        <f>'S2.2.2. ES_results'!J20</f>
        <v>1.5711689081337292</v>
      </c>
      <c r="H8" s="292">
        <f>'S2.2.2. ES_results'!I20</f>
        <v>0.81327129876090887</v>
      </c>
      <c r="I8" s="292">
        <f>'S2.2.2. ES_results'!K20</f>
        <v>0.57977271728408197</v>
      </c>
      <c r="J8" s="1"/>
      <c r="K8" s="302"/>
      <c r="L8" s="4" t="s">
        <v>388</v>
      </c>
      <c r="M8" s="5"/>
      <c r="N8" s="5"/>
      <c r="O8" s="5"/>
    </row>
    <row r="9" spans="1:16" ht="21" x14ac:dyDescent="0.55000000000000004">
      <c r="A9" s="317"/>
      <c r="B9" s="290" t="s">
        <v>16</v>
      </c>
      <c r="C9" s="301"/>
      <c r="D9" s="301"/>
      <c r="E9" s="301"/>
      <c r="F9" s="291">
        <f>'S2.2.2. ES_results'!H21</f>
        <v>1.0832400571460845</v>
      </c>
      <c r="G9" s="291">
        <f>'S2.2.2. ES_results'!J21</f>
        <v>1.0950723545065353</v>
      </c>
      <c r="H9" s="292">
        <f>'S2.2.2. ES_results'!I21</f>
        <v>0.92765163235750969</v>
      </c>
      <c r="I9" s="292">
        <f>'S2.2.2. ES_results'!K21</f>
        <v>0.9488823924656582</v>
      </c>
      <c r="J9" s="1"/>
      <c r="K9" s="1"/>
      <c r="L9" s="1"/>
      <c r="M9" s="5"/>
      <c r="N9" s="5"/>
      <c r="O9" s="5"/>
    </row>
    <row r="10" spans="1:16" ht="31.5" customHeight="1" x14ac:dyDescent="0.55000000000000004">
      <c r="A10" s="318" t="s">
        <v>379</v>
      </c>
      <c r="B10" s="290" t="s">
        <v>15</v>
      </c>
      <c r="C10" s="301"/>
      <c r="D10" s="301"/>
      <c r="E10" s="301"/>
      <c r="F10" s="293">
        <f>'S2.2.2. ES_results'!H5</f>
        <v>1.005327695558317</v>
      </c>
      <c r="G10" s="294">
        <f>'S2.2.2. ES_results'!J5</f>
        <v>0.99552657023089441</v>
      </c>
      <c r="H10" s="293">
        <f>'S2.2.2. ES_results'!I5</f>
        <v>1.0157130215207595</v>
      </c>
      <c r="I10" s="293">
        <f>'S2.2.2. ES_results'!K5</f>
        <v>1.0133219999167342</v>
      </c>
      <c r="J10" s="1"/>
      <c r="K10" s="1"/>
      <c r="L10" s="1"/>
      <c r="M10" s="5"/>
      <c r="N10" s="5"/>
      <c r="O10" s="5"/>
    </row>
    <row r="11" spans="1:16" ht="21" x14ac:dyDescent="0.55000000000000004">
      <c r="A11" s="318"/>
      <c r="B11" s="290" t="s">
        <v>16</v>
      </c>
      <c r="C11" s="301"/>
      <c r="D11" s="301"/>
      <c r="E11" s="301"/>
      <c r="F11" s="294">
        <f>'S2.2.2. ES_results'!H6</f>
        <v>0.99923171628126739</v>
      </c>
      <c r="G11" s="294">
        <f>'S2.2.2. ES_results'!J6</f>
        <v>0.99951775805081811</v>
      </c>
      <c r="H11" s="293">
        <f>'S2.2.2. ES_results'!I6</f>
        <v>1.0031699109674796</v>
      </c>
      <c r="I11" s="293">
        <f>'S2.2.2. ES_results'!K6</f>
        <v>1.0033744425970585</v>
      </c>
      <c r="J11" s="1"/>
      <c r="K11" s="1"/>
      <c r="L11" s="1"/>
      <c r="M11" s="5"/>
      <c r="N11" s="5"/>
      <c r="O11" s="5"/>
    </row>
    <row r="12" spans="1:16" ht="21" x14ac:dyDescent="0.55000000000000004">
      <c r="A12" s="318" t="s">
        <v>380</v>
      </c>
      <c r="B12" s="290" t="s">
        <v>15</v>
      </c>
      <c r="C12" s="301"/>
      <c r="D12" s="301"/>
      <c r="E12" s="301"/>
      <c r="F12" s="291">
        <f>'S2.2.2. ES_results'!H10</f>
        <v>1.2268980829786413</v>
      </c>
      <c r="G12" s="291">
        <f>'S2.2.2. ES_results'!J10</f>
        <v>1.1891554599079392</v>
      </c>
      <c r="H12" s="292">
        <f>'S2.2.2. ES_results'!I10</f>
        <v>0.53992108893640678</v>
      </c>
      <c r="I12" s="292">
        <f>'S2.2.2. ES_results'!K10</f>
        <v>0.51526027301803801</v>
      </c>
      <c r="J12" s="1"/>
      <c r="K12" s="1"/>
      <c r="L12" s="1"/>
      <c r="M12" s="5"/>
      <c r="N12" s="5"/>
      <c r="O12" s="5"/>
    </row>
    <row r="13" spans="1:16" ht="31.5" customHeight="1" x14ac:dyDescent="0.55000000000000004">
      <c r="A13" s="318"/>
      <c r="B13" s="290" t="s">
        <v>16</v>
      </c>
      <c r="C13" s="301"/>
      <c r="D13" s="301"/>
      <c r="E13" s="301"/>
      <c r="F13" s="294">
        <f>'S2.2.2. ES_results'!H11</f>
        <v>1.0209204762294899</v>
      </c>
      <c r="G13" s="294">
        <f>'S2.2.2. ES_results'!J11</f>
        <v>1.0188262015489835</v>
      </c>
      <c r="H13" s="293">
        <f>'S2.2.2. ES_results'!I11</f>
        <v>0.95845745219229705</v>
      </c>
      <c r="I13" s="293">
        <f>'S2.2.2. ES_results'!K11</f>
        <v>0.95113364657588317</v>
      </c>
      <c r="J13" s="1"/>
      <c r="K13" s="1"/>
      <c r="L13" s="1"/>
      <c r="M13" s="5"/>
      <c r="N13" s="5"/>
      <c r="O13" s="5"/>
    </row>
    <row r="14" spans="1:16" x14ac:dyDescent="0.55000000000000004">
      <c r="A14" s="5"/>
      <c r="B14" s="5"/>
      <c r="C14" s="5"/>
      <c r="D14" s="5"/>
      <c r="E14" s="5"/>
      <c r="F14" s="5"/>
      <c r="G14" s="5"/>
      <c r="H14" s="5"/>
      <c r="I14" s="5"/>
      <c r="J14" s="5"/>
      <c r="K14" s="5"/>
      <c r="L14" s="5"/>
      <c r="M14" s="5"/>
      <c r="N14" s="5"/>
      <c r="O14" s="5"/>
      <c r="P14" s="5"/>
    </row>
    <row r="15" spans="1:16" x14ac:dyDescent="0.55000000000000004">
      <c r="A15" s="315" t="s">
        <v>377</v>
      </c>
      <c r="B15" s="315"/>
      <c r="C15" s="315"/>
      <c r="D15" s="315"/>
      <c r="E15" s="315"/>
      <c r="F15" s="315"/>
      <c r="G15" s="315"/>
      <c r="H15" s="315"/>
      <c r="I15" s="315"/>
      <c r="J15" s="315"/>
      <c r="K15" s="315"/>
      <c r="L15" s="315"/>
      <c r="M15" s="5"/>
      <c r="N15" s="5"/>
      <c r="O15" s="5"/>
      <c r="P15" s="5"/>
    </row>
    <row r="16" spans="1:16" x14ac:dyDescent="0.55000000000000004">
      <c r="A16" s="315"/>
      <c r="B16" s="315"/>
      <c r="C16" s="315"/>
      <c r="D16" s="315"/>
      <c r="E16" s="315"/>
      <c r="F16" s="315"/>
      <c r="G16" s="315"/>
      <c r="H16" s="315"/>
      <c r="I16" s="315"/>
      <c r="J16" s="315"/>
      <c r="K16" s="315"/>
      <c r="L16" s="315"/>
      <c r="M16" s="5"/>
      <c r="N16" s="5"/>
      <c r="O16" s="5"/>
      <c r="P16" s="5"/>
    </row>
    <row r="17" spans="1:16" x14ac:dyDescent="0.55000000000000004">
      <c r="A17" s="6"/>
      <c r="B17" s="7"/>
      <c r="C17" s="5"/>
      <c r="D17" s="5"/>
      <c r="E17" s="5"/>
      <c r="F17" s="5"/>
      <c r="G17" s="5"/>
      <c r="H17" s="5"/>
      <c r="I17" s="5"/>
      <c r="J17" s="5"/>
      <c r="K17" s="5"/>
      <c r="L17" s="5"/>
      <c r="M17" s="5"/>
      <c r="N17" s="5"/>
      <c r="O17" s="5"/>
      <c r="P17" s="5"/>
    </row>
    <row r="18" spans="1:16" x14ac:dyDescent="0.55000000000000004">
      <c r="A18" s="194"/>
    </row>
    <row r="20" spans="1:16" ht="14.65" customHeight="1" thickBot="1" x14ac:dyDescent="0.6">
      <c r="A20" s="249" t="s">
        <v>354</v>
      </c>
    </row>
    <row r="21" spans="1:16" ht="14.7" thickBot="1" x14ac:dyDescent="0.6">
      <c r="A21" s="324" t="s">
        <v>289</v>
      </c>
      <c r="B21" s="326" t="s">
        <v>2</v>
      </c>
      <c r="C21" s="328" t="s">
        <v>0</v>
      </c>
      <c r="D21" s="329"/>
      <c r="E21" s="330"/>
      <c r="F21" s="329" t="s">
        <v>1</v>
      </c>
      <c r="G21" s="329"/>
      <c r="H21" s="329"/>
      <c r="I21" s="330"/>
      <c r="J21" s="5"/>
      <c r="K21" s="5"/>
      <c r="L21" s="5"/>
      <c r="M21" s="5"/>
      <c r="N21" s="5"/>
    </row>
    <row r="22" spans="1:16" ht="23.7" thickBot="1" x14ac:dyDescent="0.6">
      <c r="A22" s="325"/>
      <c r="B22" s="327"/>
      <c r="C22" s="71" t="s">
        <v>3</v>
      </c>
      <c r="D22" s="77" t="s">
        <v>4</v>
      </c>
      <c r="E22" s="78" t="s">
        <v>5</v>
      </c>
      <c r="F22" s="77" t="s">
        <v>6</v>
      </c>
      <c r="G22" s="77" t="s">
        <v>7</v>
      </c>
      <c r="H22" s="77" t="s">
        <v>8</v>
      </c>
      <c r="I22" s="78" t="s">
        <v>9</v>
      </c>
      <c r="J22" s="5"/>
      <c r="K22" s="235" t="s">
        <v>22</v>
      </c>
      <c r="L22" s="236"/>
      <c r="M22" s="5"/>
      <c r="N22" s="5"/>
    </row>
    <row r="23" spans="1:16" ht="23.7" thickBot="1" x14ac:dyDescent="0.6">
      <c r="A23" s="10" t="s">
        <v>19</v>
      </c>
      <c r="B23" s="205" t="s">
        <v>10</v>
      </c>
      <c r="C23" s="382">
        <v>1</v>
      </c>
      <c r="D23" s="215">
        <v>0.46548372762304446</v>
      </c>
      <c r="E23" s="213">
        <v>0.48311462138361172</v>
      </c>
      <c r="F23" s="384">
        <v>1</v>
      </c>
      <c r="G23" s="225">
        <v>1.3293622989676135</v>
      </c>
      <c r="H23" s="385">
        <v>1</v>
      </c>
      <c r="I23" s="214">
        <v>1.3293622989676135</v>
      </c>
      <c r="J23" s="5"/>
      <c r="K23" s="237"/>
      <c r="L23" s="238" t="s">
        <v>11</v>
      </c>
      <c r="M23" s="5" t="s">
        <v>353</v>
      </c>
      <c r="N23" s="5"/>
    </row>
    <row r="24" spans="1:16" ht="23.7" thickBot="1" x14ac:dyDescent="0.6">
      <c r="A24" s="8" t="s">
        <v>17</v>
      </c>
      <c r="B24" s="206" t="s">
        <v>10</v>
      </c>
      <c r="C24" s="383">
        <v>1</v>
      </c>
      <c r="D24" s="216">
        <v>0.60352166044534628</v>
      </c>
      <c r="E24" s="213">
        <v>0.62463686361579074</v>
      </c>
      <c r="F24" s="384">
        <v>1</v>
      </c>
      <c r="G24" s="225">
        <v>1.1196575800146307</v>
      </c>
      <c r="H24" s="385">
        <v>1</v>
      </c>
      <c r="I24" s="214">
        <v>1.1196575800146307</v>
      </c>
      <c r="J24" s="5"/>
      <c r="K24" s="239"/>
      <c r="L24" s="238" t="s">
        <v>12</v>
      </c>
      <c r="M24" s="5" t="s">
        <v>352</v>
      </c>
      <c r="N24" s="5"/>
    </row>
    <row r="25" spans="1:16" ht="21.3" thickBot="1" x14ac:dyDescent="0.6">
      <c r="A25" s="9" t="s">
        <v>18</v>
      </c>
      <c r="B25" s="207" t="s">
        <v>10</v>
      </c>
      <c r="C25" s="382">
        <v>1</v>
      </c>
      <c r="D25" s="217">
        <v>3.6161163687115661</v>
      </c>
      <c r="E25" s="214">
        <v>1.3254377469391549</v>
      </c>
      <c r="F25" s="384">
        <v>1</v>
      </c>
      <c r="G25" s="225">
        <v>1.4188975004413817</v>
      </c>
      <c r="H25" s="385">
        <v>1</v>
      </c>
      <c r="I25" s="214">
        <v>1.4188975004413817</v>
      </c>
      <c r="J25" s="5"/>
      <c r="K25" s="240"/>
      <c r="L25" s="238" t="s">
        <v>13</v>
      </c>
      <c r="M25" s="5" t="s">
        <v>352</v>
      </c>
      <c r="N25" s="5"/>
    </row>
    <row r="26" spans="1:16" ht="23.7" thickBot="1" x14ac:dyDescent="0.6">
      <c r="A26" s="193" t="s">
        <v>20</v>
      </c>
      <c r="B26" s="208" t="s">
        <v>14</v>
      </c>
      <c r="C26" s="301"/>
      <c r="D26" s="301"/>
      <c r="E26" s="301"/>
      <c r="F26" s="201">
        <v>1.0291215612366826</v>
      </c>
      <c r="G26" s="202">
        <v>1.0519814428041772</v>
      </c>
      <c r="H26" s="196">
        <v>0.98001715302910386</v>
      </c>
      <c r="I26" s="218">
        <v>0.99278120127998593</v>
      </c>
      <c r="J26" s="5"/>
      <c r="K26" s="241"/>
      <c r="L26" s="238" t="s">
        <v>275</v>
      </c>
      <c r="M26" s="5" t="s">
        <v>353</v>
      </c>
      <c r="N26" s="5"/>
    </row>
    <row r="27" spans="1:16" ht="20.5" customHeight="1" thickBot="1" x14ac:dyDescent="0.6">
      <c r="A27" s="10" t="s">
        <v>21</v>
      </c>
      <c r="B27" s="205" t="s">
        <v>14</v>
      </c>
      <c r="C27" s="301"/>
      <c r="D27" s="301"/>
      <c r="E27" s="301"/>
      <c r="F27" s="230">
        <v>0.99225501939513472</v>
      </c>
      <c r="G27" s="226">
        <v>0.97023303545882467</v>
      </c>
      <c r="H27" s="196">
        <v>0.99225501939513472</v>
      </c>
      <c r="I27" s="218">
        <v>0.97023303545882467</v>
      </c>
      <c r="J27" s="5"/>
      <c r="K27" s="298"/>
      <c r="L27" s="4" t="s">
        <v>392</v>
      </c>
      <c r="M27" s="5"/>
      <c r="N27" s="5"/>
    </row>
    <row r="28" spans="1:16" ht="21" x14ac:dyDescent="0.55000000000000004">
      <c r="A28" s="331" t="s">
        <v>278</v>
      </c>
      <c r="B28" s="203" t="s">
        <v>15</v>
      </c>
      <c r="C28" s="301"/>
      <c r="D28" s="301"/>
      <c r="E28" s="301"/>
      <c r="F28" s="231">
        <v>1.3769754773696263</v>
      </c>
      <c r="G28" s="227">
        <v>1.5711689081337294</v>
      </c>
      <c r="H28" s="222">
        <v>0.81327129876090898</v>
      </c>
      <c r="I28" s="219">
        <v>0.57977271728408197</v>
      </c>
      <c r="J28" s="5"/>
      <c r="K28" s="302"/>
      <c r="L28" s="4" t="s">
        <v>388</v>
      </c>
      <c r="M28" s="5"/>
      <c r="N28" s="5"/>
    </row>
    <row r="29" spans="1:16" ht="21.3" thickBot="1" x14ac:dyDescent="0.6">
      <c r="A29" s="332"/>
      <c r="B29" s="204" t="s">
        <v>16</v>
      </c>
      <c r="C29" s="301"/>
      <c r="D29" s="301"/>
      <c r="E29" s="301"/>
      <c r="F29" s="232">
        <v>1.0832400571460845</v>
      </c>
      <c r="G29" s="228">
        <v>1.0950723545065353</v>
      </c>
      <c r="H29" s="223">
        <v>0.9276516323575098</v>
      </c>
      <c r="I29" s="220">
        <v>0.9488823924656582</v>
      </c>
      <c r="J29" s="5"/>
      <c r="K29" s="5"/>
      <c r="L29" s="5"/>
      <c r="M29" s="5"/>
      <c r="N29" s="5"/>
    </row>
    <row r="30" spans="1:16" ht="21" x14ac:dyDescent="0.55000000000000004">
      <c r="A30" s="319" t="s">
        <v>279</v>
      </c>
      <c r="B30" s="203" t="s">
        <v>15</v>
      </c>
      <c r="C30" s="301"/>
      <c r="D30" s="301"/>
      <c r="E30" s="301"/>
      <c r="F30" s="233">
        <v>1.005327695558317</v>
      </c>
      <c r="G30" s="229">
        <v>0.99552657023089441</v>
      </c>
      <c r="H30" s="224">
        <v>1.0157130215207595</v>
      </c>
      <c r="I30" s="221">
        <v>1.0133219999167342</v>
      </c>
      <c r="J30" s="5"/>
      <c r="K30" s="5"/>
      <c r="L30" s="5"/>
      <c r="M30" s="5"/>
      <c r="N30" s="5"/>
    </row>
    <row r="31" spans="1:16" ht="20.5" customHeight="1" thickBot="1" x14ac:dyDescent="0.6">
      <c r="A31" s="320"/>
      <c r="B31" s="204" t="s">
        <v>16</v>
      </c>
      <c r="C31" s="301"/>
      <c r="D31" s="301"/>
      <c r="E31" s="301"/>
      <c r="F31" s="232">
        <v>0.99923171628126739</v>
      </c>
      <c r="G31" s="228">
        <v>0.99951775805081811</v>
      </c>
      <c r="H31" s="223">
        <v>1.0031699109674796</v>
      </c>
      <c r="I31" s="220">
        <v>1.0033744425970585</v>
      </c>
      <c r="J31" s="5"/>
      <c r="K31" s="5"/>
      <c r="L31" s="5"/>
      <c r="M31" s="5"/>
      <c r="N31" s="5"/>
    </row>
    <row r="32" spans="1:16" ht="21" x14ac:dyDescent="0.55000000000000004">
      <c r="A32" s="321" t="s">
        <v>280</v>
      </c>
      <c r="B32" s="209" t="s">
        <v>15</v>
      </c>
      <c r="C32" s="301"/>
      <c r="D32" s="301"/>
      <c r="E32" s="301"/>
      <c r="F32" s="231">
        <v>1.2268980829786413</v>
      </c>
      <c r="G32" s="227">
        <v>1.1891554599079392</v>
      </c>
      <c r="H32" s="222">
        <v>0.53992108893640678</v>
      </c>
      <c r="I32" s="219">
        <v>0.51526027301803801</v>
      </c>
      <c r="J32" s="5"/>
      <c r="K32" s="5"/>
      <c r="L32" s="5"/>
      <c r="M32" s="5"/>
      <c r="N32" s="5"/>
    </row>
    <row r="33" spans="1:14" ht="21.3" thickBot="1" x14ac:dyDescent="0.6">
      <c r="A33" s="320"/>
      <c r="B33" s="204" t="s">
        <v>16</v>
      </c>
      <c r="C33" s="301"/>
      <c r="D33" s="301"/>
      <c r="E33" s="301"/>
      <c r="F33" s="232">
        <v>1.0209204762294899</v>
      </c>
      <c r="G33" s="228">
        <v>1.0188262015489835</v>
      </c>
      <c r="H33" s="223">
        <v>0.95845745219229705</v>
      </c>
      <c r="I33" s="220">
        <v>0.95113364657588317</v>
      </c>
      <c r="J33" s="5"/>
      <c r="K33" s="5"/>
      <c r="L33" s="5"/>
      <c r="M33" s="5"/>
      <c r="N33" s="5"/>
    </row>
    <row r="34" spans="1:14" ht="14.5" customHeight="1" x14ac:dyDescent="0.55000000000000004">
      <c r="A34" s="322" t="s">
        <v>282</v>
      </c>
      <c r="B34" s="322"/>
      <c r="C34" s="322"/>
      <c r="D34" s="322"/>
      <c r="E34" s="322"/>
      <c r="F34" s="322"/>
      <c r="G34" s="322"/>
      <c r="H34" s="322"/>
      <c r="I34" s="322"/>
      <c r="J34" s="234"/>
      <c r="K34" s="234"/>
      <c r="L34" s="234"/>
    </row>
    <row r="35" spans="1:14" x14ac:dyDescent="0.55000000000000004">
      <c r="A35" s="323"/>
      <c r="B35" s="323"/>
      <c r="C35" s="323"/>
      <c r="D35" s="323"/>
      <c r="E35" s="323"/>
      <c r="F35" s="323"/>
      <c r="G35" s="323"/>
      <c r="H35" s="323"/>
      <c r="I35" s="323"/>
      <c r="J35" s="234"/>
      <c r="K35" s="234"/>
      <c r="L35" s="234"/>
    </row>
    <row r="36" spans="1:14" x14ac:dyDescent="0.55000000000000004">
      <c r="A36" s="210" t="s">
        <v>295</v>
      </c>
      <c r="B36" s="211"/>
      <c r="C36" s="212"/>
      <c r="D36" s="212"/>
      <c r="E36" s="212"/>
      <c r="F36" s="212"/>
      <c r="G36" s="212"/>
      <c r="H36" s="212"/>
      <c r="I36" s="212"/>
      <c r="J36" s="212"/>
      <c r="K36" s="212"/>
      <c r="L36" s="212"/>
    </row>
  </sheetData>
  <mergeCells count="18">
    <mergeCell ref="A30:A31"/>
    <mergeCell ref="A32:A33"/>
    <mergeCell ref="A34:I35"/>
    <mergeCell ref="A21:A22"/>
    <mergeCell ref="B21:B22"/>
    <mergeCell ref="C21:E21"/>
    <mergeCell ref="F21:I21"/>
    <mergeCell ref="A28:A29"/>
    <mergeCell ref="A15:L16"/>
    <mergeCell ref="C1:E1"/>
    <mergeCell ref="F1:I1"/>
    <mergeCell ref="A8:A9"/>
    <mergeCell ref="A10:A11"/>
    <mergeCell ref="A12:A13"/>
    <mergeCell ref="A1:A2"/>
    <mergeCell ref="B1:B2"/>
    <mergeCell ref="B6:B7"/>
    <mergeCell ref="B3:B5"/>
  </mergeCells>
  <phoneticPr fontId="24" type="noConversion"/>
  <pageMargins left="0.7" right="0.7" top="0.75" bottom="0.75" header="0.3" footer="0.3"/>
  <pageSetup paperSize="9" orientation="portrait" horizontalDpi="4294967293" verticalDpi="0" r:id="rId1"/>
  <ignoredErrors>
    <ignoredError sqref="G3:G5 H3:H5" formula="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0D68AB-7AE5-487C-833A-B2D7E418B730}">
  <sheetPr>
    <tabColor theme="7" tint="0.39997558519241921"/>
  </sheetPr>
  <dimension ref="A1:O25"/>
  <sheetViews>
    <sheetView topLeftCell="C1" zoomScale="89" workbookViewId="0">
      <selection activeCell="S15" sqref="S15"/>
    </sheetView>
  </sheetViews>
  <sheetFormatPr defaultColWidth="8.83984375" defaultRowHeight="11.7" x14ac:dyDescent="0.45"/>
  <cols>
    <col min="1" max="1" width="9" style="15" bestFit="1" customWidth="1"/>
    <col min="2" max="2" width="19.68359375" style="15" customWidth="1"/>
    <col min="3" max="3" width="62.15625" style="15" customWidth="1"/>
    <col min="4" max="4" width="11" style="15" bestFit="1" customWidth="1"/>
    <col min="5" max="8" width="10.15625" style="15" bestFit="1" customWidth="1"/>
    <col min="9" max="10" width="8.83984375" style="15"/>
    <col min="11" max="11" width="10.15625" style="15" bestFit="1" customWidth="1"/>
    <col min="12" max="15" width="11.83984375" style="15" bestFit="1" customWidth="1"/>
    <col min="16" max="16384" width="8.83984375" style="15"/>
  </cols>
  <sheetData>
    <row r="1" spans="1:15" ht="12" thickBot="1" x14ac:dyDescent="0.5">
      <c r="A1" s="335" t="s">
        <v>68</v>
      </c>
      <c r="B1" s="335" t="s">
        <v>65</v>
      </c>
      <c r="C1" s="335" t="s">
        <v>67</v>
      </c>
      <c r="D1" s="336" t="s">
        <v>64</v>
      </c>
      <c r="E1" s="336"/>
      <c r="F1" s="336"/>
      <c r="G1" s="336"/>
      <c r="H1" s="336"/>
    </row>
    <row r="2" spans="1:15" x14ac:dyDescent="0.45">
      <c r="A2" s="335"/>
      <c r="B2" s="335"/>
      <c r="C2" s="335"/>
      <c r="D2" s="335">
        <v>2018</v>
      </c>
      <c r="E2" s="336" t="s">
        <v>69</v>
      </c>
      <c r="F2" s="336"/>
      <c r="G2" s="336" t="s">
        <v>72</v>
      </c>
      <c r="H2" s="336"/>
      <c r="K2" s="48"/>
      <c r="L2" s="333" t="s">
        <v>69</v>
      </c>
      <c r="M2" s="333"/>
      <c r="N2" s="333" t="s">
        <v>72</v>
      </c>
      <c r="O2" s="334"/>
    </row>
    <row r="3" spans="1:15" x14ac:dyDescent="0.45">
      <c r="A3" s="335"/>
      <c r="B3" s="335"/>
      <c r="C3" s="335"/>
      <c r="D3" s="335"/>
      <c r="E3" s="19" t="s">
        <v>23</v>
      </c>
      <c r="F3" s="19" t="s">
        <v>24</v>
      </c>
      <c r="G3" s="19" t="s">
        <v>23</v>
      </c>
      <c r="H3" s="19" t="s">
        <v>24</v>
      </c>
      <c r="K3" s="56">
        <v>2018</v>
      </c>
      <c r="L3" s="57" t="s">
        <v>63</v>
      </c>
      <c r="M3" s="57" t="s">
        <v>77</v>
      </c>
      <c r="N3" s="57" t="s">
        <v>63</v>
      </c>
      <c r="O3" s="313" t="s">
        <v>77</v>
      </c>
    </row>
    <row r="4" spans="1:15" x14ac:dyDescent="0.45">
      <c r="A4" s="15">
        <v>1</v>
      </c>
      <c r="B4" s="15" t="s">
        <v>25</v>
      </c>
      <c r="D4" s="16">
        <v>12816251</v>
      </c>
      <c r="E4" s="16">
        <v>12763800</v>
      </c>
      <c r="F4" s="16">
        <v>12973244</v>
      </c>
      <c r="G4" s="16">
        <v>13107597</v>
      </c>
      <c r="H4" s="16">
        <v>13377739</v>
      </c>
      <c r="K4" s="130">
        <f>D6+D7+D9+D10+SUM(D12:D17)+SUM(D21:D24)</f>
        <v>97931391</v>
      </c>
      <c r="L4" s="16">
        <f t="shared" ref="L4:O4" si="0">E6+E7+E9+E10+SUM(E12:E17)+SUM(E21:E24)</f>
        <v>100783306</v>
      </c>
      <c r="M4" s="16">
        <f t="shared" si="0"/>
        <v>95974443</v>
      </c>
      <c r="N4" s="16">
        <f t="shared" si="0"/>
        <v>103022006</v>
      </c>
      <c r="O4" s="132">
        <f t="shared" si="0"/>
        <v>97224444</v>
      </c>
    </row>
    <row r="5" spans="1:15" x14ac:dyDescent="0.45">
      <c r="A5" s="15">
        <v>2</v>
      </c>
      <c r="B5" s="15" t="s">
        <v>26</v>
      </c>
      <c r="C5" s="15" t="s">
        <v>27</v>
      </c>
      <c r="D5" s="16">
        <v>2803670</v>
      </c>
      <c r="E5" s="16">
        <v>2797953</v>
      </c>
      <c r="F5" s="16">
        <v>2797953</v>
      </c>
      <c r="G5" s="16">
        <v>2799238</v>
      </c>
      <c r="H5" s="16">
        <v>2799238</v>
      </c>
      <c r="K5" s="51"/>
      <c r="L5" s="303">
        <f>L4/K4</f>
        <v>1.0291215612366826</v>
      </c>
      <c r="M5" s="303">
        <f>M4/K4</f>
        <v>0.98001715302910386</v>
      </c>
      <c r="N5" s="303">
        <f>N4/K4</f>
        <v>1.0519814428041772</v>
      </c>
      <c r="O5" s="304">
        <f>O4/K4</f>
        <v>0.99278120127998593</v>
      </c>
    </row>
    <row r="6" spans="1:15" x14ac:dyDescent="0.45">
      <c r="A6" s="15">
        <v>3</v>
      </c>
      <c r="B6" s="15" t="s">
        <v>28</v>
      </c>
      <c r="C6" s="15" t="s">
        <v>29</v>
      </c>
      <c r="D6" s="16">
        <v>81675</v>
      </c>
      <c r="E6" s="16">
        <v>81235</v>
      </c>
      <c r="F6" s="16">
        <v>81235</v>
      </c>
      <c r="G6" s="16">
        <v>81530</v>
      </c>
      <c r="H6" s="16">
        <v>81530</v>
      </c>
      <c r="K6" s="130">
        <f>D11</f>
        <v>179143896</v>
      </c>
      <c r="L6" s="16">
        <f t="shared" ref="L6:O6" si="1">E11</f>
        <v>177756430</v>
      </c>
      <c r="M6" s="16">
        <f t="shared" si="1"/>
        <v>177756430</v>
      </c>
      <c r="N6" s="16">
        <f t="shared" si="1"/>
        <v>173811326</v>
      </c>
      <c r="O6" s="132">
        <f t="shared" si="1"/>
        <v>173811326</v>
      </c>
    </row>
    <row r="7" spans="1:15" ht="12" thickBot="1" x14ac:dyDescent="0.5">
      <c r="A7" s="15">
        <v>4</v>
      </c>
      <c r="B7" s="15" t="s">
        <v>30</v>
      </c>
      <c r="C7" s="15" t="s">
        <v>31</v>
      </c>
      <c r="D7" s="16">
        <v>1374169</v>
      </c>
      <c r="E7" s="16">
        <v>1370376</v>
      </c>
      <c r="F7" s="16">
        <v>1370376</v>
      </c>
      <c r="G7" s="16">
        <v>1370632</v>
      </c>
      <c r="H7" s="16">
        <v>1370632</v>
      </c>
      <c r="K7" s="53"/>
      <c r="L7" s="305">
        <f>L6/K6</f>
        <v>0.99225501939513472</v>
      </c>
      <c r="M7" s="305">
        <f>M6/K6</f>
        <v>0.99225501939513472</v>
      </c>
      <c r="N7" s="305">
        <f>N6/K6</f>
        <v>0.97023303545882467</v>
      </c>
      <c r="O7" s="306">
        <f>O6/K6</f>
        <v>0.97023303545882467</v>
      </c>
    </row>
    <row r="8" spans="1:15" x14ac:dyDescent="0.45">
      <c r="A8" s="15">
        <v>5</v>
      </c>
      <c r="B8" s="15" t="s">
        <v>32</v>
      </c>
      <c r="C8" s="15" t="s">
        <v>27</v>
      </c>
      <c r="D8" s="16">
        <v>12019774</v>
      </c>
      <c r="E8" s="16">
        <v>11673550</v>
      </c>
      <c r="F8" s="16">
        <v>15905921</v>
      </c>
      <c r="G8" s="16">
        <v>12264342</v>
      </c>
      <c r="H8" s="16">
        <v>17271784</v>
      </c>
      <c r="N8" s="16"/>
    </row>
    <row r="9" spans="1:15" ht="12" thickBot="1" x14ac:dyDescent="0.5">
      <c r="A9" s="15">
        <v>6</v>
      </c>
      <c r="B9" s="15" t="s">
        <v>33</v>
      </c>
      <c r="C9" s="15" t="s">
        <v>29</v>
      </c>
      <c r="D9" s="16">
        <v>2015001</v>
      </c>
      <c r="E9" s="16">
        <v>2272413</v>
      </c>
      <c r="F9" s="16">
        <v>1949382</v>
      </c>
      <c r="G9" s="16">
        <v>2431216</v>
      </c>
      <c r="H9" s="16">
        <v>2015445</v>
      </c>
      <c r="N9" s="16"/>
    </row>
    <row r="10" spans="1:15" x14ac:dyDescent="0.45">
      <c r="A10" s="15">
        <f>A9+1</f>
        <v>7</v>
      </c>
      <c r="B10" s="15" t="s">
        <v>34</v>
      </c>
      <c r="C10" s="15" t="s">
        <v>31</v>
      </c>
      <c r="D10" s="16">
        <v>2900961</v>
      </c>
      <c r="E10" s="16">
        <v>2853302</v>
      </c>
      <c r="F10" s="16">
        <v>2818645</v>
      </c>
      <c r="G10" s="16">
        <v>2959054</v>
      </c>
      <c r="H10" s="16">
        <v>2945503</v>
      </c>
      <c r="J10" s="48"/>
      <c r="K10" s="49"/>
      <c r="L10" s="307" t="s">
        <v>73</v>
      </c>
      <c r="M10" s="307" t="s">
        <v>74</v>
      </c>
      <c r="N10" s="307" t="s">
        <v>75</v>
      </c>
      <c r="O10" s="308" t="s">
        <v>76</v>
      </c>
    </row>
    <row r="11" spans="1:15" x14ac:dyDescent="0.45">
      <c r="A11" s="15">
        <f t="shared" ref="A11:A25" si="2">A10+1</f>
        <v>8</v>
      </c>
      <c r="B11" s="15" t="s">
        <v>35</v>
      </c>
      <c r="D11" s="16">
        <v>179143896</v>
      </c>
      <c r="E11" s="16">
        <v>177756430</v>
      </c>
      <c r="F11" s="16">
        <v>177756430</v>
      </c>
      <c r="G11" s="16">
        <v>173811326</v>
      </c>
      <c r="H11" s="16">
        <v>173811326</v>
      </c>
      <c r="J11" s="337" t="s">
        <v>69</v>
      </c>
      <c r="K11" s="19">
        <v>2018</v>
      </c>
      <c r="L11" s="16">
        <v>124943700</v>
      </c>
      <c r="M11" s="16">
        <v>261457900</v>
      </c>
      <c r="N11" s="16">
        <v>138746600</v>
      </c>
      <c r="O11" s="132">
        <v>100002300</v>
      </c>
    </row>
    <row r="12" spans="1:15" x14ac:dyDescent="0.45">
      <c r="A12" s="15">
        <f t="shared" si="2"/>
        <v>9</v>
      </c>
      <c r="B12" s="15" t="s">
        <v>36</v>
      </c>
      <c r="C12" s="15" t="s">
        <v>37</v>
      </c>
      <c r="D12" s="16">
        <v>24722159</v>
      </c>
      <c r="E12" s="16">
        <v>28031009</v>
      </c>
      <c r="F12" s="16">
        <v>24682187</v>
      </c>
      <c r="G12" s="16">
        <v>28788256</v>
      </c>
      <c r="H12" s="16">
        <v>24668394</v>
      </c>
      <c r="J12" s="337"/>
      <c r="K12" s="19" t="s">
        <v>70</v>
      </c>
      <c r="L12" s="16">
        <v>85053500</v>
      </c>
      <c r="M12" s="16">
        <v>535361300</v>
      </c>
      <c r="N12" s="16">
        <v>0</v>
      </c>
      <c r="O12" s="132">
        <v>4545700</v>
      </c>
    </row>
    <row r="13" spans="1:15" x14ac:dyDescent="0.45">
      <c r="A13" s="15">
        <f t="shared" si="2"/>
        <v>10</v>
      </c>
      <c r="B13" s="15" t="s">
        <v>38</v>
      </c>
      <c r="C13" s="15" t="s">
        <v>39</v>
      </c>
      <c r="D13" s="16">
        <v>8875616</v>
      </c>
      <c r="E13" s="16">
        <v>8873404</v>
      </c>
      <c r="F13" s="16">
        <v>8820262</v>
      </c>
      <c r="G13" s="16">
        <v>8775655</v>
      </c>
      <c r="H13" s="16">
        <v>8753918</v>
      </c>
      <c r="J13" s="337"/>
      <c r="K13" s="19" t="s">
        <v>71</v>
      </c>
      <c r="L13" s="16">
        <v>529097800</v>
      </c>
      <c r="M13" s="16">
        <v>34775900</v>
      </c>
      <c r="N13" s="16">
        <v>0</v>
      </c>
      <c r="O13" s="132">
        <v>61086800</v>
      </c>
    </row>
    <row r="14" spans="1:15" x14ac:dyDescent="0.45">
      <c r="A14" s="15">
        <f t="shared" si="2"/>
        <v>11</v>
      </c>
      <c r="B14" s="15" t="s">
        <v>40</v>
      </c>
      <c r="C14" s="15" t="s">
        <v>41</v>
      </c>
      <c r="D14" s="16">
        <v>603558</v>
      </c>
      <c r="E14" s="16">
        <v>595811</v>
      </c>
      <c r="F14" s="16">
        <v>595811</v>
      </c>
      <c r="G14" s="16">
        <v>600772</v>
      </c>
      <c r="H14" s="16">
        <v>600772</v>
      </c>
      <c r="J14" s="337" t="s">
        <v>72</v>
      </c>
      <c r="K14" s="19">
        <v>2018</v>
      </c>
      <c r="L14" s="16">
        <v>26801500</v>
      </c>
      <c r="M14" s="16">
        <v>102794100</v>
      </c>
      <c r="N14" s="16">
        <v>533257000</v>
      </c>
      <c r="O14" s="132">
        <v>64024800</v>
      </c>
    </row>
    <row r="15" spans="1:15" x14ac:dyDescent="0.45">
      <c r="A15" s="15">
        <f t="shared" si="2"/>
        <v>12</v>
      </c>
      <c r="B15" s="15" t="s">
        <v>42</v>
      </c>
      <c r="C15" s="15" t="s">
        <v>43</v>
      </c>
      <c r="D15" s="16">
        <v>45295</v>
      </c>
      <c r="E15" s="16">
        <v>43990</v>
      </c>
      <c r="F15" s="16">
        <v>43990</v>
      </c>
      <c r="G15" s="16">
        <v>44961</v>
      </c>
      <c r="H15" s="16">
        <v>44961</v>
      </c>
      <c r="J15" s="337"/>
      <c r="K15" s="19" t="s">
        <v>70</v>
      </c>
      <c r="L15" s="16">
        <v>80392900</v>
      </c>
      <c r="M15" s="16">
        <v>644638300</v>
      </c>
      <c r="N15" s="16">
        <v>0</v>
      </c>
      <c r="O15" s="132">
        <v>1846200</v>
      </c>
    </row>
    <row r="16" spans="1:15" ht="12" thickBot="1" x14ac:dyDescent="0.5">
      <c r="A16" s="15">
        <f t="shared" si="2"/>
        <v>13</v>
      </c>
      <c r="B16" s="15" t="s">
        <v>44</v>
      </c>
      <c r="C16" s="15" t="s">
        <v>45</v>
      </c>
      <c r="D16" s="16">
        <v>13532669</v>
      </c>
      <c r="E16" s="16">
        <v>13374845</v>
      </c>
      <c r="F16" s="16">
        <v>13374845</v>
      </c>
      <c r="G16" s="16">
        <v>13404685</v>
      </c>
      <c r="H16" s="16">
        <v>13404685</v>
      </c>
      <c r="J16" s="338"/>
      <c r="K16" s="309" t="s">
        <v>71</v>
      </c>
      <c r="L16" s="250">
        <v>608151300</v>
      </c>
      <c r="M16" s="250">
        <v>42455300</v>
      </c>
      <c r="N16" s="250">
        <v>0</v>
      </c>
      <c r="O16" s="135">
        <v>76270800</v>
      </c>
    </row>
    <row r="17" spans="1:13" ht="12" thickBot="1" x14ac:dyDescent="0.5">
      <c r="A17" s="15">
        <f t="shared" si="2"/>
        <v>14</v>
      </c>
      <c r="B17" s="15" t="s">
        <v>46</v>
      </c>
      <c r="C17" s="15" t="s">
        <v>47</v>
      </c>
      <c r="D17" s="16">
        <v>6816866</v>
      </c>
      <c r="E17" s="16">
        <v>6874185</v>
      </c>
      <c r="F17" s="16">
        <v>6716168</v>
      </c>
      <c r="G17" s="16">
        <v>6956219</v>
      </c>
      <c r="H17" s="16">
        <v>6752556</v>
      </c>
    </row>
    <row r="18" spans="1:13" x14ac:dyDescent="0.45">
      <c r="A18" s="15">
        <f t="shared" si="2"/>
        <v>15</v>
      </c>
      <c r="B18" s="15" t="s">
        <v>48</v>
      </c>
      <c r="C18" s="15" t="s">
        <v>49</v>
      </c>
      <c r="D18" s="16">
        <v>10802458</v>
      </c>
      <c r="E18" s="16">
        <v>10296131</v>
      </c>
      <c r="F18" s="16">
        <v>10861725</v>
      </c>
      <c r="G18" s="16">
        <v>10495712</v>
      </c>
      <c r="H18" s="16">
        <v>11239958</v>
      </c>
      <c r="K18" s="48" t="s">
        <v>371</v>
      </c>
      <c r="L18" s="49" t="s">
        <v>390</v>
      </c>
      <c r="M18" s="129">
        <f>M12-M11</f>
        <v>273903400</v>
      </c>
    </row>
    <row r="19" spans="1:13" x14ac:dyDescent="0.45">
      <c r="A19" s="15">
        <f t="shared" si="2"/>
        <v>16</v>
      </c>
      <c r="B19" s="15" t="s">
        <v>50</v>
      </c>
      <c r="C19" s="15" t="s">
        <v>51</v>
      </c>
      <c r="D19" s="16">
        <v>606353</v>
      </c>
      <c r="E19" s="16">
        <v>582532</v>
      </c>
      <c r="F19" s="16">
        <v>577852</v>
      </c>
      <c r="G19" s="16">
        <v>606729</v>
      </c>
      <c r="H19" s="16">
        <v>601101</v>
      </c>
      <c r="K19" s="51" t="s">
        <v>371</v>
      </c>
      <c r="L19" s="15" t="s">
        <v>391</v>
      </c>
      <c r="M19" s="132">
        <f>M15-M14</f>
        <v>541844200</v>
      </c>
    </row>
    <row r="20" spans="1:13" x14ac:dyDescent="0.45">
      <c r="A20" s="15">
        <f t="shared" si="2"/>
        <v>17</v>
      </c>
      <c r="B20" s="15" t="s">
        <v>52</v>
      </c>
      <c r="C20" s="15" t="s">
        <v>53</v>
      </c>
      <c r="D20" s="16">
        <v>8672240</v>
      </c>
      <c r="E20" s="16">
        <v>8584843</v>
      </c>
      <c r="F20" s="16">
        <v>8390977</v>
      </c>
      <c r="G20" s="16">
        <v>8999691</v>
      </c>
      <c r="H20" s="16">
        <v>8781051</v>
      </c>
      <c r="K20" s="51" t="s">
        <v>386</v>
      </c>
      <c r="L20" s="15" t="s">
        <v>390</v>
      </c>
      <c r="M20" s="132">
        <f>M18/10000</f>
        <v>27390.34</v>
      </c>
    </row>
    <row r="21" spans="1:13" ht="12" thickBot="1" x14ac:dyDescent="0.5">
      <c r="A21" s="15">
        <f t="shared" si="2"/>
        <v>18</v>
      </c>
      <c r="B21" s="15" t="s">
        <v>54</v>
      </c>
      <c r="C21" s="15" t="s">
        <v>55</v>
      </c>
      <c r="D21" s="16">
        <v>565947</v>
      </c>
      <c r="E21" s="16">
        <v>536305</v>
      </c>
      <c r="F21" s="16">
        <v>536305</v>
      </c>
      <c r="G21" s="16">
        <v>562213</v>
      </c>
      <c r="H21" s="16">
        <v>562213</v>
      </c>
      <c r="K21" s="53" t="s">
        <v>386</v>
      </c>
      <c r="L21" s="54" t="s">
        <v>391</v>
      </c>
      <c r="M21" s="135">
        <f>M19/10000</f>
        <v>54184.42</v>
      </c>
    </row>
    <row r="22" spans="1:13" x14ac:dyDescent="0.45">
      <c r="A22" s="15">
        <f t="shared" si="2"/>
        <v>19</v>
      </c>
      <c r="B22" s="15" t="s">
        <v>56</v>
      </c>
      <c r="C22" s="15" t="s">
        <v>57</v>
      </c>
      <c r="D22" s="16">
        <v>4917373</v>
      </c>
      <c r="E22" s="16">
        <v>4983474</v>
      </c>
      <c r="F22" s="16">
        <v>4700442</v>
      </c>
      <c r="G22" s="16">
        <v>5280447</v>
      </c>
      <c r="H22" s="16">
        <v>4931398</v>
      </c>
    </row>
    <row r="23" spans="1:13" x14ac:dyDescent="0.45">
      <c r="A23" s="15">
        <f t="shared" si="2"/>
        <v>20</v>
      </c>
      <c r="B23" s="15" t="s">
        <v>58</v>
      </c>
      <c r="C23" s="15" t="s">
        <v>59</v>
      </c>
      <c r="D23" s="16">
        <v>8197145</v>
      </c>
      <c r="E23" s="16">
        <v>7912323</v>
      </c>
      <c r="F23" s="16">
        <v>7883301</v>
      </c>
      <c r="G23" s="16">
        <v>8161528</v>
      </c>
      <c r="H23" s="16">
        <v>8140683</v>
      </c>
    </row>
    <row r="24" spans="1:13" x14ac:dyDescent="0.45">
      <c r="A24" s="15">
        <f t="shared" si="2"/>
        <v>21</v>
      </c>
      <c r="B24" s="15" t="s">
        <v>60</v>
      </c>
      <c r="C24" s="15" t="s">
        <v>61</v>
      </c>
      <c r="D24" s="16">
        <v>23282957</v>
      </c>
      <c r="E24" s="16">
        <v>22980634</v>
      </c>
      <c r="F24" s="16">
        <v>22401494</v>
      </c>
      <c r="G24" s="16">
        <v>23604838</v>
      </c>
      <c r="H24" s="16">
        <v>22951754</v>
      </c>
    </row>
    <row r="25" spans="1:13" x14ac:dyDescent="0.45">
      <c r="A25" s="15">
        <f t="shared" si="2"/>
        <v>22</v>
      </c>
      <c r="B25" s="15" t="s">
        <v>62</v>
      </c>
      <c r="D25" s="16">
        <v>89522078</v>
      </c>
      <c r="E25" s="16">
        <v>88996836</v>
      </c>
      <c r="F25" s="16">
        <v>88996836</v>
      </c>
      <c r="G25" s="16">
        <v>89128740</v>
      </c>
      <c r="H25" s="16">
        <v>89128740</v>
      </c>
    </row>
  </sheetData>
  <mergeCells count="11">
    <mergeCell ref="J11:J13"/>
    <mergeCell ref="J14:J16"/>
    <mergeCell ref="D1:H1"/>
    <mergeCell ref="B1:B3"/>
    <mergeCell ref="C1:C3"/>
    <mergeCell ref="N2:O2"/>
    <mergeCell ref="A1:A3"/>
    <mergeCell ref="D2:D3"/>
    <mergeCell ref="E2:F2"/>
    <mergeCell ref="G2:H2"/>
    <mergeCell ref="L2:M2"/>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45641A-C0B3-4260-A3EB-9B91F06B42F2}">
  <sheetPr>
    <tabColor theme="7" tint="0.39997558519241921"/>
  </sheetPr>
  <dimension ref="A1:L21"/>
  <sheetViews>
    <sheetView topLeftCell="A8" workbookViewId="0">
      <selection activeCell="N11" sqref="N11"/>
    </sheetView>
  </sheetViews>
  <sheetFormatPr defaultRowHeight="14.4" x14ac:dyDescent="0.55000000000000004"/>
  <cols>
    <col min="2" max="2" width="22.68359375" customWidth="1"/>
  </cols>
  <sheetData>
    <row r="1" spans="1:12" ht="14.7" thickBot="1" x14ac:dyDescent="0.6">
      <c r="H1" s="314" t="s">
        <v>281</v>
      </c>
    </row>
    <row r="2" spans="1:12" x14ac:dyDescent="0.55000000000000004">
      <c r="A2" s="340" t="s">
        <v>153</v>
      </c>
      <c r="B2" s="341"/>
      <c r="C2" s="339" t="s">
        <v>69</v>
      </c>
      <c r="D2" s="333"/>
      <c r="E2" s="333" t="s">
        <v>72</v>
      </c>
      <c r="F2" s="334"/>
      <c r="H2" s="339" t="s">
        <v>69</v>
      </c>
      <c r="I2" s="333"/>
      <c r="J2" s="333" t="s">
        <v>72</v>
      </c>
      <c r="K2" s="334"/>
    </row>
    <row r="3" spans="1:12" ht="14.7" thickBot="1" x14ac:dyDescent="0.6">
      <c r="A3" s="340"/>
      <c r="B3" s="341"/>
      <c r="C3" s="51" t="s">
        <v>63</v>
      </c>
      <c r="D3" s="15" t="s">
        <v>77</v>
      </c>
      <c r="E3" s="15" t="s">
        <v>63</v>
      </c>
      <c r="F3" s="52" t="s">
        <v>77</v>
      </c>
      <c r="H3" s="53" t="s">
        <v>63</v>
      </c>
      <c r="I3" s="54" t="s">
        <v>77</v>
      </c>
      <c r="J3" s="54" t="s">
        <v>63</v>
      </c>
      <c r="K3" s="55" t="s">
        <v>77</v>
      </c>
    </row>
    <row r="4" spans="1:12" ht="14.7" thickBot="1" x14ac:dyDescent="0.6">
      <c r="A4" s="60"/>
      <c r="B4" s="69">
        <v>2018</v>
      </c>
      <c r="C4" s="30">
        <v>27.073318740000001</v>
      </c>
      <c r="D4" s="31">
        <v>27.073318740000001</v>
      </c>
      <c r="E4" s="31">
        <v>27.073318740000001</v>
      </c>
      <c r="F4" s="32">
        <v>27.073318740000001</v>
      </c>
    </row>
    <row r="5" spans="1:12" x14ac:dyDescent="0.55000000000000004">
      <c r="A5" s="60"/>
      <c r="B5" s="60" t="s">
        <v>82</v>
      </c>
      <c r="C5" s="33">
        <v>27.21755714</v>
      </c>
      <c r="D5" s="34">
        <v>27.49872238</v>
      </c>
      <c r="E5" s="34">
        <v>26.952208150000001</v>
      </c>
      <c r="F5" s="35">
        <v>27.433989489999998</v>
      </c>
      <c r="H5" s="187">
        <f>C5/C4</f>
        <v>1.005327695558317</v>
      </c>
      <c r="I5" s="188">
        <f t="shared" ref="I5:K5" si="0">D5/D4</f>
        <v>1.0157130215207595</v>
      </c>
      <c r="J5" s="188">
        <f t="shared" si="0"/>
        <v>0.99552657023089441</v>
      </c>
      <c r="K5" s="189">
        <f t="shared" si="0"/>
        <v>1.0133219999167342</v>
      </c>
      <c r="L5" s="297"/>
    </row>
    <row r="6" spans="1:12" ht="14.7" thickBot="1" x14ac:dyDescent="0.6">
      <c r="A6" s="60"/>
      <c r="B6" s="62" t="s">
        <v>79</v>
      </c>
      <c r="C6" s="36">
        <v>27.052518750000001</v>
      </c>
      <c r="D6" s="37">
        <v>27.15913875</v>
      </c>
      <c r="E6" s="37">
        <v>27.060262850000001</v>
      </c>
      <c r="F6" s="38">
        <v>27.164676100000001</v>
      </c>
      <c r="H6" s="190">
        <f>C6/C4</f>
        <v>0.99923171628126739</v>
      </c>
      <c r="I6" s="191">
        <f t="shared" ref="I6:K6" si="1">D6/D4</f>
        <v>1.0031699109674796</v>
      </c>
      <c r="J6" s="195">
        <f t="shared" si="1"/>
        <v>0.99951775805081811</v>
      </c>
      <c r="K6" s="192">
        <f t="shared" si="1"/>
        <v>1.0033744425970585</v>
      </c>
    </row>
    <row r="7" spans="1:12" x14ac:dyDescent="0.55000000000000004">
      <c r="A7" s="340" t="s">
        <v>80</v>
      </c>
      <c r="B7" s="341"/>
      <c r="C7" s="346" t="s">
        <v>69</v>
      </c>
      <c r="D7" s="347"/>
      <c r="E7" s="347" t="s">
        <v>72</v>
      </c>
      <c r="F7" s="348"/>
    </row>
    <row r="8" spans="1:12" ht="14.7" thickBot="1" x14ac:dyDescent="0.6">
      <c r="A8" s="340"/>
      <c r="B8" s="341"/>
      <c r="C8" s="51" t="s">
        <v>63</v>
      </c>
      <c r="D8" s="15" t="s">
        <v>77</v>
      </c>
      <c r="E8" s="15" t="s">
        <v>63</v>
      </c>
      <c r="F8" s="52" t="s">
        <v>77</v>
      </c>
    </row>
    <row r="9" spans="1:12" ht="14.7" thickBot="1" x14ac:dyDescent="0.6">
      <c r="A9" s="60"/>
      <c r="B9" s="69">
        <f>B4</f>
        <v>2018</v>
      </c>
      <c r="C9" s="30">
        <v>0.53177790400000002</v>
      </c>
      <c r="D9" s="31">
        <v>0.53177790400000002</v>
      </c>
      <c r="E9" s="31">
        <v>0.53177790400000002</v>
      </c>
      <c r="F9" s="32">
        <v>0.53177790400000002</v>
      </c>
    </row>
    <row r="10" spans="1:12" x14ac:dyDescent="0.55000000000000004">
      <c r="A10" s="60"/>
      <c r="B10" s="60" t="s">
        <v>78</v>
      </c>
      <c r="C10" s="33">
        <v>0.65243729098799996</v>
      </c>
      <c r="D10" s="34">
        <v>0.28711810500000001</v>
      </c>
      <c r="E10" s="34">
        <v>0.63236659799999995</v>
      </c>
      <c r="F10" s="35">
        <v>0.27400402800000001</v>
      </c>
      <c r="H10" s="187">
        <f>C10/C9</f>
        <v>1.2268980829786413</v>
      </c>
      <c r="I10" s="188">
        <f t="shared" ref="I10" si="2">D10/D9</f>
        <v>0.53992108893640678</v>
      </c>
      <c r="J10" s="188">
        <f t="shared" ref="J10" si="3">E10/E9</f>
        <v>1.1891554599079392</v>
      </c>
      <c r="K10" s="189">
        <f t="shared" ref="K10" si="4">F10/F9</f>
        <v>0.51526027301803801</v>
      </c>
    </row>
    <row r="11" spans="1:12" ht="14.7" thickBot="1" x14ac:dyDescent="0.6">
      <c r="A11" s="60"/>
      <c r="B11" s="62" t="s">
        <v>79</v>
      </c>
      <c r="C11" s="36">
        <v>0.54290295099999997</v>
      </c>
      <c r="D11" s="37">
        <v>0.50968649499999996</v>
      </c>
      <c r="E11" s="37">
        <v>0.54178926199999999</v>
      </c>
      <c r="F11" s="38">
        <v>0.50579185699999996</v>
      </c>
      <c r="H11" s="190">
        <f>C11/C9</f>
        <v>1.0209204762294899</v>
      </c>
      <c r="I11" s="191">
        <f t="shared" ref="I11" si="5">D11/D9</f>
        <v>0.95845745219229705</v>
      </c>
      <c r="J11" s="191">
        <f t="shared" ref="J11" si="6">E11/E9</f>
        <v>1.0188262015489835</v>
      </c>
      <c r="K11" s="192">
        <f t="shared" ref="K11" si="7">F11/F9</f>
        <v>0.95113364657588317</v>
      </c>
    </row>
    <row r="12" spans="1:12" x14ac:dyDescent="0.55000000000000004">
      <c r="A12" s="340" t="s">
        <v>81</v>
      </c>
      <c r="B12" s="349"/>
      <c r="C12" s="346" t="s">
        <v>69</v>
      </c>
      <c r="D12" s="347"/>
      <c r="E12" s="347" t="s">
        <v>72</v>
      </c>
      <c r="F12" s="348"/>
    </row>
    <row r="13" spans="1:12" ht="14.7" thickBot="1" x14ac:dyDescent="0.6">
      <c r="A13" s="340"/>
      <c r="B13" s="349"/>
      <c r="C13" s="51" t="s">
        <v>63</v>
      </c>
      <c r="D13" s="15" t="s">
        <v>77</v>
      </c>
      <c r="E13" s="15" t="s">
        <v>63</v>
      </c>
      <c r="F13" s="52" t="s">
        <v>77</v>
      </c>
    </row>
    <row r="14" spans="1:12" ht="14.7" thickBot="1" x14ac:dyDescent="0.6">
      <c r="A14" s="70"/>
      <c r="B14" s="71">
        <v>2018</v>
      </c>
      <c r="C14" s="30">
        <v>33.550272270000001</v>
      </c>
      <c r="D14" s="31">
        <v>33.550272270000001</v>
      </c>
      <c r="E14" s="31">
        <v>33.550272270000001</v>
      </c>
      <c r="F14" s="32">
        <v>33.550272270000001</v>
      </c>
    </row>
    <row r="15" spans="1:12" x14ac:dyDescent="0.55000000000000004">
      <c r="A15" s="60"/>
      <c r="B15" s="60" t="s">
        <v>78</v>
      </c>
      <c r="C15" s="33">
        <v>2.40612451856</v>
      </c>
      <c r="D15" s="34">
        <v>1.6632310614100001</v>
      </c>
      <c r="E15" s="34">
        <v>5.4436673239999998</v>
      </c>
      <c r="F15" s="35">
        <v>3.4353540150000001</v>
      </c>
      <c r="H15" s="187">
        <f>C15/C14</f>
        <v>7.1716989334584619E-2</v>
      </c>
      <c r="I15" s="188">
        <f t="shared" ref="I15" si="8">D15/D14</f>
        <v>4.9574294003486487E-2</v>
      </c>
      <c r="J15" s="188">
        <f t="shared" ref="J15" si="9">E15/E14</f>
        <v>0.16225404313238975</v>
      </c>
      <c r="K15" s="189">
        <f t="shared" ref="K15" si="10">F15/F14</f>
        <v>0.1023942216430782</v>
      </c>
    </row>
    <row r="16" spans="1:12" ht="14.7" thickBot="1" x14ac:dyDescent="0.6">
      <c r="A16" s="62"/>
      <c r="B16" s="62" t="s">
        <v>79</v>
      </c>
      <c r="C16" s="36">
        <v>22.205984324199999</v>
      </c>
      <c r="D16" s="37">
        <v>21.963970199999999</v>
      </c>
      <c r="E16" s="37">
        <v>21.81044575</v>
      </c>
      <c r="F16" s="38">
        <v>21.31130606</v>
      </c>
      <c r="H16" s="190">
        <f>C16/C14</f>
        <v>0.66187195577712665</v>
      </c>
      <c r="I16" s="191">
        <f t="shared" ref="I16" si="11">D16/D14</f>
        <v>0.65465847857335435</v>
      </c>
      <c r="J16" s="191">
        <f t="shared" ref="J16" si="12">E16/E14</f>
        <v>0.6500825261410017</v>
      </c>
      <c r="K16" s="192">
        <f t="shared" ref="K16" si="13">F16/F14</f>
        <v>0.6352051598417624</v>
      </c>
    </row>
    <row r="17" spans="1:11" x14ac:dyDescent="0.55000000000000004">
      <c r="A17" s="342" t="s">
        <v>387</v>
      </c>
      <c r="B17" s="343"/>
      <c r="C17" s="346" t="s">
        <v>69</v>
      </c>
      <c r="D17" s="347"/>
      <c r="E17" s="347" t="s">
        <v>72</v>
      </c>
      <c r="F17" s="348"/>
    </row>
    <row r="18" spans="1:11" ht="14.7" thickBot="1" x14ac:dyDescent="0.6">
      <c r="A18" s="344"/>
      <c r="B18" s="345"/>
      <c r="C18" s="53" t="s">
        <v>63</v>
      </c>
      <c r="D18" s="54" t="s">
        <v>77</v>
      </c>
      <c r="E18" s="54" t="s">
        <v>63</v>
      </c>
      <c r="F18" s="55" t="s">
        <v>77</v>
      </c>
    </row>
    <row r="19" spans="1:11" ht="14.7" thickBot="1" x14ac:dyDescent="0.6">
      <c r="A19" s="15"/>
      <c r="B19" s="72">
        <v>2018</v>
      </c>
      <c r="C19">
        <v>0.30317795553300003</v>
      </c>
      <c r="D19">
        <v>0.30317795553300003</v>
      </c>
      <c r="E19">
        <v>0.30317795553300003</v>
      </c>
      <c r="F19">
        <v>0.30317795553300003</v>
      </c>
      <c r="H19" s="296"/>
    </row>
    <row r="20" spans="1:11" x14ac:dyDescent="0.55000000000000004">
      <c r="A20" s="15"/>
      <c r="B20" s="63" t="s">
        <v>78</v>
      </c>
      <c r="C20">
        <v>0.41746861004800001</v>
      </c>
      <c r="D20">
        <v>0.24656592965200003</v>
      </c>
      <c r="E20">
        <v>0.476343777365</v>
      </c>
      <c r="F20">
        <v>0.1757743071</v>
      </c>
      <c r="H20" s="187">
        <f>C20/C19</f>
        <v>1.3769754773696261</v>
      </c>
      <c r="I20" s="188">
        <f t="shared" ref="I20" si="14">D20/D19</f>
        <v>0.81327129876090887</v>
      </c>
      <c r="J20" s="188">
        <f t="shared" ref="J20" si="15">E20/E19</f>
        <v>1.5711689081337292</v>
      </c>
      <c r="K20" s="189">
        <f t="shared" ref="K20" si="16">F20/F19</f>
        <v>0.57977271728408197</v>
      </c>
    </row>
    <row r="21" spans="1:11" ht="14.7" thickBot="1" x14ac:dyDescent="0.6">
      <c r="A21" s="15"/>
      <c r="B21" s="64" t="s">
        <v>79</v>
      </c>
      <c r="C21">
        <v>0.328414505877</v>
      </c>
      <c r="D21">
        <v>0.28124352534499997</v>
      </c>
      <c r="E21">
        <v>0.33200179759999998</v>
      </c>
      <c r="F21">
        <v>0.28768022378899999</v>
      </c>
      <c r="H21" s="190">
        <f>C21/C19</f>
        <v>1.0832400571460845</v>
      </c>
      <c r="I21" s="191">
        <f t="shared" ref="I21" si="17">D21/D19</f>
        <v>0.92765163235750969</v>
      </c>
      <c r="J21" s="191">
        <f t="shared" ref="J21" si="18">E21/E19</f>
        <v>1.0950723545065353</v>
      </c>
      <c r="K21" s="192">
        <f t="shared" ref="K21" si="19">F21/F19</f>
        <v>0.9488823924656582</v>
      </c>
    </row>
  </sheetData>
  <mergeCells count="14">
    <mergeCell ref="A17:B18"/>
    <mergeCell ref="C17:D17"/>
    <mergeCell ref="E17:F17"/>
    <mergeCell ref="A7:B8"/>
    <mergeCell ref="C7:D7"/>
    <mergeCell ref="E7:F7"/>
    <mergeCell ref="A12:B13"/>
    <mergeCell ref="C12:D12"/>
    <mergeCell ref="E12:F12"/>
    <mergeCell ref="H2:I2"/>
    <mergeCell ref="J2:K2"/>
    <mergeCell ref="A2:B3"/>
    <mergeCell ref="C2:D2"/>
    <mergeCell ref="E2:F2"/>
  </mergeCells>
  <conditionalFormatting sqref="C4:F6">
    <cfRule type="colorScale" priority="8">
      <colorScale>
        <cfvo type="min"/>
        <cfvo type="percentile" val="50"/>
        <cfvo type="max"/>
        <color rgb="FF63BE7B"/>
        <color rgb="FFFFEB84"/>
        <color rgb="FFF8696B"/>
      </colorScale>
    </cfRule>
  </conditionalFormatting>
  <conditionalFormatting sqref="C9:F11">
    <cfRule type="colorScale" priority="7">
      <colorScale>
        <cfvo type="min"/>
        <cfvo type="percentile" val="50"/>
        <cfvo type="max"/>
        <color rgb="FFF8696B"/>
        <color rgb="FFFFEB84"/>
        <color rgb="FF63BE7B"/>
      </colorScale>
    </cfRule>
  </conditionalFormatting>
  <conditionalFormatting sqref="C14:F16">
    <cfRule type="colorScale" priority="6">
      <colorScale>
        <cfvo type="min"/>
        <cfvo type="percentile" val="50"/>
        <cfvo type="max"/>
        <color rgb="FFF8696B"/>
        <color rgb="FFFFEB84"/>
        <color rgb="FF63BE7B"/>
      </colorScale>
    </cfRule>
  </conditionalFormatting>
  <conditionalFormatting sqref="C19:F21">
    <cfRule type="colorScale" priority="1">
      <colorScale>
        <cfvo type="min"/>
        <cfvo type="percentile" val="50"/>
        <cfvo type="max"/>
        <color rgb="FFF8696B"/>
        <color rgb="FFFFEB84"/>
        <color rgb="FF63BE7B"/>
      </colorScale>
    </cfRule>
  </conditionalFormatting>
  <pageMargins left="0.7" right="0.7" top="0.75" bottom="0.75" header="0.3" footer="0.3"/>
  <pageSetup paperSize="9" orientation="portrait" horizontalDpi="4294967293"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29F48F-7617-466B-BD1A-549CE3660CBC}">
  <sheetPr>
    <tabColor theme="7" tint="0.39997558519241921"/>
  </sheetPr>
  <dimension ref="A1:Q33"/>
  <sheetViews>
    <sheetView topLeftCell="A2" zoomScale="87" zoomScaleNormal="100" workbookViewId="0">
      <selection activeCell="E3" sqref="E3"/>
    </sheetView>
  </sheetViews>
  <sheetFormatPr defaultRowHeight="14.4" x14ac:dyDescent="0.55000000000000004"/>
  <cols>
    <col min="1" max="1" width="15.68359375" customWidth="1"/>
    <col min="6" max="6" width="19.83984375" customWidth="1"/>
  </cols>
  <sheetData>
    <row r="1" spans="1:17" ht="43.2" x14ac:dyDescent="0.55000000000000004">
      <c r="A1" s="352" t="s">
        <v>266</v>
      </c>
      <c r="B1" s="352" t="s">
        <v>267</v>
      </c>
      <c r="C1" s="170" t="s">
        <v>268</v>
      </c>
      <c r="D1" s="166" t="s">
        <v>269</v>
      </c>
      <c r="E1" s="167" t="s">
        <v>270</v>
      </c>
      <c r="G1" s="350" t="s">
        <v>276</v>
      </c>
      <c r="H1" s="352"/>
      <c r="I1" s="357"/>
      <c r="J1" s="358" t="s">
        <v>277</v>
      </c>
      <c r="K1" s="359"/>
      <c r="M1" s="350" t="s">
        <v>287</v>
      </c>
      <c r="N1" s="352"/>
      <c r="O1" s="357"/>
      <c r="P1" s="358" t="s">
        <v>288</v>
      </c>
      <c r="Q1" s="359"/>
    </row>
    <row r="2" spans="1:17" ht="29.1" thickBot="1" x14ac:dyDescent="0.6">
      <c r="A2" s="353"/>
      <c r="B2" s="353"/>
      <c r="C2" s="171" t="s">
        <v>271</v>
      </c>
      <c r="D2" s="168" t="s">
        <v>272</v>
      </c>
      <c r="E2" s="169" t="s">
        <v>273</v>
      </c>
      <c r="G2" s="179" t="s">
        <v>3</v>
      </c>
      <c r="H2" s="178" t="s">
        <v>4</v>
      </c>
      <c r="I2" s="180" t="s">
        <v>5</v>
      </c>
      <c r="J2" s="179" t="s">
        <v>69</v>
      </c>
      <c r="K2" s="180" t="s">
        <v>72</v>
      </c>
      <c r="M2" s="179" t="s">
        <v>3</v>
      </c>
      <c r="N2" s="178" t="s">
        <v>4</v>
      </c>
      <c r="O2" s="180" t="s">
        <v>5</v>
      </c>
      <c r="P2" s="179" t="s">
        <v>69</v>
      </c>
      <c r="Q2" s="180" t="s">
        <v>72</v>
      </c>
    </row>
    <row r="3" spans="1:17" ht="16.149999999999999" customHeight="1" x14ac:dyDescent="0.55000000000000004">
      <c r="A3" s="354" t="s">
        <v>3</v>
      </c>
      <c r="B3" s="45" t="s">
        <v>69</v>
      </c>
      <c r="C3" s="68">
        <v>347.52972113300103</v>
      </c>
      <c r="D3" s="68">
        <v>112.88049260648557</v>
      </c>
      <c r="E3" s="41">
        <f>'S2.4.11. Primary_material'!L50</f>
        <v>4322.0382255269105</v>
      </c>
      <c r="F3" s="360" t="str">
        <f>C1</f>
        <v>Primary material inflow</v>
      </c>
      <c r="G3" s="183">
        <f>C3</f>
        <v>347.52972113300103</v>
      </c>
      <c r="H3" s="184">
        <f>C5</f>
        <v>161.76943005278645</v>
      </c>
      <c r="I3" s="185">
        <f>C7</f>
        <v>167.89668964472196</v>
      </c>
      <c r="J3" s="183">
        <f>C3</f>
        <v>347.52972113300103</v>
      </c>
      <c r="K3" s="185">
        <f>C4</f>
        <v>461.99290904493989</v>
      </c>
      <c r="M3" s="183">
        <f>AVERAGE(C3:C4)</f>
        <v>404.76131508897049</v>
      </c>
      <c r="N3" s="183">
        <f>AVERAGE(C5:C6)</f>
        <v>202.25880330450673</v>
      </c>
      <c r="O3" s="183">
        <f>AVERAGE(C7:C8)</f>
        <v>224.7733451477101</v>
      </c>
      <c r="P3" s="183">
        <f>AVERAGE(C3,C5,C7)</f>
        <v>225.73194694350317</v>
      </c>
      <c r="Q3" s="183">
        <f>AVERAGE(C4,C6,C8)</f>
        <v>328.79702875062168</v>
      </c>
    </row>
    <row r="4" spans="1:17" ht="14.7" thickBot="1" x14ac:dyDescent="0.6">
      <c r="A4" s="355"/>
      <c r="B4" s="46" t="s">
        <v>72</v>
      </c>
      <c r="C4" s="68">
        <v>461.99290904493989</v>
      </c>
      <c r="D4" s="68">
        <v>126.38749918263704</v>
      </c>
      <c r="E4" s="41">
        <f>'S2.4.11. Primary_material'!L51</f>
        <v>6094.1526968014541</v>
      </c>
      <c r="F4" s="361"/>
      <c r="G4" s="190">
        <f>G3/G3</f>
        <v>1</v>
      </c>
      <c r="H4" s="191">
        <f>H3/G3</f>
        <v>0.46548372762304446</v>
      </c>
      <c r="I4" s="192">
        <f>I3/G3</f>
        <v>0.48311462138361172</v>
      </c>
      <c r="J4" s="190">
        <f>J3/J3</f>
        <v>1</v>
      </c>
      <c r="K4" s="192">
        <f>K3/J3</f>
        <v>1.3293622989676135</v>
      </c>
      <c r="M4" s="181">
        <f>M3/M3</f>
        <v>1</v>
      </c>
      <c r="N4" s="182">
        <f>N3/$M3</f>
        <v>0.49969894790970393</v>
      </c>
      <c r="O4" s="182">
        <f t="shared" ref="O4:Q4" si="0">O3/$M3</f>
        <v>0.55532319114612705</v>
      </c>
      <c r="P4" s="182">
        <f t="shared" si="0"/>
        <v>0.5576915049153971</v>
      </c>
      <c r="Q4" s="182">
        <f t="shared" si="0"/>
        <v>0.81232325445515685</v>
      </c>
    </row>
    <row r="5" spans="1:17" x14ac:dyDescent="0.55000000000000004">
      <c r="A5" s="356" t="s">
        <v>4</v>
      </c>
      <c r="B5" s="44" t="s">
        <v>69</v>
      </c>
      <c r="C5" s="68">
        <v>161.76943005278645</v>
      </c>
      <c r="D5" s="68">
        <v>68.125822329754811</v>
      </c>
      <c r="E5" s="41">
        <f>'S2.4.11. Primary_material'!L52</f>
        <v>14918.368988263466</v>
      </c>
      <c r="F5" s="362" t="str">
        <f>D1</f>
        <v>GWP</v>
      </c>
      <c r="G5" s="184">
        <f>D3</f>
        <v>112.88049260648557</v>
      </c>
      <c r="H5" s="184">
        <f>D5</f>
        <v>68.125822329754811</v>
      </c>
      <c r="I5" s="184">
        <f>D7</f>
        <v>70.50931686512061</v>
      </c>
      <c r="J5" s="184">
        <f>D3</f>
        <v>112.88049260648557</v>
      </c>
      <c r="K5" s="185">
        <f>D4</f>
        <v>126.38749918263704</v>
      </c>
      <c r="M5" s="184">
        <f>AVERAGE(D3:D4)</f>
        <v>119.63399589456131</v>
      </c>
      <c r="N5" s="184">
        <f>AVERAGE(D5:D6)</f>
        <v>73.881531177194319</v>
      </c>
      <c r="O5" s="184">
        <f>AVERAGE(D7:D8)</f>
        <v>75.730292239668444</v>
      </c>
      <c r="P5" s="184">
        <f>AVERAGE(D3,D5,D7)</f>
        <v>83.838543933786994</v>
      </c>
      <c r="Q5" s="184">
        <f>AVERAGE(D4,D6,D8)</f>
        <v>95.658668940495716</v>
      </c>
    </row>
    <row r="6" spans="1:17" ht="14.7" thickBot="1" x14ac:dyDescent="0.6">
      <c r="A6" s="355"/>
      <c r="B6" s="46" t="s">
        <v>72</v>
      </c>
      <c r="C6" s="68">
        <v>242.74817655622698</v>
      </c>
      <c r="D6" s="68">
        <v>79.637240024633826</v>
      </c>
      <c r="E6" s="41">
        <f>'S2.4.11. Primary_material'!L53</f>
        <v>16373.947575011443</v>
      </c>
      <c r="F6" s="363"/>
      <c r="G6" s="190">
        <f>G5/G5</f>
        <v>1</v>
      </c>
      <c r="H6" s="191">
        <f>H5/G5</f>
        <v>0.60352166044534628</v>
      </c>
      <c r="I6" s="192">
        <f>I5/G5</f>
        <v>0.62463686361579074</v>
      </c>
      <c r="J6" s="190">
        <f>J5/J5</f>
        <v>1</v>
      </c>
      <c r="K6" s="192">
        <f>K5/J5</f>
        <v>1.1196575800146307</v>
      </c>
      <c r="M6" s="181">
        <f>M5/M5</f>
        <v>1</v>
      </c>
      <c r="N6" s="182">
        <f>N5/$M5</f>
        <v>0.6175630147998179</v>
      </c>
      <c r="O6" s="182">
        <f t="shared" ref="O6:Q6" si="1">O5/$M5</f>
        <v>0.63301649061703891</v>
      </c>
      <c r="P6" s="182">
        <f t="shared" si="1"/>
        <v>0.70079197227247669</v>
      </c>
      <c r="Q6" s="182">
        <f t="shared" si="1"/>
        <v>0.79959436467209455</v>
      </c>
    </row>
    <row r="7" spans="1:17" x14ac:dyDescent="0.55000000000000004">
      <c r="A7" s="354" t="s">
        <v>5</v>
      </c>
      <c r="B7" s="45" t="s">
        <v>69</v>
      </c>
      <c r="C7" s="68">
        <v>167.89668964472196</v>
      </c>
      <c r="D7" s="68">
        <v>70.50931686512061</v>
      </c>
      <c r="E7" s="41">
        <f>'S2.4.11. Primary_material'!L54</f>
        <v>6037.5609292491226</v>
      </c>
      <c r="F7" s="362" t="str">
        <f>E1</f>
        <v>Land use</v>
      </c>
      <c r="G7" s="39">
        <f>E3</f>
        <v>4322.0382255269105</v>
      </c>
      <c r="H7" s="39">
        <f>E5</f>
        <v>14918.368988263466</v>
      </c>
      <c r="I7" s="39">
        <f>E7</f>
        <v>6037.5609292491226</v>
      </c>
      <c r="J7" s="39">
        <f>E3</f>
        <v>4322.0382255269105</v>
      </c>
      <c r="K7" s="40">
        <f>E4</f>
        <v>6094.1526968014541</v>
      </c>
      <c r="M7" s="39">
        <f>AVERAGE(E3:E4)</f>
        <v>5208.0954611641828</v>
      </c>
      <c r="N7" s="39">
        <f>AVERAGE(E5:E6)</f>
        <v>15646.158281637454</v>
      </c>
      <c r="O7" s="39">
        <f>AVERAGE(E7:E8)</f>
        <v>6621.2018749164999</v>
      </c>
      <c r="P7" s="39">
        <f>AVERAGE(E3,E5,E7)</f>
        <v>8425.9893810131671</v>
      </c>
      <c r="Q7" s="39">
        <f>AVERAGE(E4,E6,E8)</f>
        <v>9890.9810307989246</v>
      </c>
    </row>
    <row r="8" spans="1:17" ht="14.7" thickBot="1" x14ac:dyDescent="0.6">
      <c r="A8" s="355"/>
      <c r="B8" s="46" t="s">
        <v>72</v>
      </c>
      <c r="C8" s="68">
        <v>281.65000065069825</v>
      </c>
      <c r="D8" s="68">
        <v>80.951267614216263</v>
      </c>
      <c r="E8" s="41">
        <f>'S2.4.11. Primary_material'!L55</f>
        <v>7204.8428205838773</v>
      </c>
      <c r="F8" s="363"/>
      <c r="G8" s="190">
        <f>G7/G7</f>
        <v>1</v>
      </c>
      <c r="H8" s="191">
        <f>H7/G7</f>
        <v>3.4516976041887575</v>
      </c>
      <c r="I8" s="192">
        <f>I7/G7</f>
        <v>1.3969244634603084</v>
      </c>
      <c r="J8" s="190">
        <f>J7/J7</f>
        <v>1</v>
      </c>
      <c r="K8" s="192">
        <f>K7/J7</f>
        <v>1.4100182318629311</v>
      </c>
      <c r="M8" s="181">
        <f>M7/M7</f>
        <v>1</v>
      </c>
      <c r="N8" s="182">
        <f>N7/$M7</f>
        <v>3.004199596245499</v>
      </c>
      <c r="O8" s="182">
        <f t="shared" ref="O8:Q8" si="2">O7/$M7</f>
        <v>1.2713288234229947</v>
      </c>
      <c r="P8" s="182">
        <f t="shared" si="2"/>
        <v>1.6178638513530008</v>
      </c>
      <c r="Q8" s="182">
        <f t="shared" si="2"/>
        <v>1.8991550950926619</v>
      </c>
    </row>
    <row r="10" spans="1:17" x14ac:dyDescent="0.55000000000000004">
      <c r="C10" s="68"/>
    </row>
    <row r="11" spans="1:17" ht="14.7" thickBot="1" x14ac:dyDescent="0.6"/>
    <row r="12" spans="1:17" x14ac:dyDescent="0.55000000000000004">
      <c r="N12" s="350" t="s">
        <v>266</v>
      </c>
      <c r="O12" s="352" t="s">
        <v>267</v>
      </c>
      <c r="P12" s="310" t="s">
        <v>291</v>
      </c>
      <c r="Q12" s="44"/>
    </row>
    <row r="13" spans="1:17" ht="14.7" thickBot="1" x14ac:dyDescent="0.6">
      <c r="N13" s="351"/>
      <c r="O13" s="353"/>
      <c r="P13" t="s">
        <v>271</v>
      </c>
      <c r="Q13" s="45" t="s">
        <v>290</v>
      </c>
    </row>
    <row r="14" spans="1:17" x14ac:dyDescent="0.55000000000000004">
      <c r="N14" s="354" t="s">
        <v>3</v>
      </c>
      <c r="O14" s="45" t="s">
        <v>69</v>
      </c>
      <c r="P14">
        <v>2954.6923490675881</v>
      </c>
      <c r="Q14" s="311">
        <f>C3/P14</f>
        <v>0.11761959624753181</v>
      </c>
    </row>
    <row r="15" spans="1:17" ht="14.7" thickBot="1" x14ac:dyDescent="0.6">
      <c r="N15" s="355"/>
      <c r="O15" s="46" t="s">
        <v>72</v>
      </c>
      <c r="P15">
        <v>3142.1804442311759</v>
      </c>
      <c r="Q15" s="311">
        <f t="shared" ref="Q15:Q19" si="3">C4/P15</f>
        <v>0.14702940115776184</v>
      </c>
    </row>
    <row r="16" spans="1:17" x14ac:dyDescent="0.55000000000000004">
      <c r="N16" s="356" t="s">
        <v>4</v>
      </c>
      <c r="O16" s="44" t="s">
        <v>69</v>
      </c>
      <c r="P16">
        <v>2707.4767925473125</v>
      </c>
      <c r="Q16" s="311">
        <f t="shared" si="3"/>
        <v>5.974914743427466E-2</v>
      </c>
    </row>
    <row r="17" spans="14:17" ht="14.7" thickBot="1" x14ac:dyDescent="0.6">
      <c r="N17" s="355"/>
      <c r="O17" s="46" t="s">
        <v>72</v>
      </c>
      <c r="P17">
        <v>2914.8146367043419</v>
      </c>
      <c r="Q17" s="311">
        <f t="shared" si="3"/>
        <v>8.3280828049735647E-2</v>
      </c>
    </row>
    <row r="18" spans="14:17" x14ac:dyDescent="0.55000000000000004">
      <c r="N18" s="354" t="s">
        <v>5</v>
      </c>
      <c r="O18" s="45" t="s">
        <v>69</v>
      </c>
      <c r="P18">
        <v>2733.5113615196374</v>
      </c>
      <c r="Q18" s="311">
        <f t="shared" si="3"/>
        <v>6.1421617633732231E-2</v>
      </c>
    </row>
    <row r="19" spans="14:17" ht="14.7" thickBot="1" x14ac:dyDescent="0.6">
      <c r="N19" s="355"/>
      <c r="O19" s="46" t="s">
        <v>72</v>
      </c>
      <c r="P19" s="162">
        <v>2953.5010082043741</v>
      </c>
      <c r="Q19" s="312">
        <f t="shared" si="3"/>
        <v>9.536140325272198E-2</v>
      </c>
    </row>
    <row r="33" spans="7:7" x14ac:dyDescent="0.55000000000000004">
      <c r="G33" s="262"/>
    </row>
  </sheetData>
  <mergeCells count="17">
    <mergeCell ref="A5:A6"/>
    <mergeCell ref="A7:A8"/>
    <mergeCell ref="J1:K1"/>
    <mergeCell ref="G1:I1"/>
    <mergeCell ref="F3:F4"/>
    <mergeCell ref="F5:F6"/>
    <mergeCell ref="F7:F8"/>
    <mergeCell ref="M1:O1"/>
    <mergeCell ref="P1:Q1"/>
    <mergeCell ref="A1:A2"/>
    <mergeCell ref="B1:B2"/>
    <mergeCell ref="A3:A4"/>
    <mergeCell ref="N12:N13"/>
    <mergeCell ref="O12:O13"/>
    <mergeCell ref="N14:N15"/>
    <mergeCell ref="N16:N17"/>
    <mergeCell ref="N18:N19"/>
  </mergeCells>
  <conditionalFormatting sqref="C3:C8">
    <cfRule type="colorScale" priority="9">
      <colorScale>
        <cfvo type="min"/>
        <cfvo type="percentile" val="50"/>
        <cfvo type="max"/>
        <color rgb="FF63BE7B"/>
        <color rgb="FFFFEB84"/>
        <color rgb="FFF8696B"/>
      </colorScale>
    </cfRule>
  </conditionalFormatting>
  <conditionalFormatting sqref="D3:D8">
    <cfRule type="colorScale" priority="8">
      <colorScale>
        <cfvo type="min"/>
        <cfvo type="percentile" val="50"/>
        <cfvo type="max"/>
        <color rgb="FF63BE7B"/>
        <color rgb="FFFFEB84"/>
        <color rgb="FFF8696B"/>
      </colorScale>
    </cfRule>
  </conditionalFormatting>
  <conditionalFormatting sqref="E3:E8">
    <cfRule type="colorScale" priority="7">
      <colorScale>
        <cfvo type="min"/>
        <cfvo type="percentile" val="50"/>
        <cfvo type="max"/>
        <color rgb="FF63BE7B"/>
        <color rgb="FFFFEB84"/>
        <color rgb="FFF8696B"/>
      </colorScale>
    </cfRule>
  </conditionalFormatting>
  <conditionalFormatting sqref="G4:K4">
    <cfRule type="colorScale" priority="3">
      <colorScale>
        <cfvo type="min"/>
        <cfvo type="percentile" val="50"/>
        <cfvo type="max"/>
        <color rgb="FF63BE7B"/>
        <color rgb="FFFFEB84"/>
        <color rgb="FFF8696B"/>
      </colorScale>
    </cfRule>
  </conditionalFormatting>
  <conditionalFormatting sqref="G6:K6">
    <cfRule type="colorScale" priority="2">
      <colorScale>
        <cfvo type="min"/>
        <cfvo type="percentile" val="50"/>
        <cfvo type="max"/>
        <color rgb="FF63BE7B"/>
        <color rgb="FFFFEB84"/>
        <color rgb="FFF8696B"/>
      </colorScale>
    </cfRule>
  </conditionalFormatting>
  <conditionalFormatting sqref="G8:K8">
    <cfRule type="colorScale" priority="1">
      <colorScale>
        <cfvo type="min"/>
        <cfvo type="percentile" val="50"/>
        <cfvo type="max"/>
        <color rgb="FF63BE7B"/>
        <color rgb="FFFFEB84"/>
        <color rgb="FFF8696B"/>
      </colorScale>
    </cfRule>
  </conditionalFormatting>
  <conditionalFormatting sqref="M4:Q4">
    <cfRule type="colorScale" priority="6">
      <colorScale>
        <cfvo type="min"/>
        <cfvo type="percentile" val="50"/>
        <cfvo type="max"/>
        <color rgb="FF63BE7B"/>
        <color rgb="FFFFEB84"/>
        <color rgb="FFF8696B"/>
      </colorScale>
    </cfRule>
  </conditionalFormatting>
  <conditionalFormatting sqref="M6:Q6">
    <cfRule type="colorScale" priority="5">
      <colorScale>
        <cfvo type="min"/>
        <cfvo type="percentile" val="50"/>
        <cfvo type="max"/>
        <color rgb="FF63BE7B"/>
        <color rgb="FFFFEB84"/>
        <color rgb="FFF8696B"/>
      </colorScale>
    </cfRule>
  </conditionalFormatting>
  <conditionalFormatting sqref="M8:Q8">
    <cfRule type="colorScale" priority="4">
      <colorScale>
        <cfvo type="min"/>
        <cfvo type="percentile" val="50"/>
        <cfvo type="max"/>
        <color rgb="FF63BE7B"/>
        <color rgb="FFFFEB84"/>
        <color rgb="FFF8696B"/>
      </colorScale>
    </cfRule>
  </conditionalFormatting>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E20DE9-D9E4-481A-9E2F-2D66BF04B75D}">
  <sheetPr>
    <tabColor theme="9" tint="0.39997558519241921"/>
  </sheetPr>
  <dimension ref="A1:C23"/>
  <sheetViews>
    <sheetView workbookViewId="0">
      <selection activeCell="C17" sqref="C17"/>
    </sheetView>
  </sheetViews>
  <sheetFormatPr defaultRowHeight="14.4" x14ac:dyDescent="0.55000000000000004"/>
  <cols>
    <col min="2" max="2" width="18.41796875" customWidth="1"/>
    <col min="3" max="3" width="60.26171875" customWidth="1"/>
  </cols>
  <sheetData>
    <row r="1" spans="1:3" x14ac:dyDescent="0.55000000000000004">
      <c r="A1" s="47" t="s">
        <v>165</v>
      </c>
      <c r="B1" s="47" t="s">
        <v>166</v>
      </c>
      <c r="C1" s="47" t="s">
        <v>66</v>
      </c>
    </row>
    <row r="2" spans="1:3" x14ac:dyDescent="0.55000000000000004">
      <c r="A2" s="79">
        <v>1</v>
      </c>
      <c r="B2" s="79" t="s">
        <v>25</v>
      </c>
      <c r="C2" s="85"/>
    </row>
    <row r="3" spans="1:3" x14ac:dyDescent="0.55000000000000004">
      <c r="A3" s="79">
        <v>2</v>
      </c>
      <c r="B3" s="79" t="s">
        <v>26</v>
      </c>
      <c r="C3" s="15" t="s">
        <v>27</v>
      </c>
    </row>
    <row r="4" spans="1:3" x14ac:dyDescent="0.55000000000000004">
      <c r="A4" s="79">
        <v>3</v>
      </c>
      <c r="B4" s="79" t="s">
        <v>28</v>
      </c>
      <c r="C4" s="15" t="s">
        <v>29</v>
      </c>
    </row>
    <row r="5" spans="1:3" x14ac:dyDescent="0.55000000000000004">
      <c r="A5" s="79">
        <v>4</v>
      </c>
      <c r="B5" s="79" t="s">
        <v>30</v>
      </c>
      <c r="C5" s="15" t="s">
        <v>31</v>
      </c>
    </row>
    <row r="6" spans="1:3" x14ac:dyDescent="0.55000000000000004">
      <c r="A6" s="79">
        <v>5</v>
      </c>
      <c r="B6" s="79" t="s">
        <v>32</v>
      </c>
      <c r="C6" s="15" t="s">
        <v>27</v>
      </c>
    </row>
    <row r="7" spans="1:3" x14ac:dyDescent="0.55000000000000004">
      <c r="A7" s="79">
        <v>6</v>
      </c>
      <c r="B7" s="79" t="s">
        <v>33</v>
      </c>
      <c r="C7" s="15" t="s">
        <v>29</v>
      </c>
    </row>
    <row r="8" spans="1:3" x14ac:dyDescent="0.55000000000000004">
      <c r="A8" s="79">
        <v>7</v>
      </c>
      <c r="B8" s="79" t="s">
        <v>34</v>
      </c>
      <c r="C8" s="15" t="s">
        <v>31</v>
      </c>
    </row>
    <row r="9" spans="1:3" x14ac:dyDescent="0.55000000000000004">
      <c r="A9" s="79">
        <v>8</v>
      </c>
      <c r="B9" s="79" t="s">
        <v>35</v>
      </c>
      <c r="C9" s="15"/>
    </row>
    <row r="10" spans="1:3" x14ac:dyDescent="0.55000000000000004">
      <c r="A10" s="79">
        <v>9</v>
      </c>
      <c r="B10" s="79" t="s">
        <v>36</v>
      </c>
      <c r="C10" s="15" t="s">
        <v>37</v>
      </c>
    </row>
    <row r="11" spans="1:3" x14ac:dyDescent="0.55000000000000004">
      <c r="A11" s="79">
        <v>10</v>
      </c>
      <c r="B11" s="79" t="s">
        <v>38</v>
      </c>
      <c r="C11" s="15" t="s">
        <v>39</v>
      </c>
    </row>
    <row r="12" spans="1:3" x14ac:dyDescent="0.55000000000000004">
      <c r="A12" s="79">
        <v>11</v>
      </c>
      <c r="B12" s="79" t="s">
        <v>40</v>
      </c>
      <c r="C12" s="15" t="s">
        <v>41</v>
      </c>
    </row>
    <row r="13" spans="1:3" x14ac:dyDescent="0.55000000000000004">
      <c r="A13" s="79">
        <v>12</v>
      </c>
      <c r="B13" s="79" t="s">
        <v>42</v>
      </c>
      <c r="C13" s="15" t="s">
        <v>43</v>
      </c>
    </row>
    <row r="14" spans="1:3" x14ac:dyDescent="0.55000000000000004">
      <c r="A14" s="79">
        <v>13</v>
      </c>
      <c r="B14" s="79" t="s">
        <v>44</v>
      </c>
      <c r="C14" s="15" t="s">
        <v>45</v>
      </c>
    </row>
    <row r="15" spans="1:3" x14ac:dyDescent="0.55000000000000004">
      <c r="A15" s="79">
        <v>14</v>
      </c>
      <c r="B15" s="79" t="s">
        <v>46</v>
      </c>
      <c r="C15" s="15" t="s">
        <v>47</v>
      </c>
    </row>
    <row r="16" spans="1:3" x14ac:dyDescent="0.55000000000000004">
      <c r="A16" s="79">
        <v>15</v>
      </c>
      <c r="B16" s="79" t="s">
        <v>48</v>
      </c>
      <c r="C16" s="15" t="s">
        <v>49</v>
      </c>
    </row>
    <row r="17" spans="1:3" x14ac:dyDescent="0.55000000000000004">
      <c r="A17" s="79">
        <v>16</v>
      </c>
      <c r="B17" s="79" t="s">
        <v>50</v>
      </c>
      <c r="C17" s="15" t="s">
        <v>51</v>
      </c>
    </row>
    <row r="18" spans="1:3" x14ac:dyDescent="0.55000000000000004">
      <c r="A18" s="79">
        <v>17</v>
      </c>
      <c r="B18" s="79" t="s">
        <v>52</v>
      </c>
      <c r="C18" s="15" t="s">
        <v>53</v>
      </c>
    </row>
    <row r="19" spans="1:3" x14ac:dyDescent="0.55000000000000004">
      <c r="A19" s="79">
        <v>18</v>
      </c>
      <c r="B19" s="79" t="s">
        <v>54</v>
      </c>
      <c r="C19" s="15" t="s">
        <v>55</v>
      </c>
    </row>
    <row r="20" spans="1:3" x14ac:dyDescent="0.55000000000000004">
      <c r="A20" s="79">
        <v>19</v>
      </c>
      <c r="B20" s="79" t="s">
        <v>56</v>
      </c>
      <c r="C20" s="15" t="s">
        <v>57</v>
      </c>
    </row>
    <row r="21" spans="1:3" x14ac:dyDescent="0.55000000000000004">
      <c r="A21" s="79">
        <v>20</v>
      </c>
      <c r="B21" s="79" t="s">
        <v>58</v>
      </c>
      <c r="C21" s="15" t="s">
        <v>59</v>
      </c>
    </row>
    <row r="22" spans="1:3" x14ac:dyDescent="0.55000000000000004">
      <c r="A22" s="79">
        <v>21</v>
      </c>
      <c r="B22" s="79" t="s">
        <v>60</v>
      </c>
      <c r="C22" s="15" t="s">
        <v>61</v>
      </c>
    </row>
    <row r="23" spans="1:3" x14ac:dyDescent="0.55000000000000004">
      <c r="A23" s="79">
        <v>22</v>
      </c>
      <c r="B23" s="79" t="s">
        <v>62</v>
      </c>
      <c r="C23" s="15"/>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89030E-41C2-4BB7-9807-B922E77BE2DB}">
  <sheetPr>
    <tabColor theme="9" tint="0.39997558519241921"/>
  </sheetPr>
  <dimension ref="A1:R66"/>
  <sheetViews>
    <sheetView workbookViewId="0">
      <selection activeCell="F20" sqref="F20"/>
    </sheetView>
  </sheetViews>
  <sheetFormatPr defaultColWidth="8.83984375" defaultRowHeight="11.7" x14ac:dyDescent="0.55000000000000004"/>
  <cols>
    <col min="1" max="1" width="8.83984375" style="79" bestFit="1"/>
    <col min="2" max="2" width="18" style="79" customWidth="1"/>
    <col min="3" max="6" width="8.83984375" style="79" bestFit="1"/>
    <col min="7" max="7" width="10.15625" style="79" customWidth="1"/>
    <col min="8" max="11" width="14.578125" style="79" bestFit="1" customWidth="1"/>
    <col min="12" max="12" width="8.83984375" style="79"/>
    <col min="13" max="13" width="9.15625" style="79" bestFit="1" customWidth="1"/>
    <col min="14" max="14" width="8.83984375" style="79"/>
    <col min="15" max="18" width="14.578125" style="79" bestFit="1" customWidth="1"/>
    <col min="19" max="16384" width="8.83984375" style="79"/>
  </cols>
  <sheetData>
    <row r="1" spans="1:18" ht="12" thickBot="1" x14ac:dyDescent="0.6">
      <c r="C1" s="364" t="s">
        <v>172</v>
      </c>
      <c r="D1" s="364"/>
      <c r="E1" s="364"/>
      <c r="F1" s="364"/>
      <c r="H1" s="364" t="s">
        <v>173</v>
      </c>
      <c r="I1" s="364"/>
      <c r="J1" s="364"/>
      <c r="K1" s="364"/>
      <c r="O1" s="364" t="s">
        <v>174</v>
      </c>
      <c r="P1" s="364"/>
      <c r="Q1" s="364"/>
      <c r="R1" s="364"/>
    </row>
    <row r="2" spans="1:18" ht="23.7" thickBot="1" x14ac:dyDescent="0.6">
      <c r="A2" s="47" t="s">
        <v>165</v>
      </c>
      <c r="B2" s="47" t="s">
        <v>166</v>
      </c>
      <c r="C2" s="71" t="s">
        <v>167</v>
      </c>
      <c r="D2" s="77" t="s">
        <v>168</v>
      </c>
      <c r="E2" s="77" t="s">
        <v>169</v>
      </c>
      <c r="F2" s="78" t="s">
        <v>170</v>
      </c>
      <c r="G2" s="112" t="s">
        <v>149</v>
      </c>
      <c r="H2" s="80" t="s">
        <v>167</v>
      </c>
      <c r="I2" s="81" t="s">
        <v>168</v>
      </c>
      <c r="J2" s="81" t="s">
        <v>169</v>
      </c>
      <c r="K2" s="82" t="s">
        <v>170</v>
      </c>
      <c r="M2" s="72" t="s">
        <v>171</v>
      </c>
      <c r="N2" s="112" t="s">
        <v>149</v>
      </c>
      <c r="O2" s="71" t="s">
        <v>167</v>
      </c>
      <c r="P2" s="83" t="s">
        <v>168</v>
      </c>
      <c r="Q2" s="77" t="s">
        <v>169</v>
      </c>
      <c r="R2" s="84" t="s">
        <v>170</v>
      </c>
    </row>
    <row r="3" spans="1:18" ht="12" thickBot="1" x14ac:dyDescent="0.6">
      <c r="A3" s="79">
        <v>1</v>
      </c>
      <c r="B3" s="79" t="s">
        <v>25</v>
      </c>
      <c r="C3" s="86">
        <v>98</v>
      </c>
      <c r="D3" s="87">
        <v>98</v>
      </c>
      <c r="E3" s="87">
        <v>98</v>
      </c>
      <c r="F3" s="88">
        <v>98</v>
      </c>
      <c r="G3" s="366" t="s">
        <v>338</v>
      </c>
      <c r="H3" s="89">
        <f>(1000/C3)-10</f>
        <v>0.20408163265306101</v>
      </c>
      <c r="I3" s="90">
        <f t="shared" ref="I3:K18" si="0">(1000/D3)-10</f>
        <v>0.20408163265306101</v>
      </c>
      <c r="J3" s="90">
        <f t="shared" si="0"/>
        <v>0.20408163265306101</v>
      </c>
      <c r="K3" s="91">
        <f t="shared" si="0"/>
        <v>0.20408163265306101</v>
      </c>
      <c r="M3" s="92">
        <f>100*0.0393700787</f>
        <v>3.93700787</v>
      </c>
      <c r="N3" s="365" t="s">
        <v>335</v>
      </c>
      <c r="O3" s="93">
        <f>(($M3-0.2*H3)^2/($M3+0.8*H3))/$M3</f>
        <v>0.94037597212083124</v>
      </c>
      <c r="P3" s="93">
        <f t="shared" ref="P3:R18" si="1">(($M3-0.2*I3)^2/($M3+0.8*I3))/$M3</f>
        <v>0.94037597212083124</v>
      </c>
      <c r="Q3" s="93">
        <f t="shared" si="1"/>
        <v>0.94037597212083124</v>
      </c>
      <c r="R3" s="93">
        <f t="shared" si="1"/>
        <v>0.94037597212083124</v>
      </c>
    </row>
    <row r="4" spans="1:18" ht="12" thickBot="1" x14ac:dyDescent="0.6">
      <c r="A4" s="79">
        <v>2</v>
      </c>
      <c r="B4" s="79" t="s">
        <v>26</v>
      </c>
      <c r="C4" s="94">
        <v>68</v>
      </c>
      <c r="D4" s="95">
        <v>79</v>
      </c>
      <c r="E4" s="95">
        <v>86</v>
      </c>
      <c r="F4" s="96">
        <v>89</v>
      </c>
      <c r="G4" s="365"/>
      <c r="H4" s="97">
        <f t="shared" ref="H4:K24" si="2">(1000/C4)-10</f>
        <v>4.7058823529411757</v>
      </c>
      <c r="I4" s="98">
        <f t="shared" si="0"/>
        <v>2.6582278481012658</v>
      </c>
      <c r="J4" s="98">
        <f t="shared" si="0"/>
        <v>1.6279069767441854</v>
      </c>
      <c r="K4" s="99">
        <f t="shared" si="0"/>
        <v>1.2359550561797761</v>
      </c>
      <c r="M4" s="100">
        <f t="shared" ref="M4:M24" si="3">100*0.0393700787</f>
        <v>3.93700787</v>
      </c>
      <c r="N4" s="365"/>
      <c r="O4" s="93">
        <f t="shared" ref="O4:R24" si="4">(($M4-0.2*H4)^2/($M4+0.8*H4))/$M4</f>
        <v>0.29599275461892627</v>
      </c>
      <c r="P4" s="93">
        <f t="shared" si="1"/>
        <v>0.48576981617756571</v>
      </c>
      <c r="Q4" s="93">
        <f t="shared" si="1"/>
        <v>0.63228842643654215</v>
      </c>
      <c r="R4" s="93">
        <f t="shared" si="1"/>
        <v>0.70205161137195438</v>
      </c>
    </row>
    <row r="5" spans="1:18" ht="12" thickBot="1" x14ac:dyDescent="0.6">
      <c r="A5" s="79">
        <v>3</v>
      </c>
      <c r="B5" s="79" t="s">
        <v>28</v>
      </c>
      <c r="C5" s="94">
        <v>43</v>
      </c>
      <c r="D5" s="95">
        <v>65</v>
      </c>
      <c r="E5" s="95">
        <v>76</v>
      </c>
      <c r="F5" s="96">
        <v>82</v>
      </c>
      <c r="G5" s="365"/>
      <c r="H5" s="97">
        <f t="shared" si="2"/>
        <v>13.255813953488371</v>
      </c>
      <c r="I5" s="98">
        <f t="shared" si="0"/>
        <v>5.384615384615385</v>
      </c>
      <c r="J5" s="98">
        <f t="shared" si="0"/>
        <v>3.1578947368421044</v>
      </c>
      <c r="K5" s="99">
        <f t="shared" si="0"/>
        <v>2.1951219512195124</v>
      </c>
      <c r="M5" s="100">
        <f t="shared" si="3"/>
        <v>3.93700787</v>
      </c>
      <c r="N5" s="365"/>
      <c r="O5" s="93">
        <f t="shared" si="4"/>
        <v>2.8879991048114402E-2</v>
      </c>
      <c r="P5" s="93">
        <f t="shared" si="1"/>
        <v>0.25200935793067031</v>
      </c>
      <c r="Q5" s="93">
        <f t="shared" si="1"/>
        <v>0.4293717414035978</v>
      </c>
      <c r="R5" s="93">
        <f t="shared" si="1"/>
        <v>0.54590867861333647</v>
      </c>
    </row>
    <row r="6" spans="1:18" ht="12" thickBot="1" x14ac:dyDescent="0.6">
      <c r="A6" s="79">
        <v>4</v>
      </c>
      <c r="B6" s="79" t="s">
        <v>30</v>
      </c>
      <c r="C6" s="94">
        <v>49</v>
      </c>
      <c r="D6" s="95">
        <v>69</v>
      </c>
      <c r="E6" s="95">
        <v>79</v>
      </c>
      <c r="F6" s="96">
        <v>84</v>
      </c>
      <c r="G6" s="365"/>
      <c r="H6" s="97">
        <f t="shared" si="2"/>
        <v>10.408163265306122</v>
      </c>
      <c r="I6" s="98">
        <f t="shared" si="0"/>
        <v>4.4927536231884062</v>
      </c>
      <c r="J6" s="98">
        <f t="shared" si="0"/>
        <v>2.6582278481012658</v>
      </c>
      <c r="K6" s="99">
        <f t="shared" si="0"/>
        <v>1.9047619047619051</v>
      </c>
      <c r="M6" s="100">
        <f t="shared" si="3"/>
        <v>3.93700787</v>
      </c>
      <c r="N6" s="365"/>
      <c r="O6" s="93">
        <f t="shared" si="4"/>
        <v>7.1298668801663648E-2</v>
      </c>
      <c r="P6" s="93">
        <f t="shared" si="1"/>
        <v>0.31136883800037235</v>
      </c>
      <c r="Q6" s="93">
        <f t="shared" si="1"/>
        <v>0.48576981617756571</v>
      </c>
      <c r="R6" s="93">
        <f t="shared" si="1"/>
        <v>0.58818388429880675</v>
      </c>
    </row>
    <row r="7" spans="1:18" ht="12" thickBot="1" x14ac:dyDescent="0.6">
      <c r="A7" s="79">
        <v>5</v>
      </c>
      <c r="B7" s="79" t="s">
        <v>32</v>
      </c>
      <c r="C7" s="94">
        <f>(98+68)/2</f>
        <v>83</v>
      </c>
      <c r="D7" s="95">
        <f>(98+79)/2</f>
        <v>88.5</v>
      </c>
      <c r="E7" s="95">
        <f>(98+86)/2</f>
        <v>92</v>
      </c>
      <c r="F7" s="96">
        <f>(89+98)/2</f>
        <v>93.5</v>
      </c>
      <c r="G7" s="365"/>
      <c r="H7" s="97">
        <f t="shared" si="2"/>
        <v>2.0481927710843379</v>
      </c>
      <c r="I7" s="98">
        <f t="shared" si="0"/>
        <v>1.2994350282485883</v>
      </c>
      <c r="J7" s="98">
        <f t="shared" si="0"/>
        <v>0.86956521739130466</v>
      </c>
      <c r="K7" s="99">
        <f t="shared" si="0"/>
        <v>0.69518716577540118</v>
      </c>
      <c r="M7" s="100">
        <f t="shared" si="3"/>
        <v>3.93700787</v>
      </c>
      <c r="N7" s="365"/>
      <c r="O7" s="93">
        <f t="shared" si="4"/>
        <v>0.56682229766738224</v>
      </c>
      <c r="P7" s="93">
        <f t="shared" si="1"/>
        <v>0.69011368741480439</v>
      </c>
      <c r="Q7" s="93">
        <f t="shared" si="1"/>
        <v>0.77641445057835634</v>
      </c>
      <c r="R7" s="93">
        <f t="shared" si="1"/>
        <v>0.81542725746900768</v>
      </c>
    </row>
    <row r="8" spans="1:18" ht="12" thickBot="1" x14ac:dyDescent="0.6">
      <c r="A8" s="79">
        <v>6</v>
      </c>
      <c r="B8" s="79" t="s">
        <v>33</v>
      </c>
      <c r="C8" s="94">
        <f>(C7+C11)/2</f>
        <v>57.5</v>
      </c>
      <c r="D8" s="95">
        <f t="shared" ref="D8:F8" si="5">(D7+D11)/2</f>
        <v>73.25</v>
      </c>
      <c r="E8" s="95">
        <f t="shared" si="5"/>
        <v>82</v>
      </c>
      <c r="F8" s="96">
        <f t="shared" si="5"/>
        <v>86.25</v>
      </c>
      <c r="G8" s="365"/>
      <c r="H8" s="97">
        <f t="shared" si="2"/>
        <v>7.391304347826086</v>
      </c>
      <c r="I8" s="98">
        <f t="shared" si="0"/>
        <v>3.6518771331058026</v>
      </c>
      <c r="J8" s="98">
        <f t="shared" si="0"/>
        <v>2.1951219512195124</v>
      </c>
      <c r="K8" s="99">
        <f t="shared" si="0"/>
        <v>1.5942028985507246</v>
      </c>
      <c r="M8" s="100">
        <f t="shared" si="3"/>
        <v>3.93700787</v>
      </c>
      <c r="N8" s="365"/>
      <c r="O8" s="93">
        <f t="shared" si="4"/>
        <v>0.15589166975487048</v>
      </c>
      <c r="P8" s="93">
        <f t="shared" si="1"/>
        <v>0.38080472831282502</v>
      </c>
      <c r="Q8" s="93">
        <f t="shared" si="1"/>
        <v>0.54590867861333647</v>
      </c>
      <c r="R8" s="93">
        <f t="shared" si="1"/>
        <v>0.63793400242438192</v>
      </c>
    </row>
    <row r="9" spans="1:18" ht="12" thickBot="1" x14ac:dyDescent="0.6">
      <c r="A9" s="79">
        <v>7</v>
      </c>
      <c r="B9" s="79" t="s">
        <v>34</v>
      </c>
      <c r="C9" s="94">
        <f>(C7+C15)/2</f>
        <v>61</v>
      </c>
      <c r="D9" s="95">
        <f t="shared" ref="D9:F9" si="6">(D7+D15)/2</f>
        <v>74.75</v>
      </c>
      <c r="E9" s="95">
        <f t="shared" si="6"/>
        <v>83</v>
      </c>
      <c r="F9" s="96">
        <f t="shared" si="6"/>
        <v>86.75</v>
      </c>
      <c r="G9" s="365"/>
      <c r="H9" s="97">
        <f t="shared" si="2"/>
        <v>6.3934426229508183</v>
      </c>
      <c r="I9" s="98">
        <f t="shared" si="0"/>
        <v>3.3779264214046822</v>
      </c>
      <c r="J9" s="98">
        <f t="shared" si="0"/>
        <v>2.0481927710843379</v>
      </c>
      <c r="K9" s="99">
        <f t="shared" si="0"/>
        <v>1.5273775216138326</v>
      </c>
      <c r="M9" s="100">
        <f t="shared" si="3"/>
        <v>3.93700787</v>
      </c>
      <c r="N9" s="365"/>
      <c r="O9" s="93">
        <f t="shared" si="4"/>
        <v>0.19829643008936448</v>
      </c>
      <c r="P9" s="93">
        <f t="shared" si="1"/>
        <v>0.40693249137032528</v>
      </c>
      <c r="Q9" s="93">
        <f t="shared" si="1"/>
        <v>0.56682229766738224</v>
      </c>
      <c r="R9" s="93">
        <f t="shared" si="1"/>
        <v>0.64931526555659069</v>
      </c>
    </row>
    <row r="10" spans="1:18" ht="12" thickBot="1" x14ac:dyDescent="0.6">
      <c r="A10" s="79">
        <v>8</v>
      </c>
      <c r="B10" s="79" t="s">
        <v>35</v>
      </c>
      <c r="C10" s="94">
        <v>39</v>
      </c>
      <c r="D10" s="95">
        <v>61</v>
      </c>
      <c r="E10" s="95">
        <v>74</v>
      </c>
      <c r="F10" s="96">
        <v>80</v>
      </c>
      <c r="G10" s="365"/>
      <c r="H10" s="97">
        <f t="shared" si="2"/>
        <v>15.641025641025642</v>
      </c>
      <c r="I10" s="98">
        <f t="shared" si="0"/>
        <v>6.3934426229508183</v>
      </c>
      <c r="J10" s="98">
        <f t="shared" si="0"/>
        <v>3.513513513513514</v>
      </c>
      <c r="K10" s="99">
        <f t="shared" si="0"/>
        <v>2.5</v>
      </c>
      <c r="M10" s="100">
        <f t="shared" si="3"/>
        <v>3.93700787</v>
      </c>
      <c r="N10" s="365"/>
      <c r="O10" s="93">
        <f t="shared" si="4"/>
        <v>1.0100841941139792E-2</v>
      </c>
      <c r="P10" s="93">
        <f t="shared" si="1"/>
        <v>0.19829643008936448</v>
      </c>
      <c r="Q10" s="93">
        <f t="shared" si="1"/>
        <v>0.39376063982401244</v>
      </c>
      <c r="R10" s="93">
        <f t="shared" si="1"/>
        <v>0.50539058323073605</v>
      </c>
    </row>
    <row r="11" spans="1:18" ht="12" thickBot="1" x14ac:dyDescent="0.6">
      <c r="A11" s="79">
        <v>9</v>
      </c>
      <c r="B11" s="79" t="s">
        <v>36</v>
      </c>
      <c r="C11" s="94">
        <v>32</v>
      </c>
      <c r="D11" s="95">
        <v>58</v>
      </c>
      <c r="E11" s="95">
        <v>72</v>
      </c>
      <c r="F11" s="96">
        <v>79</v>
      </c>
      <c r="G11" s="365"/>
      <c r="H11" s="97">
        <f t="shared" si="2"/>
        <v>21.25</v>
      </c>
      <c r="I11" s="98">
        <f t="shared" si="0"/>
        <v>7.2413793103448292</v>
      </c>
      <c r="J11" s="98">
        <f t="shared" si="0"/>
        <v>3.8888888888888893</v>
      </c>
      <c r="K11" s="99">
        <f t="shared" si="0"/>
        <v>2.6582278481012658</v>
      </c>
      <c r="M11" s="100">
        <f t="shared" si="3"/>
        <v>3.93700787</v>
      </c>
      <c r="N11" s="365"/>
      <c r="O11" s="93">
        <f t="shared" si="4"/>
        <v>1.1884637400975727E-3</v>
      </c>
      <c r="P11" s="93">
        <f t="shared" si="1"/>
        <v>0.16168590985223857</v>
      </c>
      <c r="Q11" s="93">
        <f t="shared" si="1"/>
        <v>0.35968556183329004</v>
      </c>
      <c r="R11" s="93">
        <f t="shared" si="1"/>
        <v>0.48576981617756571</v>
      </c>
    </row>
    <row r="12" spans="1:18" ht="12" thickBot="1" x14ac:dyDescent="0.6">
      <c r="A12" s="79">
        <v>10</v>
      </c>
      <c r="B12" s="79" t="s">
        <v>38</v>
      </c>
      <c r="C12" s="94">
        <v>43</v>
      </c>
      <c r="D12" s="95">
        <v>65</v>
      </c>
      <c r="E12" s="95">
        <v>76</v>
      </c>
      <c r="F12" s="96">
        <v>82</v>
      </c>
      <c r="G12" s="365"/>
      <c r="H12" s="97">
        <f>(1000/C12)-10</f>
        <v>13.255813953488371</v>
      </c>
      <c r="I12" s="98">
        <f t="shared" si="0"/>
        <v>5.384615384615385</v>
      </c>
      <c r="J12" s="98">
        <f t="shared" si="0"/>
        <v>3.1578947368421044</v>
      </c>
      <c r="K12" s="99">
        <f t="shared" si="0"/>
        <v>2.1951219512195124</v>
      </c>
      <c r="M12" s="100">
        <f t="shared" si="3"/>
        <v>3.93700787</v>
      </c>
      <c r="N12" s="365"/>
      <c r="O12" s="93">
        <f t="shared" si="4"/>
        <v>2.8879991048114402E-2</v>
      </c>
      <c r="P12" s="93">
        <f t="shared" si="1"/>
        <v>0.25200935793067031</v>
      </c>
      <c r="Q12" s="93">
        <f t="shared" si="1"/>
        <v>0.4293717414035978</v>
      </c>
      <c r="R12" s="93">
        <f t="shared" si="1"/>
        <v>0.54590867861333647</v>
      </c>
    </row>
    <row r="13" spans="1:18" ht="12" thickBot="1" x14ac:dyDescent="0.6">
      <c r="A13" s="79">
        <v>11</v>
      </c>
      <c r="B13" s="79" t="s">
        <v>40</v>
      </c>
      <c r="C13" s="94">
        <v>30</v>
      </c>
      <c r="D13" s="95">
        <v>48</v>
      </c>
      <c r="E13" s="95">
        <v>65</v>
      </c>
      <c r="F13" s="96">
        <v>73</v>
      </c>
      <c r="G13" s="365"/>
      <c r="H13" s="97">
        <f t="shared" si="2"/>
        <v>23.333333333333336</v>
      </c>
      <c r="I13" s="98">
        <f t="shared" si="0"/>
        <v>10.833333333333332</v>
      </c>
      <c r="J13" s="98">
        <f t="shared" si="0"/>
        <v>5.384615384615385</v>
      </c>
      <c r="K13" s="99">
        <f t="shared" si="0"/>
        <v>3.6986301369863011</v>
      </c>
      <c r="M13" s="100">
        <f t="shared" si="3"/>
        <v>3.93700787</v>
      </c>
      <c r="N13" s="365"/>
      <c r="O13" s="93">
        <f t="shared" si="4"/>
        <v>5.9826599274841272E-3</v>
      </c>
      <c r="P13" s="93">
        <f t="shared" si="1"/>
        <v>6.3161217346249382E-2</v>
      </c>
      <c r="Q13" s="93">
        <f t="shared" si="1"/>
        <v>0.25200935793067031</v>
      </c>
      <c r="R13" s="93">
        <f t="shared" si="1"/>
        <v>0.37653369856189139</v>
      </c>
    </row>
    <row r="14" spans="1:18" ht="12" thickBot="1" x14ac:dyDescent="0.6">
      <c r="A14" s="79">
        <v>12</v>
      </c>
      <c r="B14" s="79" t="s">
        <v>42</v>
      </c>
      <c r="C14" s="94">
        <v>35</v>
      </c>
      <c r="D14" s="95">
        <v>56</v>
      </c>
      <c r="E14" s="95">
        <v>70</v>
      </c>
      <c r="F14" s="96">
        <v>77</v>
      </c>
      <c r="G14" s="365"/>
      <c r="H14" s="97">
        <f t="shared" si="2"/>
        <v>18.571428571428573</v>
      </c>
      <c r="I14" s="98">
        <f t="shared" si="0"/>
        <v>7.8571428571428577</v>
      </c>
      <c r="J14" s="98">
        <f t="shared" si="0"/>
        <v>4.2857142857142865</v>
      </c>
      <c r="K14" s="99">
        <f t="shared" si="0"/>
        <v>2.9870129870129869</v>
      </c>
      <c r="M14" s="100">
        <f t="shared" si="3"/>
        <v>3.93700787</v>
      </c>
      <c r="N14" s="365"/>
      <c r="O14" s="93">
        <f t="shared" si="4"/>
        <v>6.7040594128808426E-4</v>
      </c>
      <c r="P14" s="93">
        <f t="shared" si="1"/>
        <v>0.13904077562980868</v>
      </c>
      <c r="Q14" s="93">
        <f t="shared" si="1"/>
        <v>0.32710725160068338</v>
      </c>
      <c r="R14" s="93">
        <f t="shared" si="1"/>
        <v>0.44776728804261673</v>
      </c>
    </row>
    <row r="15" spans="1:18" ht="12" thickBot="1" x14ac:dyDescent="0.6">
      <c r="A15" s="79">
        <v>13</v>
      </c>
      <c r="B15" s="79" t="s">
        <v>44</v>
      </c>
      <c r="C15" s="94">
        <v>39</v>
      </c>
      <c r="D15" s="95">
        <v>61</v>
      </c>
      <c r="E15" s="95">
        <v>74</v>
      </c>
      <c r="F15" s="96">
        <v>80</v>
      </c>
      <c r="G15" s="365"/>
      <c r="H15" s="97">
        <f t="shared" si="2"/>
        <v>15.641025641025642</v>
      </c>
      <c r="I15" s="98">
        <f t="shared" si="0"/>
        <v>6.3934426229508183</v>
      </c>
      <c r="J15" s="98">
        <f t="shared" si="0"/>
        <v>3.513513513513514</v>
      </c>
      <c r="K15" s="99">
        <f t="shared" si="0"/>
        <v>2.5</v>
      </c>
      <c r="M15" s="100">
        <f t="shared" si="3"/>
        <v>3.93700787</v>
      </c>
      <c r="N15" s="365"/>
      <c r="O15" s="93">
        <f t="shared" si="4"/>
        <v>1.0100841941139792E-2</v>
      </c>
      <c r="P15" s="93">
        <f t="shared" si="1"/>
        <v>0.19829643008936448</v>
      </c>
      <c r="Q15" s="93">
        <f t="shared" si="1"/>
        <v>0.39376063982401244</v>
      </c>
      <c r="R15" s="93">
        <f t="shared" si="1"/>
        <v>0.50539058323073605</v>
      </c>
    </row>
    <row r="16" spans="1:18" ht="12" thickBot="1" x14ac:dyDescent="0.6">
      <c r="A16" s="79">
        <v>14</v>
      </c>
      <c r="B16" s="79" t="s">
        <v>46</v>
      </c>
      <c r="C16" s="94">
        <v>49</v>
      </c>
      <c r="D16" s="95">
        <v>69</v>
      </c>
      <c r="E16" s="95">
        <v>79</v>
      </c>
      <c r="F16" s="96">
        <v>84</v>
      </c>
      <c r="G16" s="365"/>
      <c r="H16" s="97">
        <f t="shared" si="2"/>
        <v>10.408163265306122</v>
      </c>
      <c r="I16" s="98">
        <f t="shared" si="0"/>
        <v>4.4927536231884062</v>
      </c>
      <c r="J16" s="98">
        <f t="shared" si="0"/>
        <v>2.6582278481012658</v>
      </c>
      <c r="K16" s="99">
        <f t="shared" si="0"/>
        <v>1.9047619047619051</v>
      </c>
      <c r="M16" s="100">
        <f t="shared" si="3"/>
        <v>3.93700787</v>
      </c>
      <c r="N16" s="365"/>
      <c r="O16" s="93">
        <f t="shared" si="4"/>
        <v>7.1298668801663648E-2</v>
      </c>
      <c r="P16" s="93">
        <f t="shared" si="1"/>
        <v>0.31136883800037235</v>
      </c>
      <c r="Q16" s="93">
        <f t="shared" si="1"/>
        <v>0.48576981617756571</v>
      </c>
      <c r="R16" s="93">
        <f t="shared" si="1"/>
        <v>0.58818388429880675</v>
      </c>
    </row>
    <row r="17" spans="1:18" ht="12" thickBot="1" x14ac:dyDescent="0.6">
      <c r="A17" s="79">
        <v>15</v>
      </c>
      <c r="B17" s="79" t="s">
        <v>48</v>
      </c>
      <c r="C17" s="94">
        <v>68</v>
      </c>
      <c r="D17" s="95">
        <v>79</v>
      </c>
      <c r="E17" s="95">
        <v>86</v>
      </c>
      <c r="F17" s="96">
        <v>89</v>
      </c>
      <c r="G17" s="365"/>
      <c r="H17" s="97">
        <f t="shared" si="2"/>
        <v>4.7058823529411757</v>
      </c>
      <c r="I17" s="98">
        <f t="shared" si="0"/>
        <v>2.6582278481012658</v>
      </c>
      <c r="J17" s="98">
        <f t="shared" si="0"/>
        <v>1.6279069767441854</v>
      </c>
      <c r="K17" s="99">
        <f t="shared" si="0"/>
        <v>1.2359550561797761</v>
      </c>
      <c r="M17" s="100">
        <f t="shared" si="3"/>
        <v>3.93700787</v>
      </c>
      <c r="N17" s="365"/>
      <c r="O17" s="93">
        <f t="shared" si="4"/>
        <v>0.29599275461892627</v>
      </c>
      <c r="P17" s="93">
        <f t="shared" si="1"/>
        <v>0.48576981617756571</v>
      </c>
      <c r="Q17" s="93">
        <f t="shared" si="1"/>
        <v>0.63228842643654215</v>
      </c>
      <c r="R17" s="93">
        <f t="shared" si="1"/>
        <v>0.70205161137195438</v>
      </c>
    </row>
    <row r="18" spans="1:18" ht="12" thickBot="1" x14ac:dyDescent="0.6">
      <c r="A18" s="79">
        <v>16</v>
      </c>
      <c r="B18" s="79" t="s">
        <v>50</v>
      </c>
      <c r="C18" s="94">
        <v>57</v>
      </c>
      <c r="D18" s="95">
        <v>73</v>
      </c>
      <c r="E18" s="95">
        <v>82</v>
      </c>
      <c r="F18" s="96">
        <v>86</v>
      </c>
      <c r="G18" s="365"/>
      <c r="H18" s="97">
        <f t="shared" si="2"/>
        <v>7.5438596491228083</v>
      </c>
      <c r="I18" s="98">
        <f t="shared" si="0"/>
        <v>3.6986301369863011</v>
      </c>
      <c r="J18" s="98">
        <f t="shared" si="0"/>
        <v>2.1951219512195124</v>
      </c>
      <c r="K18" s="99">
        <f t="shared" si="0"/>
        <v>1.6279069767441854</v>
      </c>
      <c r="M18" s="100">
        <f t="shared" si="3"/>
        <v>3.93700787</v>
      </c>
      <c r="N18" s="365"/>
      <c r="O18" s="93">
        <f t="shared" si="4"/>
        <v>0.15018586139000067</v>
      </c>
      <c r="P18" s="93">
        <f t="shared" si="1"/>
        <v>0.37653369856189139</v>
      </c>
      <c r="Q18" s="93">
        <f t="shared" si="1"/>
        <v>0.54590867861333647</v>
      </c>
      <c r="R18" s="93">
        <f t="shared" si="1"/>
        <v>0.63228842643654215</v>
      </c>
    </row>
    <row r="19" spans="1:18" ht="12" thickBot="1" x14ac:dyDescent="0.6">
      <c r="A19" s="79">
        <v>17</v>
      </c>
      <c r="B19" s="79" t="s">
        <v>52</v>
      </c>
      <c r="C19" s="94">
        <v>48</v>
      </c>
      <c r="D19" s="95">
        <v>67</v>
      </c>
      <c r="E19" s="95">
        <v>77</v>
      </c>
      <c r="F19" s="96">
        <v>81</v>
      </c>
      <c r="G19" s="365"/>
      <c r="H19" s="97">
        <f t="shared" si="2"/>
        <v>10.833333333333332</v>
      </c>
      <c r="I19" s="98">
        <f t="shared" si="2"/>
        <v>4.9253731343283587</v>
      </c>
      <c r="J19" s="98">
        <f t="shared" si="2"/>
        <v>2.9870129870129869</v>
      </c>
      <c r="K19" s="99">
        <f t="shared" si="2"/>
        <v>2.3456790123456788</v>
      </c>
      <c r="M19" s="100">
        <f t="shared" si="3"/>
        <v>3.93700787</v>
      </c>
      <c r="N19" s="365"/>
      <c r="O19" s="93">
        <f t="shared" si="4"/>
        <v>6.3161217346249382E-2</v>
      </c>
      <c r="P19" s="93">
        <f t="shared" si="4"/>
        <v>0.28097588232166715</v>
      </c>
      <c r="Q19" s="93">
        <f t="shared" si="4"/>
        <v>0.44776728804261673</v>
      </c>
      <c r="R19" s="93">
        <f t="shared" si="4"/>
        <v>0.5254342272120951</v>
      </c>
    </row>
    <row r="20" spans="1:18" ht="12" thickBot="1" x14ac:dyDescent="0.6">
      <c r="A20" s="79">
        <v>18</v>
      </c>
      <c r="B20" s="79" t="s">
        <v>54</v>
      </c>
      <c r="C20" s="94">
        <f>C12</f>
        <v>43</v>
      </c>
      <c r="D20" s="95">
        <f t="shared" ref="D20:F20" si="7">D12</f>
        <v>65</v>
      </c>
      <c r="E20" s="95">
        <f t="shared" si="7"/>
        <v>76</v>
      </c>
      <c r="F20" s="96">
        <f t="shared" si="7"/>
        <v>82</v>
      </c>
      <c r="G20" s="365"/>
      <c r="H20" s="97">
        <f t="shared" si="2"/>
        <v>13.255813953488371</v>
      </c>
      <c r="I20" s="98">
        <f t="shared" si="2"/>
        <v>5.384615384615385</v>
      </c>
      <c r="J20" s="98">
        <f t="shared" si="2"/>
        <v>3.1578947368421044</v>
      </c>
      <c r="K20" s="99">
        <f t="shared" si="2"/>
        <v>2.1951219512195124</v>
      </c>
      <c r="M20" s="100">
        <f t="shared" si="3"/>
        <v>3.93700787</v>
      </c>
      <c r="N20" s="365"/>
      <c r="O20" s="93">
        <f t="shared" si="4"/>
        <v>2.8879991048114402E-2</v>
      </c>
      <c r="P20" s="93">
        <f t="shared" si="4"/>
        <v>0.25200935793067031</v>
      </c>
      <c r="Q20" s="93">
        <f t="shared" si="4"/>
        <v>0.4293717414035978</v>
      </c>
      <c r="R20" s="93">
        <f t="shared" si="4"/>
        <v>0.54590867861333647</v>
      </c>
    </row>
    <row r="21" spans="1:18" ht="12" thickBot="1" x14ac:dyDescent="0.6">
      <c r="A21" s="79">
        <v>19</v>
      </c>
      <c r="B21" s="79" t="s">
        <v>56</v>
      </c>
      <c r="C21" s="94">
        <f>C14</f>
        <v>35</v>
      </c>
      <c r="D21" s="95">
        <f t="shared" ref="D21:F21" si="8">D14</f>
        <v>56</v>
      </c>
      <c r="E21" s="95">
        <f t="shared" si="8"/>
        <v>70</v>
      </c>
      <c r="F21" s="96">
        <f t="shared" si="8"/>
        <v>77</v>
      </c>
      <c r="G21" s="365"/>
      <c r="H21" s="97">
        <f t="shared" si="2"/>
        <v>18.571428571428573</v>
      </c>
      <c r="I21" s="98">
        <f t="shared" si="2"/>
        <v>7.8571428571428577</v>
      </c>
      <c r="J21" s="98">
        <f t="shared" si="2"/>
        <v>4.2857142857142865</v>
      </c>
      <c r="K21" s="99">
        <f t="shared" si="2"/>
        <v>2.9870129870129869</v>
      </c>
      <c r="M21" s="100">
        <f t="shared" si="3"/>
        <v>3.93700787</v>
      </c>
      <c r="N21" s="365"/>
      <c r="O21" s="93">
        <f t="shared" si="4"/>
        <v>6.7040594128808426E-4</v>
      </c>
      <c r="P21" s="93">
        <f t="shared" si="4"/>
        <v>0.13904077562980868</v>
      </c>
      <c r="Q21" s="93">
        <f t="shared" si="4"/>
        <v>0.32710725160068338</v>
      </c>
      <c r="R21" s="93">
        <f t="shared" si="4"/>
        <v>0.44776728804261673</v>
      </c>
    </row>
    <row r="22" spans="1:18" ht="12" thickBot="1" x14ac:dyDescent="0.6">
      <c r="A22" s="79">
        <v>20</v>
      </c>
      <c r="B22" s="79" t="s">
        <v>58</v>
      </c>
      <c r="C22" s="94">
        <f>C11</f>
        <v>32</v>
      </c>
      <c r="D22" s="95">
        <f t="shared" ref="D22:F22" si="9">D11</f>
        <v>58</v>
      </c>
      <c r="E22" s="95">
        <f t="shared" si="9"/>
        <v>72</v>
      </c>
      <c r="F22" s="96">
        <f t="shared" si="9"/>
        <v>79</v>
      </c>
      <c r="G22" s="365"/>
      <c r="H22" s="97">
        <f t="shared" si="2"/>
        <v>21.25</v>
      </c>
      <c r="I22" s="98">
        <f t="shared" si="2"/>
        <v>7.2413793103448292</v>
      </c>
      <c r="J22" s="98">
        <f t="shared" si="2"/>
        <v>3.8888888888888893</v>
      </c>
      <c r="K22" s="99">
        <f t="shared" si="2"/>
        <v>2.6582278481012658</v>
      </c>
      <c r="M22" s="100">
        <f t="shared" si="3"/>
        <v>3.93700787</v>
      </c>
      <c r="N22" s="365"/>
      <c r="O22" s="93">
        <f t="shared" si="4"/>
        <v>1.1884637400975727E-3</v>
      </c>
      <c r="P22" s="93">
        <f t="shared" si="4"/>
        <v>0.16168590985223857</v>
      </c>
      <c r="Q22" s="93">
        <f t="shared" si="4"/>
        <v>0.35968556183329004</v>
      </c>
      <c r="R22" s="93">
        <f t="shared" si="4"/>
        <v>0.48576981617756571</v>
      </c>
    </row>
    <row r="23" spans="1:18" ht="12" thickBot="1" x14ac:dyDescent="0.6">
      <c r="A23" s="79">
        <v>21</v>
      </c>
      <c r="B23" s="79" t="s">
        <v>60</v>
      </c>
      <c r="C23" s="94">
        <f>C13</f>
        <v>30</v>
      </c>
      <c r="D23" s="95">
        <f t="shared" ref="D23:F23" si="10">D13</f>
        <v>48</v>
      </c>
      <c r="E23" s="95">
        <f t="shared" si="10"/>
        <v>65</v>
      </c>
      <c r="F23" s="96">
        <f t="shared" si="10"/>
        <v>73</v>
      </c>
      <c r="G23" s="365"/>
      <c r="H23" s="97">
        <f t="shared" si="2"/>
        <v>23.333333333333336</v>
      </c>
      <c r="I23" s="98">
        <f t="shared" si="2"/>
        <v>10.833333333333332</v>
      </c>
      <c r="J23" s="98">
        <f t="shared" si="2"/>
        <v>5.384615384615385</v>
      </c>
      <c r="K23" s="99">
        <f t="shared" si="2"/>
        <v>3.6986301369863011</v>
      </c>
      <c r="M23" s="100">
        <f t="shared" si="3"/>
        <v>3.93700787</v>
      </c>
      <c r="N23" s="365"/>
      <c r="O23" s="93">
        <f t="shared" si="4"/>
        <v>5.9826599274841272E-3</v>
      </c>
      <c r="P23" s="93">
        <f t="shared" si="4"/>
        <v>6.3161217346249382E-2</v>
      </c>
      <c r="Q23" s="93">
        <f t="shared" si="4"/>
        <v>0.25200935793067031</v>
      </c>
      <c r="R23" s="93">
        <f t="shared" si="4"/>
        <v>0.37653369856189139</v>
      </c>
    </row>
    <row r="24" spans="1:18" ht="12" thickBot="1" x14ac:dyDescent="0.6">
      <c r="A24" s="79">
        <v>22</v>
      </c>
      <c r="B24" s="79" t="s">
        <v>62</v>
      </c>
      <c r="C24" s="101">
        <v>100</v>
      </c>
      <c r="D24" s="102">
        <v>100</v>
      </c>
      <c r="E24" s="102">
        <v>100</v>
      </c>
      <c r="F24" s="103">
        <v>100</v>
      </c>
      <c r="G24" s="367"/>
      <c r="H24" s="104">
        <f t="shared" si="2"/>
        <v>0</v>
      </c>
      <c r="I24" s="105">
        <f t="shared" si="2"/>
        <v>0</v>
      </c>
      <c r="J24" s="105">
        <f t="shared" si="2"/>
        <v>0</v>
      </c>
      <c r="K24" s="106">
        <f t="shared" si="2"/>
        <v>0</v>
      </c>
      <c r="M24" s="107">
        <f t="shared" si="3"/>
        <v>3.93700787</v>
      </c>
      <c r="N24" s="365"/>
      <c r="O24" s="93">
        <f t="shared" si="4"/>
        <v>1</v>
      </c>
      <c r="P24" s="93">
        <f t="shared" si="4"/>
        <v>1</v>
      </c>
      <c r="Q24" s="93">
        <f t="shared" si="4"/>
        <v>1</v>
      </c>
      <c r="R24" s="93">
        <f t="shared" si="4"/>
        <v>1</v>
      </c>
    </row>
    <row r="27" spans="1:18" ht="14.4" x14ac:dyDescent="0.55000000000000004">
      <c r="A27" s="20" t="s">
        <v>348</v>
      </c>
    </row>
    <row r="28" spans="1:18" x14ac:dyDescent="0.55000000000000004">
      <c r="A28" s="246" t="s">
        <v>336</v>
      </c>
    </row>
    <row r="29" spans="1:18" x14ac:dyDescent="0.55000000000000004">
      <c r="A29" s="246" t="s">
        <v>337</v>
      </c>
    </row>
    <row r="66" spans="4:4" x14ac:dyDescent="0.55000000000000004">
      <c r="D66" s="79">
        <v>25</v>
      </c>
    </row>
  </sheetData>
  <mergeCells count="5">
    <mergeCell ref="C1:F1"/>
    <mergeCell ref="H1:K1"/>
    <mergeCell ref="O1:R1"/>
    <mergeCell ref="N3:N24"/>
    <mergeCell ref="G3:G24"/>
  </mergeCells>
  <conditionalFormatting sqref="O3:R24">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D92507-FEE8-4B44-AE27-566755F8E341}">
  <sheetPr>
    <tabColor theme="9" tint="0.39997558519241921"/>
  </sheetPr>
  <dimension ref="A1:H27"/>
  <sheetViews>
    <sheetView workbookViewId="0">
      <selection activeCell="M14" sqref="M14"/>
    </sheetView>
  </sheetViews>
  <sheetFormatPr defaultRowHeight="14.4" x14ac:dyDescent="0.55000000000000004"/>
  <cols>
    <col min="2" max="2" width="18" customWidth="1"/>
    <col min="8" max="8" width="15.68359375" customWidth="1"/>
  </cols>
  <sheetData>
    <row r="1" spans="1:8" ht="38.700000000000003" thickBot="1" x14ac:dyDescent="0.6">
      <c r="A1" s="108" t="s">
        <v>165</v>
      </c>
      <c r="B1" s="109" t="s">
        <v>166</v>
      </c>
      <c r="C1" s="108" t="s">
        <v>175</v>
      </c>
      <c r="D1" s="110" t="s">
        <v>176</v>
      </c>
      <c r="E1" s="110" t="s">
        <v>177</v>
      </c>
      <c r="F1" s="110" t="s">
        <v>178</v>
      </c>
      <c r="G1" s="109" t="s">
        <v>179</v>
      </c>
      <c r="H1" s="247" t="s">
        <v>207</v>
      </c>
    </row>
    <row r="2" spans="1:8" x14ac:dyDescent="0.55000000000000004">
      <c r="A2" s="43">
        <v>1</v>
      </c>
      <c r="B2" s="29" t="s">
        <v>25</v>
      </c>
      <c r="C2" s="21">
        <v>0.01</v>
      </c>
      <c r="D2" s="25">
        <v>0.56499999999999995</v>
      </c>
      <c r="E2" s="25">
        <v>0.15</v>
      </c>
      <c r="F2" s="25">
        <v>1</v>
      </c>
      <c r="G2" s="22">
        <v>0</v>
      </c>
      <c r="H2" s="368" t="s">
        <v>339</v>
      </c>
    </row>
    <row r="3" spans="1:8" x14ac:dyDescent="0.55000000000000004">
      <c r="A3" s="43">
        <v>2</v>
      </c>
      <c r="B3" s="29" t="s">
        <v>26</v>
      </c>
      <c r="C3" s="21">
        <v>0.01</v>
      </c>
      <c r="D3" s="25">
        <v>0.51500000000000001</v>
      </c>
      <c r="E3" s="25">
        <v>0.26500000000000001</v>
      </c>
      <c r="F3" s="25">
        <v>0</v>
      </c>
      <c r="G3" s="22">
        <v>0</v>
      </c>
      <c r="H3" s="369"/>
    </row>
    <row r="4" spans="1:8" x14ac:dyDescent="0.55000000000000004">
      <c r="A4" s="43">
        <v>3</v>
      </c>
      <c r="B4" s="29" t="s">
        <v>28</v>
      </c>
      <c r="C4" s="21">
        <v>0.3</v>
      </c>
      <c r="D4" s="25">
        <v>0.75750000000000006</v>
      </c>
      <c r="E4" s="25">
        <v>0.2</v>
      </c>
      <c r="F4" s="25">
        <v>0</v>
      </c>
      <c r="G4" s="22">
        <v>1</v>
      </c>
      <c r="H4" s="369"/>
    </row>
    <row r="5" spans="1:8" x14ac:dyDescent="0.55000000000000004">
      <c r="A5" s="43">
        <v>4</v>
      </c>
      <c r="B5" s="29" t="s">
        <v>30</v>
      </c>
      <c r="C5" s="21">
        <v>0.1</v>
      </c>
      <c r="D5" s="25">
        <v>0.59750000000000003</v>
      </c>
      <c r="E5" s="111">
        <v>0.2</v>
      </c>
      <c r="F5" s="25">
        <v>0</v>
      </c>
      <c r="G5" s="22">
        <v>1</v>
      </c>
      <c r="H5" s="369"/>
    </row>
    <row r="6" spans="1:8" x14ac:dyDescent="0.55000000000000004">
      <c r="A6" s="43">
        <v>5</v>
      </c>
      <c r="B6" s="29" t="s">
        <v>32</v>
      </c>
      <c r="C6" s="21">
        <v>0.08</v>
      </c>
      <c r="D6" s="25">
        <v>0.75</v>
      </c>
      <c r="E6" s="111">
        <v>0.15</v>
      </c>
      <c r="F6" s="25">
        <v>0</v>
      </c>
      <c r="G6" s="22">
        <v>0</v>
      </c>
      <c r="H6" s="369"/>
    </row>
    <row r="7" spans="1:8" x14ac:dyDescent="0.55000000000000004">
      <c r="A7" s="43">
        <v>6</v>
      </c>
      <c r="B7" s="29" t="s">
        <v>33</v>
      </c>
      <c r="C7" s="21">
        <v>0.3</v>
      </c>
      <c r="D7" s="25">
        <v>0.71500000000000008</v>
      </c>
      <c r="E7" s="111">
        <v>0.17499999999999999</v>
      </c>
      <c r="F7" s="25">
        <v>0</v>
      </c>
      <c r="G7" s="22">
        <v>1</v>
      </c>
      <c r="H7" s="369"/>
    </row>
    <row r="8" spans="1:8" x14ac:dyDescent="0.55000000000000004">
      <c r="A8" s="43">
        <v>7</v>
      </c>
      <c r="B8" s="29" t="s">
        <v>34</v>
      </c>
      <c r="C8" s="21">
        <v>0.1</v>
      </c>
      <c r="D8" s="25">
        <v>0.75</v>
      </c>
      <c r="E8" s="111">
        <v>0.17499999999999999</v>
      </c>
      <c r="F8" s="25">
        <v>0</v>
      </c>
      <c r="G8" s="22">
        <v>1</v>
      </c>
      <c r="H8" s="369"/>
    </row>
    <row r="9" spans="1:8" x14ac:dyDescent="0.55000000000000004">
      <c r="A9" s="43">
        <v>8</v>
      </c>
      <c r="B9" s="29" t="s">
        <v>35</v>
      </c>
      <c r="C9" s="21">
        <v>0.25</v>
      </c>
      <c r="D9" s="25">
        <v>0.75</v>
      </c>
      <c r="E9" s="111">
        <v>0.2</v>
      </c>
      <c r="F9" s="25">
        <v>0</v>
      </c>
      <c r="G9" s="22">
        <v>1</v>
      </c>
      <c r="H9" s="369"/>
    </row>
    <row r="10" spans="1:8" x14ac:dyDescent="0.55000000000000004">
      <c r="A10" s="43">
        <v>9</v>
      </c>
      <c r="B10" s="29" t="s">
        <v>36</v>
      </c>
      <c r="C10" s="21">
        <v>0.75</v>
      </c>
      <c r="D10" s="25">
        <v>1</v>
      </c>
      <c r="E10" s="111">
        <v>0.2</v>
      </c>
      <c r="F10" s="25">
        <v>0</v>
      </c>
      <c r="G10" s="22">
        <v>1</v>
      </c>
      <c r="H10" s="369"/>
    </row>
    <row r="11" spans="1:8" x14ac:dyDescent="0.55000000000000004">
      <c r="A11" s="43">
        <v>10</v>
      </c>
      <c r="B11" s="29" t="s">
        <v>38</v>
      </c>
      <c r="C11" s="21">
        <v>0.5</v>
      </c>
      <c r="D11" s="25">
        <v>0.68</v>
      </c>
      <c r="E11" s="111">
        <v>0.18</v>
      </c>
      <c r="F11" s="25">
        <v>0</v>
      </c>
      <c r="G11" s="22">
        <v>1</v>
      </c>
      <c r="H11" s="369"/>
    </row>
    <row r="12" spans="1:8" x14ac:dyDescent="0.55000000000000004">
      <c r="A12" s="43">
        <v>11</v>
      </c>
      <c r="B12" s="29" t="s">
        <v>40</v>
      </c>
      <c r="C12" s="21">
        <v>0.4</v>
      </c>
      <c r="D12" s="25">
        <v>0.75</v>
      </c>
      <c r="E12" s="111">
        <v>0.2</v>
      </c>
      <c r="F12" s="25">
        <v>0</v>
      </c>
      <c r="G12" s="22">
        <v>1</v>
      </c>
      <c r="H12" s="369"/>
    </row>
    <row r="13" spans="1:8" x14ac:dyDescent="0.55000000000000004">
      <c r="A13" s="43">
        <v>12</v>
      </c>
      <c r="B13" s="29" t="s">
        <v>42</v>
      </c>
      <c r="C13" s="21">
        <v>0.2</v>
      </c>
      <c r="D13" s="25">
        <v>0.63250000000000006</v>
      </c>
      <c r="E13" s="111">
        <v>0.23250000000000001</v>
      </c>
      <c r="F13" s="25">
        <v>0</v>
      </c>
      <c r="G13" s="22">
        <v>1</v>
      </c>
      <c r="H13" s="369"/>
    </row>
    <row r="14" spans="1:8" x14ac:dyDescent="0.55000000000000004">
      <c r="A14" s="43">
        <v>13</v>
      </c>
      <c r="B14" s="29" t="s">
        <v>44</v>
      </c>
      <c r="C14" s="21">
        <v>0.1</v>
      </c>
      <c r="D14" s="25">
        <v>0.75</v>
      </c>
      <c r="E14" s="111">
        <v>0.2</v>
      </c>
      <c r="F14" s="25">
        <v>0</v>
      </c>
      <c r="G14" s="22">
        <v>1</v>
      </c>
      <c r="H14" s="369"/>
    </row>
    <row r="15" spans="1:8" x14ac:dyDescent="0.55000000000000004">
      <c r="A15" s="43">
        <v>14</v>
      </c>
      <c r="B15" s="29" t="s">
        <v>46</v>
      </c>
      <c r="C15" s="21">
        <v>5.5E-2</v>
      </c>
      <c r="D15" s="25">
        <v>0.63250000000000006</v>
      </c>
      <c r="E15" s="111">
        <v>0.23250000000000001</v>
      </c>
      <c r="F15" s="25">
        <v>0</v>
      </c>
      <c r="G15" s="22">
        <v>1</v>
      </c>
      <c r="H15" s="369"/>
    </row>
    <row r="16" spans="1:8" x14ac:dyDescent="0.55000000000000004">
      <c r="A16" s="43">
        <v>15</v>
      </c>
      <c r="B16" s="29" t="s">
        <v>48</v>
      </c>
      <c r="C16" s="21">
        <v>0.05</v>
      </c>
      <c r="D16" s="25">
        <v>0.75</v>
      </c>
      <c r="E16" s="111">
        <v>0.24000000000000002</v>
      </c>
      <c r="F16" s="25">
        <v>0</v>
      </c>
      <c r="G16" s="22">
        <v>0</v>
      </c>
      <c r="H16" s="369"/>
    </row>
    <row r="17" spans="1:8" x14ac:dyDescent="0.55000000000000004">
      <c r="A17" s="43">
        <v>16</v>
      </c>
      <c r="B17" s="29" t="s">
        <v>50</v>
      </c>
      <c r="C17" s="21">
        <v>0.4</v>
      </c>
      <c r="D17" s="25">
        <v>0.68</v>
      </c>
      <c r="E17" s="25">
        <v>0.15</v>
      </c>
      <c r="F17" s="25">
        <v>0</v>
      </c>
      <c r="G17" s="22">
        <v>1</v>
      </c>
      <c r="H17" s="369"/>
    </row>
    <row r="18" spans="1:8" x14ac:dyDescent="0.55000000000000004">
      <c r="A18" s="43">
        <v>17</v>
      </c>
      <c r="B18" s="29" t="s">
        <v>52</v>
      </c>
      <c r="C18" s="21">
        <v>0.3</v>
      </c>
      <c r="D18" s="25">
        <v>0.6</v>
      </c>
      <c r="E18" s="25">
        <v>0.2</v>
      </c>
      <c r="F18" s="25">
        <v>0</v>
      </c>
      <c r="G18" s="22">
        <v>1</v>
      </c>
      <c r="H18" s="369"/>
    </row>
    <row r="19" spans="1:8" x14ac:dyDescent="0.55000000000000004">
      <c r="A19" s="43">
        <v>18</v>
      </c>
      <c r="B19" s="29" t="s">
        <v>54</v>
      </c>
      <c r="C19" s="21">
        <v>0.5</v>
      </c>
      <c r="D19" s="25">
        <v>0.8</v>
      </c>
      <c r="E19" s="25">
        <v>0.15</v>
      </c>
      <c r="F19" s="25">
        <v>0</v>
      </c>
      <c r="G19" s="22">
        <v>1</v>
      </c>
      <c r="H19" s="369"/>
    </row>
    <row r="20" spans="1:8" x14ac:dyDescent="0.55000000000000004">
      <c r="A20" s="43">
        <v>19</v>
      </c>
      <c r="B20" s="29" t="s">
        <v>56</v>
      </c>
      <c r="C20" s="21">
        <v>0.4</v>
      </c>
      <c r="D20" s="25">
        <v>0.75</v>
      </c>
      <c r="E20" s="25">
        <v>0.2</v>
      </c>
      <c r="F20" s="25">
        <v>0</v>
      </c>
      <c r="G20" s="22">
        <v>1</v>
      </c>
      <c r="H20" s="369"/>
    </row>
    <row r="21" spans="1:8" x14ac:dyDescent="0.55000000000000004">
      <c r="A21" s="43">
        <v>20</v>
      </c>
      <c r="B21" s="29" t="s">
        <v>58</v>
      </c>
      <c r="C21" s="21">
        <v>0.75</v>
      </c>
      <c r="D21" s="25">
        <v>1</v>
      </c>
      <c r="E21" s="25">
        <v>0.15</v>
      </c>
      <c r="F21" s="25">
        <v>0</v>
      </c>
      <c r="G21" s="22">
        <v>1</v>
      </c>
      <c r="H21" s="369"/>
    </row>
    <row r="22" spans="1:8" x14ac:dyDescent="0.55000000000000004">
      <c r="A22" s="43">
        <v>21</v>
      </c>
      <c r="B22" s="29" t="s">
        <v>60</v>
      </c>
      <c r="C22" s="21">
        <v>0.5</v>
      </c>
      <c r="D22" s="25">
        <v>0.85</v>
      </c>
      <c r="E22" s="25">
        <v>0.2</v>
      </c>
      <c r="F22" s="25">
        <v>0</v>
      </c>
      <c r="G22" s="22">
        <v>1</v>
      </c>
      <c r="H22" s="369"/>
    </row>
    <row r="23" spans="1:8" ht="14.7" thickBot="1" x14ac:dyDescent="0.6">
      <c r="A23" s="27">
        <v>22</v>
      </c>
      <c r="B23" s="28" t="s">
        <v>62</v>
      </c>
      <c r="C23" s="26">
        <v>0</v>
      </c>
      <c r="D23" s="23">
        <v>0.85</v>
      </c>
      <c r="E23" s="23">
        <v>0.06</v>
      </c>
      <c r="F23" s="23">
        <v>0</v>
      </c>
      <c r="G23" s="24">
        <v>1</v>
      </c>
      <c r="H23" s="370"/>
    </row>
    <row r="25" spans="1:8" x14ac:dyDescent="0.55000000000000004">
      <c r="A25" s="20" t="s">
        <v>348</v>
      </c>
    </row>
    <row r="26" spans="1:8" x14ac:dyDescent="0.55000000000000004">
      <c r="A26" s="246" t="s">
        <v>340</v>
      </c>
    </row>
    <row r="27" spans="1:8" x14ac:dyDescent="0.55000000000000004">
      <c r="A27" s="246" t="s">
        <v>341</v>
      </c>
    </row>
  </sheetData>
  <mergeCells count="1">
    <mergeCell ref="H2:H23"/>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2173DE-33FB-44FD-A25E-76EAACF1B54E}">
  <sheetPr>
    <tabColor theme="9" tint="0.39997558519241921"/>
  </sheetPr>
  <dimension ref="A1:E47"/>
  <sheetViews>
    <sheetView workbookViewId="0">
      <selection activeCell="G14" sqref="G14"/>
    </sheetView>
  </sheetViews>
  <sheetFormatPr defaultRowHeight="14.4" x14ac:dyDescent="0.55000000000000004"/>
  <cols>
    <col min="1" max="1" width="20.83984375" customWidth="1"/>
  </cols>
  <sheetData>
    <row r="1" spans="1:5" s="158" customFormat="1" ht="28.8" x14ac:dyDescent="0.55000000000000004">
      <c r="B1" s="158" t="s">
        <v>283</v>
      </c>
      <c r="C1" s="158" t="s">
        <v>284</v>
      </c>
      <c r="D1" s="158" t="s">
        <v>285</v>
      </c>
      <c r="E1" s="248" t="s">
        <v>149</v>
      </c>
    </row>
    <row r="2" spans="1:5" x14ac:dyDescent="0.55000000000000004">
      <c r="A2" s="79" t="s">
        <v>25</v>
      </c>
      <c r="B2">
        <v>1</v>
      </c>
      <c r="C2">
        <v>0</v>
      </c>
      <c r="D2">
        <v>0</v>
      </c>
      <c r="E2" s="371" t="s">
        <v>343</v>
      </c>
    </row>
    <row r="3" spans="1:5" x14ac:dyDescent="0.55000000000000004">
      <c r="A3" s="79" t="s">
        <v>26</v>
      </c>
      <c r="B3">
        <v>2</v>
      </c>
      <c r="C3">
        <v>0</v>
      </c>
      <c r="D3">
        <v>0</v>
      </c>
      <c r="E3" s="371"/>
    </row>
    <row r="4" spans="1:5" x14ac:dyDescent="0.55000000000000004">
      <c r="A4" s="79" t="s">
        <v>28</v>
      </c>
      <c r="B4">
        <v>3</v>
      </c>
      <c r="C4">
        <v>1</v>
      </c>
      <c r="D4">
        <v>500</v>
      </c>
      <c r="E4" s="371"/>
    </row>
    <row r="5" spans="1:5" x14ac:dyDescent="0.55000000000000004">
      <c r="A5" s="79" t="s">
        <v>30</v>
      </c>
      <c r="B5">
        <v>4</v>
      </c>
      <c r="C5">
        <v>1</v>
      </c>
      <c r="D5">
        <v>500</v>
      </c>
      <c r="E5" s="371"/>
    </row>
    <row r="6" spans="1:5" x14ac:dyDescent="0.55000000000000004">
      <c r="A6" s="79" t="s">
        <v>32</v>
      </c>
      <c r="B6">
        <v>5</v>
      </c>
      <c r="C6">
        <v>0</v>
      </c>
      <c r="D6">
        <v>0</v>
      </c>
      <c r="E6" s="371"/>
    </row>
    <row r="7" spans="1:5" x14ac:dyDescent="0.55000000000000004">
      <c r="A7" s="79" t="s">
        <v>33</v>
      </c>
      <c r="B7">
        <v>6</v>
      </c>
      <c r="C7">
        <v>1</v>
      </c>
      <c r="D7">
        <v>500</v>
      </c>
      <c r="E7" s="371"/>
    </row>
    <row r="8" spans="1:5" x14ac:dyDescent="0.55000000000000004">
      <c r="A8" s="79" t="s">
        <v>34</v>
      </c>
      <c r="B8">
        <v>7</v>
      </c>
      <c r="C8">
        <v>1</v>
      </c>
      <c r="D8">
        <v>500</v>
      </c>
      <c r="E8" s="371"/>
    </row>
    <row r="9" spans="1:5" x14ac:dyDescent="0.55000000000000004">
      <c r="A9" s="79" t="s">
        <v>35</v>
      </c>
      <c r="B9">
        <v>8</v>
      </c>
      <c r="C9">
        <v>0</v>
      </c>
      <c r="D9">
        <v>0</v>
      </c>
      <c r="E9" s="371"/>
    </row>
    <row r="10" spans="1:5" x14ac:dyDescent="0.55000000000000004">
      <c r="A10" s="79" t="s">
        <v>36</v>
      </c>
      <c r="B10">
        <v>9</v>
      </c>
      <c r="C10">
        <v>1</v>
      </c>
      <c r="D10">
        <v>500</v>
      </c>
      <c r="E10" s="371"/>
    </row>
    <row r="11" spans="1:5" x14ac:dyDescent="0.55000000000000004">
      <c r="A11" s="79" t="s">
        <v>38</v>
      </c>
      <c r="B11">
        <v>10</v>
      </c>
      <c r="C11">
        <v>1</v>
      </c>
      <c r="D11">
        <v>500</v>
      </c>
      <c r="E11" s="371"/>
    </row>
    <row r="12" spans="1:5" x14ac:dyDescent="0.55000000000000004">
      <c r="A12" s="79" t="s">
        <v>40</v>
      </c>
      <c r="B12">
        <v>11</v>
      </c>
      <c r="C12">
        <v>1</v>
      </c>
      <c r="D12">
        <v>500</v>
      </c>
      <c r="E12" s="371"/>
    </row>
    <row r="13" spans="1:5" x14ac:dyDescent="0.55000000000000004">
      <c r="A13" s="79" t="s">
        <v>42</v>
      </c>
      <c r="B13">
        <v>12</v>
      </c>
      <c r="C13">
        <v>1</v>
      </c>
      <c r="D13">
        <v>500</v>
      </c>
      <c r="E13" s="371"/>
    </row>
    <row r="14" spans="1:5" x14ac:dyDescent="0.55000000000000004">
      <c r="A14" s="79" t="s">
        <v>44</v>
      </c>
      <c r="B14">
        <v>13</v>
      </c>
      <c r="C14">
        <v>1</v>
      </c>
      <c r="D14">
        <v>500</v>
      </c>
      <c r="E14" s="371"/>
    </row>
    <row r="15" spans="1:5" x14ac:dyDescent="0.55000000000000004">
      <c r="A15" s="79" t="s">
        <v>46</v>
      </c>
      <c r="B15">
        <v>14</v>
      </c>
      <c r="C15">
        <v>1</v>
      </c>
      <c r="D15">
        <v>500</v>
      </c>
      <c r="E15" s="371"/>
    </row>
    <row r="16" spans="1:5" x14ac:dyDescent="0.55000000000000004">
      <c r="A16" s="79" t="s">
        <v>48</v>
      </c>
      <c r="B16">
        <v>15</v>
      </c>
      <c r="C16">
        <v>0</v>
      </c>
      <c r="D16">
        <v>0</v>
      </c>
      <c r="E16" s="371"/>
    </row>
    <row r="17" spans="1:5" x14ac:dyDescent="0.55000000000000004">
      <c r="A17" s="79" t="s">
        <v>50</v>
      </c>
      <c r="B17">
        <v>16</v>
      </c>
      <c r="C17">
        <v>0</v>
      </c>
      <c r="D17">
        <v>0</v>
      </c>
      <c r="E17" s="371"/>
    </row>
    <row r="18" spans="1:5" x14ac:dyDescent="0.55000000000000004">
      <c r="A18" s="79" t="s">
        <v>52</v>
      </c>
      <c r="B18">
        <v>17</v>
      </c>
      <c r="C18">
        <v>0</v>
      </c>
      <c r="D18">
        <v>0</v>
      </c>
      <c r="E18" s="371"/>
    </row>
    <row r="19" spans="1:5" x14ac:dyDescent="0.55000000000000004">
      <c r="A19" s="79" t="s">
        <v>54</v>
      </c>
      <c r="B19">
        <v>18</v>
      </c>
      <c r="C19">
        <v>1</v>
      </c>
      <c r="D19">
        <v>500</v>
      </c>
      <c r="E19" s="371"/>
    </row>
    <row r="20" spans="1:5" x14ac:dyDescent="0.55000000000000004">
      <c r="A20" s="79" t="s">
        <v>56</v>
      </c>
      <c r="B20">
        <v>19</v>
      </c>
      <c r="C20">
        <v>1</v>
      </c>
      <c r="D20">
        <v>500</v>
      </c>
      <c r="E20" s="371"/>
    </row>
    <row r="21" spans="1:5" x14ac:dyDescent="0.55000000000000004">
      <c r="A21" s="79" t="s">
        <v>58</v>
      </c>
      <c r="B21">
        <v>20</v>
      </c>
      <c r="C21">
        <v>1</v>
      </c>
      <c r="D21">
        <v>500</v>
      </c>
      <c r="E21" s="371"/>
    </row>
    <row r="22" spans="1:5" x14ac:dyDescent="0.55000000000000004">
      <c r="A22" s="79" t="s">
        <v>60</v>
      </c>
      <c r="B22">
        <v>21</v>
      </c>
      <c r="C22">
        <v>1</v>
      </c>
      <c r="D22">
        <v>500</v>
      </c>
      <c r="E22" s="371"/>
    </row>
    <row r="23" spans="1:5" x14ac:dyDescent="0.55000000000000004">
      <c r="A23" s="79" t="s">
        <v>62</v>
      </c>
      <c r="B23">
        <v>22</v>
      </c>
      <c r="C23">
        <v>0</v>
      </c>
      <c r="D23">
        <v>0</v>
      </c>
      <c r="E23" s="371"/>
    </row>
    <row r="25" spans="1:5" x14ac:dyDescent="0.55000000000000004">
      <c r="B25" s="20" t="s">
        <v>348</v>
      </c>
    </row>
    <row r="26" spans="1:5" ht="14.5" customHeight="1" x14ac:dyDescent="0.55000000000000004">
      <c r="B26" s="246" t="s">
        <v>342</v>
      </c>
    </row>
    <row r="27" spans="1:5" x14ac:dyDescent="0.55000000000000004">
      <c r="B27" s="246"/>
    </row>
    <row r="28" spans="1:5" x14ac:dyDescent="0.55000000000000004">
      <c r="B28" s="246"/>
    </row>
    <row r="29" spans="1:5" x14ac:dyDescent="0.55000000000000004">
      <c r="B29" s="246"/>
    </row>
    <row r="30" spans="1:5" x14ac:dyDescent="0.55000000000000004">
      <c r="B30" s="246"/>
    </row>
    <row r="31" spans="1:5" x14ac:dyDescent="0.55000000000000004">
      <c r="B31" s="246"/>
    </row>
    <row r="32" spans="1:5" x14ac:dyDescent="0.55000000000000004">
      <c r="B32" s="246"/>
    </row>
    <row r="33" spans="2:2" x14ac:dyDescent="0.55000000000000004">
      <c r="B33" s="246"/>
    </row>
    <row r="34" spans="2:2" x14ac:dyDescent="0.55000000000000004">
      <c r="B34" s="246"/>
    </row>
    <row r="35" spans="2:2" x14ac:dyDescent="0.55000000000000004">
      <c r="B35" s="246"/>
    </row>
    <row r="36" spans="2:2" x14ac:dyDescent="0.55000000000000004">
      <c r="B36" s="246"/>
    </row>
    <row r="37" spans="2:2" x14ac:dyDescent="0.55000000000000004">
      <c r="B37" s="246"/>
    </row>
    <row r="38" spans="2:2" x14ac:dyDescent="0.55000000000000004">
      <c r="B38" s="246"/>
    </row>
    <row r="39" spans="2:2" x14ac:dyDescent="0.55000000000000004">
      <c r="B39" s="246"/>
    </row>
    <row r="40" spans="2:2" x14ac:dyDescent="0.55000000000000004">
      <c r="B40" s="246"/>
    </row>
    <row r="41" spans="2:2" x14ac:dyDescent="0.55000000000000004">
      <c r="B41" s="246"/>
    </row>
    <row r="42" spans="2:2" x14ac:dyDescent="0.55000000000000004">
      <c r="B42" s="246"/>
    </row>
    <row r="43" spans="2:2" x14ac:dyDescent="0.55000000000000004">
      <c r="B43" s="246"/>
    </row>
    <row r="44" spans="2:2" x14ac:dyDescent="0.55000000000000004">
      <c r="B44" s="246"/>
    </row>
    <row r="45" spans="2:2" x14ac:dyDescent="0.55000000000000004">
      <c r="B45" s="246"/>
    </row>
    <row r="46" spans="2:2" x14ac:dyDescent="0.55000000000000004">
      <c r="B46" s="246"/>
    </row>
    <row r="47" spans="2:2" x14ac:dyDescent="0.55000000000000004">
      <c r="B47" s="246"/>
    </row>
  </sheetData>
  <mergeCells count="1">
    <mergeCell ref="E2:E23"/>
  </mergeCells>
  <pageMargins left="0.7" right="0.7" top="0.75" bottom="0.75" header="0.3" footer="0.3"/>
  <pageSetup paperSize="9" orientation="portrait" horizontalDpi="4294967293"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C13FD2-872E-45C5-8396-8B3E666944EF}">
  <sheetPr>
    <tabColor theme="0" tint="-0.249977111117893"/>
  </sheetPr>
  <dimension ref="A1:L23"/>
  <sheetViews>
    <sheetView workbookViewId="0">
      <selection activeCell="M18" sqref="M18"/>
    </sheetView>
  </sheetViews>
  <sheetFormatPr defaultRowHeight="14.4" x14ac:dyDescent="0.55000000000000004"/>
  <cols>
    <col min="1" max="1" width="13.83984375" customWidth="1"/>
  </cols>
  <sheetData>
    <row r="1" spans="1:12" ht="23.7" thickBot="1" x14ac:dyDescent="0.6">
      <c r="A1" s="15"/>
      <c r="B1" s="65" t="s">
        <v>83</v>
      </c>
      <c r="C1" s="65" t="s">
        <v>84</v>
      </c>
      <c r="D1" s="65" t="s">
        <v>85</v>
      </c>
      <c r="E1" s="65" t="s">
        <v>86</v>
      </c>
      <c r="F1" s="65" t="s">
        <v>87</v>
      </c>
      <c r="G1" s="65" t="s">
        <v>88</v>
      </c>
      <c r="H1" s="65" t="s">
        <v>89</v>
      </c>
      <c r="I1" s="65" t="s">
        <v>90</v>
      </c>
      <c r="J1" s="65" t="s">
        <v>91</v>
      </c>
      <c r="K1" s="65" t="s">
        <v>92</v>
      </c>
      <c r="L1" s="65" t="s">
        <v>93</v>
      </c>
    </row>
    <row r="2" spans="1:12" x14ac:dyDescent="0.55000000000000004">
      <c r="A2" s="15" t="s">
        <v>94</v>
      </c>
      <c r="B2" s="48">
        <v>1.2</v>
      </c>
      <c r="C2" s="49">
        <v>1</v>
      </c>
      <c r="D2" s="49">
        <v>1.4</v>
      </c>
      <c r="E2" s="49">
        <v>1</v>
      </c>
      <c r="F2" s="49">
        <v>0.8</v>
      </c>
      <c r="G2" s="49">
        <v>1.2</v>
      </c>
      <c r="H2" s="49">
        <v>0.8</v>
      </c>
      <c r="I2" s="49">
        <v>0.6</v>
      </c>
      <c r="J2" s="49">
        <v>1</v>
      </c>
      <c r="K2" s="48"/>
      <c r="L2" s="50"/>
    </row>
    <row r="3" spans="1:12" x14ac:dyDescent="0.55000000000000004">
      <c r="A3" s="15" t="s">
        <v>95</v>
      </c>
      <c r="B3" s="51">
        <v>1.2</v>
      </c>
      <c r="C3" s="15">
        <v>1</v>
      </c>
      <c r="D3" s="15">
        <v>1.4</v>
      </c>
      <c r="E3" s="15">
        <v>1</v>
      </c>
      <c r="F3" s="15">
        <v>0.8</v>
      </c>
      <c r="G3" s="15">
        <v>1.2</v>
      </c>
      <c r="H3" s="15">
        <v>0.8</v>
      </c>
      <c r="I3" s="15">
        <v>0.6</v>
      </c>
      <c r="J3" s="15">
        <v>1</v>
      </c>
      <c r="K3" s="51"/>
      <c r="L3" s="52"/>
    </row>
    <row r="4" spans="1:12" x14ac:dyDescent="0.55000000000000004">
      <c r="A4" s="15" t="s">
        <v>96</v>
      </c>
      <c r="B4" s="51">
        <v>1</v>
      </c>
      <c r="C4" s="15">
        <v>0.8</v>
      </c>
      <c r="D4" s="15">
        <v>1.2</v>
      </c>
      <c r="E4" s="15">
        <v>1</v>
      </c>
      <c r="F4" s="15">
        <v>0.8</v>
      </c>
      <c r="G4" s="15">
        <v>1.2</v>
      </c>
      <c r="H4" s="15">
        <v>1</v>
      </c>
      <c r="I4" s="15">
        <v>0.8</v>
      </c>
      <c r="J4" s="15">
        <v>1.2</v>
      </c>
      <c r="K4" s="51"/>
      <c r="L4" s="52"/>
    </row>
    <row r="5" spans="1:12" ht="14.7" thickBot="1" x14ac:dyDescent="0.6">
      <c r="A5" s="15" t="s">
        <v>97</v>
      </c>
      <c r="B5" s="53">
        <v>1.2</v>
      </c>
      <c r="C5" s="54">
        <v>1</v>
      </c>
      <c r="D5" s="54">
        <v>1.4</v>
      </c>
      <c r="E5" s="54">
        <v>1</v>
      </c>
      <c r="F5" s="54">
        <v>0.8</v>
      </c>
      <c r="G5" s="54">
        <v>1.2</v>
      </c>
      <c r="H5" s="54">
        <v>0.8</v>
      </c>
      <c r="I5" s="54">
        <v>0.6</v>
      </c>
      <c r="J5" s="54">
        <v>1</v>
      </c>
      <c r="K5" s="51"/>
      <c r="L5" s="52"/>
    </row>
    <row r="6" spans="1:12" x14ac:dyDescent="0.55000000000000004">
      <c r="A6" s="15" t="s">
        <v>98</v>
      </c>
      <c r="B6" s="48">
        <v>45.39</v>
      </c>
      <c r="C6" s="49">
        <v>36.312000000000005</v>
      </c>
      <c r="D6" s="49">
        <v>54.467999999999996</v>
      </c>
      <c r="E6" s="49">
        <v>45.39</v>
      </c>
      <c r="F6" s="49">
        <v>36.312000000000005</v>
      </c>
      <c r="G6" s="49">
        <v>54.467999999999996</v>
      </c>
      <c r="H6" s="49">
        <v>45.39</v>
      </c>
      <c r="I6" s="49">
        <v>36.312000000000005</v>
      </c>
      <c r="J6" s="49">
        <v>54.467999999999996</v>
      </c>
      <c r="K6" s="51"/>
      <c r="L6" s="52"/>
    </row>
    <row r="7" spans="1:12" x14ac:dyDescent="0.55000000000000004">
      <c r="A7" s="15" t="s">
        <v>99</v>
      </c>
      <c r="B7" s="56">
        <v>61.2</v>
      </c>
      <c r="C7" s="57">
        <v>48.960000000000008</v>
      </c>
      <c r="D7" s="57">
        <v>73.44</v>
      </c>
      <c r="E7" s="57">
        <v>61.2</v>
      </c>
      <c r="F7" s="57">
        <v>48.960000000000008</v>
      </c>
      <c r="G7" s="57">
        <v>73.44</v>
      </c>
      <c r="H7" s="57">
        <v>61.2</v>
      </c>
      <c r="I7" s="57">
        <v>48.960000000000008</v>
      </c>
      <c r="J7" s="57">
        <v>73.44</v>
      </c>
      <c r="K7" s="51"/>
      <c r="L7" s="52"/>
    </row>
    <row r="8" spans="1:12" x14ac:dyDescent="0.55000000000000004">
      <c r="A8" s="15" t="s">
        <v>100</v>
      </c>
      <c r="B8" s="58">
        <v>678.3</v>
      </c>
      <c r="C8" s="15">
        <v>542.64</v>
      </c>
      <c r="D8" s="15">
        <v>813.95999999999992</v>
      </c>
      <c r="E8" s="59">
        <v>678.3</v>
      </c>
      <c r="F8" s="15">
        <v>542.64</v>
      </c>
      <c r="G8" s="15">
        <v>813.95999999999992</v>
      </c>
      <c r="H8" s="59">
        <v>678.3</v>
      </c>
      <c r="I8" s="15">
        <v>542.64</v>
      </c>
      <c r="J8" s="15">
        <v>813.95999999999992</v>
      </c>
      <c r="K8" s="51">
        <v>2</v>
      </c>
      <c r="L8" s="66">
        <v>6</v>
      </c>
    </row>
    <row r="9" spans="1:12" x14ac:dyDescent="0.55000000000000004">
      <c r="A9" s="15" t="s">
        <v>101</v>
      </c>
      <c r="B9" s="58">
        <v>678.3</v>
      </c>
      <c r="C9" s="15">
        <v>542.64</v>
      </c>
      <c r="D9" s="15">
        <v>813.95999999999992</v>
      </c>
      <c r="E9" s="59">
        <v>678.3</v>
      </c>
      <c r="F9" s="15">
        <v>542.64</v>
      </c>
      <c r="G9" s="15">
        <v>813.95999999999992</v>
      </c>
      <c r="H9" s="59">
        <v>678.3</v>
      </c>
      <c r="I9" s="15">
        <v>542.64</v>
      </c>
      <c r="J9" s="15">
        <v>813.95999999999992</v>
      </c>
      <c r="K9" s="51">
        <v>7</v>
      </c>
      <c r="L9" s="66">
        <v>24</v>
      </c>
    </row>
    <row r="10" spans="1:12" x14ac:dyDescent="0.55000000000000004">
      <c r="A10" s="15" t="s">
        <v>102</v>
      </c>
      <c r="B10" s="58">
        <v>1356.6</v>
      </c>
      <c r="C10" s="15">
        <v>1085.28</v>
      </c>
      <c r="D10" s="15">
        <v>1627.9199999999998</v>
      </c>
      <c r="E10" s="59">
        <v>678.3</v>
      </c>
      <c r="F10" s="15">
        <v>542.64</v>
      </c>
      <c r="G10" s="15">
        <v>813.95999999999992</v>
      </c>
      <c r="H10" s="59">
        <v>678.3</v>
      </c>
      <c r="I10" s="15">
        <v>542.64</v>
      </c>
      <c r="J10" s="15">
        <v>813.95999999999992</v>
      </c>
      <c r="K10" s="51">
        <v>25</v>
      </c>
      <c r="L10" s="66">
        <v>48</v>
      </c>
    </row>
    <row r="11" spans="1:12" x14ac:dyDescent="0.55000000000000004">
      <c r="A11" s="15" t="s">
        <v>103</v>
      </c>
      <c r="B11" s="58">
        <v>2034.8999999999999</v>
      </c>
      <c r="C11" s="15">
        <v>1627.92</v>
      </c>
      <c r="D11" s="15">
        <v>2441.8799999999997</v>
      </c>
      <c r="E11" s="59">
        <v>678.3</v>
      </c>
      <c r="F11" s="15">
        <v>542.64</v>
      </c>
      <c r="G11" s="15">
        <v>813.95999999999992</v>
      </c>
      <c r="H11" s="59">
        <v>678.3</v>
      </c>
      <c r="I11" s="15">
        <v>542.64</v>
      </c>
      <c r="J11" s="15">
        <v>813.95999999999992</v>
      </c>
      <c r="K11" s="51">
        <v>49</v>
      </c>
      <c r="L11" s="66">
        <v>72</v>
      </c>
    </row>
    <row r="12" spans="1:12" x14ac:dyDescent="0.55000000000000004">
      <c r="A12" s="15" t="s">
        <v>104</v>
      </c>
      <c r="B12" s="58">
        <v>3391.5</v>
      </c>
      <c r="C12" s="15">
        <v>2713.2000000000003</v>
      </c>
      <c r="D12" s="15">
        <v>4069.7999999999997</v>
      </c>
      <c r="E12" s="59">
        <v>1356.6</v>
      </c>
      <c r="F12" s="15">
        <v>1085.28</v>
      </c>
      <c r="G12" s="15">
        <v>1627.9199999999998</v>
      </c>
      <c r="H12" s="59">
        <v>1017.4499999999999</v>
      </c>
      <c r="I12" s="15">
        <v>813.96</v>
      </c>
      <c r="J12" s="15">
        <v>1220.9399999999998</v>
      </c>
      <c r="K12" s="51">
        <v>73</v>
      </c>
      <c r="L12" s="66">
        <v>96</v>
      </c>
    </row>
    <row r="13" spans="1:12" x14ac:dyDescent="0.55000000000000004">
      <c r="A13" s="15" t="s">
        <v>105</v>
      </c>
      <c r="B13" s="58">
        <v>5426.4</v>
      </c>
      <c r="C13" s="15">
        <v>4341.12</v>
      </c>
      <c r="D13" s="15">
        <v>6511.6799999999994</v>
      </c>
      <c r="E13" s="59">
        <v>1356.6</v>
      </c>
      <c r="F13" s="15">
        <v>1085.28</v>
      </c>
      <c r="G13" s="15">
        <v>1627.9199999999998</v>
      </c>
      <c r="H13" s="59">
        <v>1017.4499999999999</v>
      </c>
      <c r="I13" s="15">
        <v>813.96</v>
      </c>
      <c r="J13" s="15">
        <v>1220.9399999999998</v>
      </c>
      <c r="K13" s="51">
        <v>97</v>
      </c>
      <c r="L13" s="66">
        <v>120</v>
      </c>
    </row>
    <row r="14" spans="1:12" x14ac:dyDescent="0.55000000000000004">
      <c r="A14" s="15" t="s">
        <v>106</v>
      </c>
      <c r="B14" s="58">
        <v>8817.9</v>
      </c>
      <c r="C14" s="15">
        <v>7054.32</v>
      </c>
      <c r="D14" s="15">
        <v>10581.48</v>
      </c>
      <c r="E14" s="59">
        <v>1356.6</v>
      </c>
      <c r="F14" s="15">
        <v>1085.28</v>
      </c>
      <c r="G14" s="15">
        <v>1627.9199999999998</v>
      </c>
      <c r="H14" s="59">
        <v>1017.4499999999999</v>
      </c>
      <c r="I14" s="15">
        <v>813.96</v>
      </c>
      <c r="J14" s="15">
        <v>1220.9399999999998</v>
      </c>
      <c r="K14" s="51">
        <v>121</v>
      </c>
      <c r="L14" s="66">
        <v>144</v>
      </c>
    </row>
    <row r="15" spans="1:12" x14ac:dyDescent="0.55000000000000004">
      <c r="A15" s="15" t="s">
        <v>107</v>
      </c>
      <c r="B15" s="58">
        <v>10000</v>
      </c>
      <c r="C15" s="15">
        <v>8000</v>
      </c>
      <c r="D15" s="15">
        <v>12000</v>
      </c>
      <c r="E15" s="59">
        <v>2034.8999999999999</v>
      </c>
      <c r="F15" s="15">
        <v>1627.92</v>
      </c>
      <c r="G15" s="15">
        <v>2441.8799999999997</v>
      </c>
      <c r="H15" s="59">
        <v>1017.4499999999999</v>
      </c>
      <c r="I15" s="15">
        <v>813.96</v>
      </c>
      <c r="J15" s="15">
        <v>1220.9399999999998</v>
      </c>
      <c r="K15" s="51">
        <v>145</v>
      </c>
      <c r="L15" s="66">
        <v>168</v>
      </c>
    </row>
    <row r="16" spans="1:12" x14ac:dyDescent="0.55000000000000004">
      <c r="A16" s="15" t="s">
        <v>108</v>
      </c>
      <c r="B16" s="58">
        <v>10000</v>
      </c>
      <c r="C16" s="15">
        <v>8000</v>
      </c>
      <c r="D16" s="15">
        <v>12000</v>
      </c>
      <c r="E16" s="59">
        <v>2034.8999999999999</v>
      </c>
      <c r="F16" s="15">
        <v>1627.92</v>
      </c>
      <c r="G16" s="15">
        <v>2441.8799999999997</v>
      </c>
      <c r="H16" s="59">
        <v>1017.4499999999999</v>
      </c>
      <c r="I16" s="15">
        <v>813.96</v>
      </c>
      <c r="J16" s="15">
        <v>1220.9399999999998</v>
      </c>
      <c r="K16" s="51">
        <v>169</v>
      </c>
      <c r="L16" s="66">
        <v>192</v>
      </c>
    </row>
    <row r="17" spans="1:12" x14ac:dyDescent="0.55000000000000004">
      <c r="A17" s="15" t="s">
        <v>109</v>
      </c>
      <c r="B17" s="58">
        <v>10000</v>
      </c>
      <c r="C17" s="15">
        <v>8000</v>
      </c>
      <c r="D17" s="15">
        <v>12000</v>
      </c>
      <c r="E17" s="59">
        <v>2034.8999999999999</v>
      </c>
      <c r="F17" s="15">
        <v>1627.92</v>
      </c>
      <c r="G17" s="15">
        <v>2441.8799999999997</v>
      </c>
      <c r="H17" s="59">
        <v>1356.6</v>
      </c>
      <c r="I17" s="15">
        <v>1085.28</v>
      </c>
      <c r="J17" s="15">
        <v>1627.9199999999998</v>
      </c>
      <c r="K17" s="51">
        <v>193</v>
      </c>
      <c r="L17" s="66">
        <v>216</v>
      </c>
    </row>
    <row r="18" spans="1:12" x14ac:dyDescent="0.55000000000000004">
      <c r="A18" s="15" t="s">
        <v>110</v>
      </c>
      <c r="B18" s="58">
        <v>10000</v>
      </c>
      <c r="C18" s="15">
        <v>8000</v>
      </c>
      <c r="D18" s="15">
        <v>12000</v>
      </c>
      <c r="E18" s="59">
        <v>2713.2</v>
      </c>
      <c r="F18" s="15">
        <v>2170.56</v>
      </c>
      <c r="G18" s="15">
        <v>3255.8399999999997</v>
      </c>
      <c r="H18" s="59">
        <v>1356.6</v>
      </c>
      <c r="I18" s="15">
        <v>1085.28</v>
      </c>
      <c r="J18" s="15">
        <v>1627.9199999999998</v>
      </c>
      <c r="K18" s="51">
        <v>217</v>
      </c>
      <c r="L18" s="66">
        <v>240</v>
      </c>
    </row>
    <row r="19" spans="1:12" x14ac:dyDescent="0.55000000000000004">
      <c r="A19" s="15" t="s">
        <v>111</v>
      </c>
      <c r="B19" s="58">
        <v>10000</v>
      </c>
      <c r="C19" s="15">
        <v>8000</v>
      </c>
      <c r="D19" s="15">
        <v>12000</v>
      </c>
      <c r="E19" s="59">
        <v>2713.2</v>
      </c>
      <c r="F19" s="15">
        <v>2170.56</v>
      </c>
      <c r="G19" s="15">
        <v>3255.8399999999997</v>
      </c>
      <c r="H19" s="59">
        <v>1356.6</v>
      </c>
      <c r="I19" s="15">
        <v>1085.28</v>
      </c>
      <c r="J19" s="15">
        <v>1627.9199999999998</v>
      </c>
      <c r="K19" s="51">
        <v>241</v>
      </c>
      <c r="L19" s="66">
        <v>264</v>
      </c>
    </row>
    <row r="20" spans="1:12" x14ac:dyDescent="0.55000000000000004">
      <c r="A20" s="15" t="s">
        <v>112</v>
      </c>
      <c r="B20" s="58">
        <v>10000</v>
      </c>
      <c r="C20" s="15">
        <v>8000</v>
      </c>
      <c r="D20" s="15">
        <v>12000</v>
      </c>
      <c r="E20" s="59">
        <v>2713.2</v>
      </c>
      <c r="F20" s="15">
        <v>2170.56</v>
      </c>
      <c r="G20" s="15">
        <v>3255.8399999999997</v>
      </c>
      <c r="H20" s="59">
        <v>1356.6</v>
      </c>
      <c r="I20" s="15">
        <v>1085.28</v>
      </c>
      <c r="J20" s="15">
        <v>1627.9199999999998</v>
      </c>
      <c r="K20" s="51">
        <v>265</v>
      </c>
      <c r="L20" s="66">
        <v>288</v>
      </c>
    </row>
    <row r="21" spans="1:12" x14ac:dyDescent="0.55000000000000004">
      <c r="A21" s="15" t="s">
        <v>113</v>
      </c>
      <c r="B21" s="58">
        <v>10000</v>
      </c>
      <c r="C21" s="15">
        <v>8000</v>
      </c>
      <c r="D21" s="15">
        <v>12000</v>
      </c>
      <c r="E21" s="59">
        <v>3391.5</v>
      </c>
      <c r="F21" s="15">
        <v>2713.2000000000003</v>
      </c>
      <c r="G21" s="15">
        <v>4069.7999999999997</v>
      </c>
      <c r="H21" s="59">
        <v>1356.6</v>
      </c>
      <c r="I21" s="15">
        <v>1085.28</v>
      </c>
      <c r="J21" s="15">
        <v>1627.9199999999998</v>
      </c>
      <c r="K21" s="51">
        <v>289</v>
      </c>
      <c r="L21" s="66">
        <v>312</v>
      </c>
    </row>
    <row r="22" spans="1:12" x14ac:dyDescent="0.55000000000000004">
      <c r="A22" s="15" t="s">
        <v>114</v>
      </c>
      <c r="B22" s="58">
        <v>10000</v>
      </c>
      <c r="C22" s="15">
        <v>8000</v>
      </c>
      <c r="D22" s="15">
        <v>12000</v>
      </c>
      <c r="E22" s="59">
        <v>3391.5</v>
      </c>
      <c r="F22" s="15">
        <v>2713.2000000000003</v>
      </c>
      <c r="G22" s="15">
        <v>4069.7999999999997</v>
      </c>
      <c r="H22" s="59">
        <v>1356.6</v>
      </c>
      <c r="I22" s="15">
        <v>1085.28</v>
      </c>
      <c r="J22" s="15">
        <v>1627.9199999999998</v>
      </c>
      <c r="K22" s="51">
        <v>313</v>
      </c>
      <c r="L22" s="66">
        <v>336</v>
      </c>
    </row>
    <row r="23" spans="1:12" ht="14.7" thickBot="1" x14ac:dyDescent="0.6">
      <c r="A23" s="15" t="s">
        <v>115</v>
      </c>
      <c r="B23" s="61">
        <v>10000</v>
      </c>
      <c r="C23" s="54">
        <v>8000</v>
      </c>
      <c r="D23" s="54">
        <v>12000</v>
      </c>
      <c r="E23" s="42">
        <v>3391.5</v>
      </c>
      <c r="F23" s="54">
        <v>2713.2000000000003</v>
      </c>
      <c r="G23" s="54">
        <v>4069.7999999999997</v>
      </c>
      <c r="H23" s="42">
        <v>1356.6</v>
      </c>
      <c r="I23" s="54">
        <v>1085.28</v>
      </c>
      <c r="J23" s="54">
        <v>1627.9199999999998</v>
      </c>
      <c r="K23" s="53">
        <v>337</v>
      </c>
      <c r="L23" s="67">
        <v>400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EF7E01-CCB9-49B2-8056-EA417E4A3C7F}">
  <sheetPr>
    <tabColor theme="0" tint="-0.249977111117893"/>
  </sheetPr>
  <dimension ref="A1:X13"/>
  <sheetViews>
    <sheetView workbookViewId="0">
      <selection activeCell="A12" sqref="A12"/>
    </sheetView>
  </sheetViews>
  <sheetFormatPr defaultColWidth="8.83984375" defaultRowHeight="11.7" x14ac:dyDescent="0.45"/>
  <cols>
    <col min="1" max="1" width="12.15625" style="15" customWidth="1"/>
    <col min="2" max="16384" width="8.83984375" style="15"/>
  </cols>
  <sheetData>
    <row r="1" spans="1:24" ht="35.1" x14ac:dyDescent="0.45">
      <c r="A1" s="19" t="s">
        <v>116</v>
      </c>
      <c r="B1" s="73" t="s">
        <v>117</v>
      </c>
      <c r="C1" s="73" t="s">
        <v>118</v>
      </c>
      <c r="D1" s="73" t="s">
        <v>119</v>
      </c>
      <c r="E1" s="73" t="s">
        <v>120</v>
      </c>
      <c r="F1" s="73" t="s">
        <v>121</v>
      </c>
      <c r="G1" s="73" t="s">
        <v>122</v>
      </c>
      <c r="H1" s="73" t="s">
        <v>123</v>
      </c>
      <c r="I1" s="73" t="s">
        <v>124</v>
      </c>
      <c r="J1" s="73" t="s">
        <v>125</v>
      </c>
      <c r="K1" s="73" t="s">
        <v>126</v>
      </c>
      <c r="L1" s="73" t="s">
        <v>127</v>
      </c>
      <c r="M1" s="73" t="s">
        <v>128</v>
      </c>
      <c r="N1" s="73" t="s">
        <v>129</v>
      </c>
      <c r="O1" s="73" t="s">
        <v>130</v>
      </c>
      <c r="P1" s="73" t="s">
        <v>131</v>
      </c>
      <c r="Q1" s="73" t="s">
        <v>132</v>
      </c>
      <c r="R1" s="73" t="s">
        <v>133</v>
      </c>
      <c r="S1" s="73" t="s">
        <v>134</v>
      </c>
      <c r="T1" s="73" t="s">
        <v>135</v>
      </c>
      <c r="U1" s="73" t="s">
        <v>136</v>
      </c>
      <c r="V1" s="73" t="s">
        <v>137</v>
      </c>
      <c r="X1" s="19" t="s">
        <v>149</v>
      </c>
    </row>
    <row r="2" spans="1:24" ht="15.6" customHeight="1" x14ac:dyDescent="0.45">
      <c r="A2" s="19"/>
      <c r="B2" s="372" t="s">
        <v>286</v>
      </c>
      <c r="C2" s="372"/>
      <c r="D2" s="372"/>
      <c r="E2" s="372"/>
      <c r="F2" s="372"/>
      <c r="G2" s="372"/>
      <c r="H2" s="372"/>
      <c r="I2" s="372"/>
      <c r="J2" s="372"/>
      <c r="K2" s="372"/>
      <c r="L2" s="372"/>
      <c r="M2" s="372"/>
      <c r="N2" s="372"/>
      <c r="O2" s="372"/>
      <c r="P2" s="372"/>
      <c r="Q2" s="372"/>
      <c r="R2" s="372"/>
      <c r="S2" s="372"/>
      <c r="T2" s="372"/>
      <c r="U2" s="372"/>
      <c r="V2" s="372"/>
    </row>
    <row r="3" spans="1:24" ht="11.65" customHeight="1" x14ac:dyDescent="0.45">
      <c r="A3" s="15" t="s">
        <v>138</v>
      </c>
      <c r="B3" s="34">
        <v>1.1565217391304348</v>
      </c>
      <c r="C3" s="34">
        <v>143.9729468599034</v>
      </c>
      <c r="D3" s="34">
        <v>1365.4705314009664</v>
      </c>
      <c r="E3" s="34">
        <v>0.51400966183574892</v>
      </c>
      <c r="F3" s="34">
        <v>0.89855072463768126</v>
      </c>
      <c r="G3" s="34">
        <v>20.34299516908213</v>
      </c>
      <c r="H3" s="34">
        <v>7.5458937198067648</v>
      </c>
      <c r="I3" s="34">
        <v>71.69758454106281</v>
      </c>
      <c r="J3" s="34">
        <v>24.311111111111117</v>
      </c>
      <c r="K3" s="34">
        <v>0</v>
      </c>
      <c r="L3" s="34">
        <v>6.5748792270531409</v>
      </c>
      <c r="M3" s="34">
        <v>0.58454106280193241</v>
      </c>
      <c r="N3" s="34">
        <v>2.8743961352657008</v>
      </c>
      <c r="O3" s="34">
        <v>1.4251207729468602</v>
      </c>
      <c r="P3" s="34">
        <v>51.301449275362316</v>
      </c>
      <c r="Q3" s="34">
        <v>0.57584541062801931</v>
      </c>
      <c r="R3" s="34">
        <v>0.1169082125603865</v>
      </c>
      <c r="S3" s="34">
        <v>0.58454106280193241</v>
      </c>
      <c r="T3" s="34">
        <v>26.750724637681159</v>
      </c>
      <c r="U3" s="34">
        <v>9.6618357487922718E-2</v>
      </c>
      <c r="V3" s="34">
        <v>128.72946859903382</v>
      </c>
      <c r="X3" s="372" t="s">
        <v>344</v>
      </c>
    </row>
    <row r="4" spans="1:24" x14ac:dyDescent="0.45">
      <c r="A4" s="15" t="s">
        <v>139</v>
      </c>
      <c r="B4" s="34">
        <v>1.7492537313432837</v>
      </c>
      <c r="C4" s="34">
        <v>174.73432835820896</v>
      </c>
      <c r="D4" s="34">
        <v>982.04477611940297</v>
      </c>
      <c r="E4" s="34">
        <v>8.3582089552238822E-2</v>
      </c>
      <c r="F4" s="34">
        <v>0.62686567164179097</v>
      </c>
      <c r="G4" s="34">
        <v>26.71641791044776</v>
      </c>
      <c r="H4" s="34">
        <v>11.134328358208954</v>
      </c>
      <c r="I4" s="34">
        <v>81.029850746268664</v>
      </c>
      <c r="J4" s="34">
        <v>31.671641791044777</v>
      </c>
      <c r="K4" s="34">
        <v>0</v>
      </c>
      <c r="L4" s="34">
        <v>5.3582089552238799</v>
      </c>
      <c r="M4" s="34">
        <v>0.47761194029850745</v>
      </c>
      <c r="N4" s="34">
        <v>2.3731343283582089</v>
      </c>
      <c r="O4" s="34">
        <v>1.5044776119402985</v>
      </c>
      <c r="P4" s="34">
        <v>66.677611940298505</v>
      </c>
      <c r="Q4" s="34">
        <v>0.51044776119402979</v>
      </c>
      <c r="R4" s="34">
        <v>0.11940298507462686</v>
      </c>
      <c r="S4" s="34">
        <v>1.3731343283582089</v>
      </c>
      <c r="T4" s="34">
        <v>22.758208955223882</v>
      </c>
      <c r="U4" s="34">
        <v>4.4776119402985079E-2</v>
      </c>
      <c r="V4" s="34">
        <v>99.507462686567166</v>
      </c>
      <c r="X4" s="372"/>
    </row>
    <row r="5" spans="1:24" x14ac:dyDescent="0.45">
      <c r="A5" s="15" t="s">
        <v>140</v>
      </c>
      <c r="B5" s="34">
        <v>1.3565217391304349</v>
      </c>
      <c r="C5" s="34">
        <v>168.82608695652175</v>
      </c>
      <c r="D5" s="34">
        <v>895.7630434782609</v>
      </c>
      <c r="E5" s="34">
        <v>0.29565217391304349</v>
      </c>
      <c r="F5" s="34">
        <v>1.5869565217391304</v>
      </c>
      <c r="G5" s="34">
        <v>18.806521739130435</v>
      </c>
      <c r="H5" s="34">
        <v>6.1847826086956523</v>
      </c>
      <c r="I5" s="34">
        <v>42.608695652173914</v>
      </c>
      <c r="J5" s="34">
        <v>7.517391304347826</v>
      </c>
      <c r="K5" s="34">
        <v>0</v>
      </c>
      <c r="L5" s="34">
        <v>6.7173913043478262</v>
      </c>
      <c r="M5" s="34">
        <v>0.32608695652173914</v>
      </c>
      <c r="N5" s="34">
        <v>2.1326086956521739</v>
      </c>
      <c r="O5" s="34">
        <v>0.64565217391304341</v>
      </c>
      <c r="P5" s="34">
        <v>54.360869565217392</v>
      </c>
      <c r="Q5" s="34">
        <v>0.1282608695652174</v>
      </c>
      <c r="R5" s="34">
        <v>0.11956521739130435</v>
      </c>
      <c r="S5" s="34">
        <v>0</v>
      </c>
      <c r="T5" s="34">
        <v>18.93695652173913</v>
      </c>
      <c r="U5" s="34">
        <v>0.18478260869565219</v>
      </c>
      <c r="V5" s="34">
        <v>36.228260869565212</v>
      </c>
      <c r="X5" s="372"/>
    </row>
    <row r="6" spans="1:24" x14ac:dyDescent="0.45">
      <c r="A6" s="15" t="s">
        <v>141</v>
      </c>
      <c r="B6" s="34">
        <v>1.441304347826087</v>
      </c>
      <c r="C6" s="34">
        <v>210.47826086956522</v>
      </c>
      <c r="D6" s="34">
        <v>892.33913043478265</v>
      </c>
      <c r="E6" s="34">
        <v>0.20869565217391306</v>
      </c>
      <c r="F6" s="34">
        <v>0.98913043478260865</v>
      </c>
      <c r="G6" s="34">
        <v>45.445652173913039</v>
      </c>
      <c r="H6" s="34">
        <v>5.5978260869565224</v>
      </c>
      <c r="I6" s="34">
        <v>41.076086956521742</v>
      </c>
      <c r="J6" s="34">
        <v>6.0304347826086957</v>
      </c>
      <c r="K6" s="34">
        <v>0</v>
      </c>
      <c r="L6" s="34">
        <v>18.445652173913043</v>
      </c>
      <c r="M6" s="34">
        <v>0.42391304347826092</v>
      </c>
      <c r="N6" s="34">
        <v>2.9652173913043476</v>
      </c>
      <c r="O6" s="34">
        <v>1.6847826086956521</v>
      </c>
      <c r="P6" s="34">
        <v>45.854347826086958</v>
      </c>
      <c r="Q6" s="34">
        <v>9.1304347826086957E-2</v>
      </c>
      <c r="R6" s="34">
        <v>0.11956521739130435</v>
      </c>
      <c r="S6" s="34">
        <v>0.54347826086956519</v>
      </c>
      <c r="T6" s="34">
        <v>18.110869565217392</v>
      </c>
      <c r="U6" s="34">
        <v>0.88043478260869568</v>
      </c>
      <c r="V6" s="34">
        <v>24</v>
      </c>
      <c r="X6" s="372"/>
    </row>
    <row r="7" spans="1:24" x14ac:dyDescent="0.45">
      <c r="A7" s="15" t="s">
        <v>142</v>
      </c>
      <c r="B7" s="34">
        <v>2.0065217391304353</v>
      </c>
      <c r="C7" s="34">
        <v>40.765217391304354</v>
      </c>
      <c r="D7" s="34">
        <v>970.25217391304352</v>
      </c>
      <c r="E7" s="34">
        <v>0.38260869565217392</v>
      </c>
      <c r="F7" s="34">
        <v>2.3369565217391304</v>
      </c>
      <c r="G7" s="34">
        <v>10.308695652173913</v>
      </c>
      <c r="H7" s="34">
        <v>8.3260869565217384</v>
      </c>
      <c r="I7" s="34">
        <v>38.008695652173905</v>
      </c>
      <c r="J7" s="34">
        <v>9.6586956521739129</v>
      </c>
      <c r="K7" s="34">
        <v>0</v>
      </c>
      <c r="L7" s="34">
        <v>0.97826086956521741</v>
      </c>
      <c r="M7" s="34">
        <v>7.6086956521739135E-2</v>
      </c>
      <c r="N7" s="34">
        <v>2.0478260869565217</v>
      </c>
      <c r="O7" s="34">
        <v>0.79130434782608705</v>
      </c>
      <c r="P7" s="34">
        <v>18.958695652173915</v>
      </c>
      <c r="Q7" s="34">
        <v>0.16521739130434784</v>
      </c>
      <c r="R7" s="34">
        <v>8.043478260869566E-2</v>
      </c>
      <c r="S7" s="34">
        <v>8.6956521739130432E-2</v>
      </c>
      <c r="T7" s="34">
        <v>24</v>
      </c>
      <c r="U7" s="34">
        <v>6.5217391304347838E-2</v>
      </c>
      <c r="V7" s="34">
        <v>43.478260869565226</v>
      </c>
      <c r="X7" s="372"/>
    </row>
    <row r="8" spans="1:24" x14ac:dyDescent="0.45">
      <c r="A8" s="15" t="s">
        <v>143</v>
      </c>
      <c r="B8" s="34">
        <v>2.4022471910112362</v>
      </c>
      <c r="C8" s="34">
        <v>0</v>
      </c>
      <c r="D8" s="34">
        <v>792.14606741573027</v>
      </c>
      <c r="E8" s="34">
        <v>0.16179775280898878</v>
      </c>
      <c r="F8" s="34">
        <v>1.8</v>
      </c>
      <c r="G8" s="34">
        <v>7.9191011235955049</v>
      </c>
      <c r="H8" s="34">
        <v>12.887640449438205</v>
      </c>
      <c r="I8" s="34">
        <v>26.946067415730337</v>
      </c>
      <c r="J8" s="34">
        <v>3.1370786516853935</v>
      </c>
      <c r="K8" s="34">
        <v>0</v>
      </c>
      <c r="L8" s="34">
        <v>0.6853932584269663</v>
      </c>
      <c r="M8" s="34">
        <v>0.10112359550561799</v>
      </c>
      <c r="N8" s="34">
        <v>2.047191011235955</v>
      </c>
      <c r="O8" s="34">
        <v>0.44719101123595506</v>
      </c>
      <c r="P8" s="34">
        <v>0.24719101123595505</v>
      </c>
      <c r="Q8" s="34">
        <v>6.9662921348314616E-2</v>
      </c>
      <c r="R8" s="34">
        <v>0.10337078651685394</v>
      </c>
      <c r="S8" s="34">
        <v>5.6179775280898882E-2</v>
      </c>
      <c r="T8" s="34">
        <v>27.080898876404497</v>
      </c>
      <c r="U8" s="34">
        <v>4.4943820224719107E-2</v>
      </c>
      <c r="V8" s="34">
        <v>30.977528089887642</v>
      </c>
      <c r="X8" s="372"/>
    </row>
    <row r="9" spans="1:24" x14ac:dyDescent="0.45">
      <c r="A9" s="15" t="s">
        <v>144</v>
      </c>
      <c r="B9" s="34">
        <v>0.16122448979591839</v>
      </c>
      <c r="C9" s="34">
        <v>3.3775510204081636</v>
      </c>
      <c r="D9" s="34">
        <v>663.94489795918378</v>
      </c>
      <c r="E9" s="34">
        <v>0</v>
      </c>
      <c r="F9" s="34">
        <v>5.1020408163265307E-2</v>
      </c>
      <c r="G9" s="34">
        <v>0.6612244897959183</v>
      </c>
      <c r="H9" s="34">
        <v>0.1326530612244898</v>
      </c>
      <c r="I9" s="34">
        <v>28.320408163265306</v>
      </c>
      <c r="J9" s="34">
        <v>53.34693877551021</v>
      </c>
      <c r="K9" s="34">
        <v>13.044897959183675</v>
      </c>
      <c r="L9" s="34">
        <v>0.15306122448979592</v>
      </c>
      <c r="M9" s="34">
        <v>0.23469387755102045</v>
      </c>
      <c r="N9" s="34">
        <v>1.1326530612244898</v>
      </c>
      <c r="O9" s="34">
        <v>0.14285714285714288</v>
      </c>
      <c r="P9" s="34">
        <v>1.4183673469387756</v>
      </c>
      <c r="Q9" s="34">
        <v>0</v>
      </c>
      <c r="R9" s="34">
        <v>0.11224489795918369</v>
      </c>
      <c r="S9" s="34">
        <v>0</v>
      </c>
      <c r="T9" s="34">
        <v>67.002040816326527</v>
      </c>
      <c r="U9" s="34">
        <v>1.0204081632653062E-2</v>
      </c>
      <c r="V9" s="34">
        <v>19.622448979591837</v>
      </c>
      <c r="X9" s="372"/>
    </row>
    <row r="10" spans="1:24" x14ac:dyDescent="0.45">
      <c r="A10" s="15" t="s">
        <v>145</v>
      </c>
      <c r="B10" s="34">
        <v>6.4113785557986871</v>
      </c>
      <c r="C10" s="34">
        <v>55.317286652078785</v>
      </c>
      <c r="D10" s="34">
        <v>1082.9540481400438</v>
      </c>
      <c r="E10" s="34">
        <v>0.32275711159737419</v>
      </c>
      <c r="F10" s="34">
        <v>7.1115973741794319E-2</v>
      </c>
      <c r="G10" s="34">
        <v>31.415754923413566</v>
      </c>
      <c r="H10" s="34">
        <v>4.6608315098468269</v>
      </c>
      <c r="I10" s="34">
        <v>29.663019693654263</v>
      </c>
      <c r="J10" s="34">
        <v>11.87199124726477</v>
      </c>
      <c r="K10" s="34">
        <v>222.75711159737418</v>
      </c>
      <c r="L10" s="34">
        <v>5.9956236323851204</v>
      </c>
      <c r="M10" s="34">
        <v>0.31728665207877471</v>
      </c>
      <c r="N10" s="34">
        <v>1.3205689277899344</v>
      </c>
      <c r="O10" s="34">
        <v>2.7275711159737419</v>
      </c>
      <c r="P10" s="34">
        <v>23.741794310722103</v>
      </c>
      <c r="Q10" s="34">
        <v>0</v>
      </c>
      <c r="R10" s="34">
        <v>0.74507658643326047</v>
      </c>
      <c r="S10" s="34">
        <v>8.7527352297592995E-2</v>
      </c>
      <c r="T10" s="34">
        <v>70.103938730853386</v>
      </c>
      <c r="U10" s="34">
        <v>0.37199124726477018</v>
      </c>
      <c r="V10" s="34">
        <v>12.871991247264772</v>
      </c>
      <c r="X10" s="372"/>
    </row>
    <row r="11" spans="1:24" x14ac:dyDescent="0.45">
      <c r="A11" s="15" t="s">
        <v>146</v>
      </c>
      <c r="B11" s="34">
        <v>1.1846153846153846</v>
      </c>
      <c r="C11" s="34">
        <v>68.549450549450555</v>
      </c>
      <c r="D11" s="34">
        <v>1006.7032967032966</v>
      </c>
      <c r="E11" s="34">
        <v>0</v>
      </c>
      <c r="F11" s="34">
        <v>3.2967032967032975E-2</v>
      </c>
      <c r="G11" s="34">
        <v>21.32087912087912</v>
      </c>
      <c r="H11" s="34">
        <v>17.296703296703299</v>
      </c>
      <c r="I11" s="34">
        <v>37.008791208791209</v>
      </c>
      <c r="J11" s="34">
        <v>9.5802197802197799</v>
      </c>
      <c r="K11" s="34">
        <v>271.14725274725276</v>
      </c>
      <c r="L11" s="34">
        <v>5.2527472527472527</v>
      </c>
      <c r="M11" s="34">
        <v>0.20879120879120883</v>
      </c>
      <c r="N11" s="34">
        <v>1.8021978021978022</v>
      </c>
      <c r="O11" s="34">
        <v>2.5318681318681318</v>
      </c>
      <c r="P11" s="34">
        <v>30.505494505494507</v>
      </c>
      <c r="Q11" s="34">
        <v>1.2307692307692308</v>
      </c>
      <c r="R11" s="34">
        <v>0.48791208791208796</v>
      </c>
      <c r="S11" s="34">
        <v>0.4285714285714286</v>
      </c>
      <c r="T11" s="34">
        <v>41.303296703296709</v>
      </c>
      <c r="U11" s="34">
        <v>8.7912087912087905E-2</v>
      </c>
      <c r="V11" s="34">
        <v>13.505494505494504</v>
      </c>
      <c r="X11" s="372"/>
    </row>
    <row r="12" spans="1:24" ht="14.4" x14ac:dyDescent="0.55000000000000004">
      <c r="A12" s="20" t="s">
        <v>348</v>
      </c>
    </row>
    <row r="13" spans="1:24" x14ac:dyDescent="0.45">
      <c r="A13" s="246" t="s">
        <v>345</v>
      </c>
    </row>
  </sheetData>
  <mergeCells count="2">
    <mergeCell ref="B2:V2"/>
    <mergeCell ref="X3:X11"/>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D77424-AD5A-4020-B56B-24825A4C561A}">
  <sheetPr>
    <tabColor theme="0" tint="-0.249977111117893"/>
  </sheetPr>
  <dimension ref="A1:X13"/>
  <sheetViews>
    <sheetView workbookViewId="0">
      <selection activeCell="A12" sqref="A12"/>
    </sheetView>
  </sheetViews>
  <sheetFormatPr defaultRowHeight="14.4" x14ac:dyDescent="0.55000000000000004"/>
  <cols>
    <col min="1" max="1" width="12.26171875" customWidth="1"/>
  </cols>
  <sheetData>
    <row r="1" spans="1:24" ht="35.1" x14ac:dyDescent="0.55000000000000004">
      <c r="A1" s="19" t="s">
        <v>116</v>
      </c>
      <c r="B1" s="73" t="s">
        <v>117</v>
      </c>
      <c r="C1" s="73" t="s">
        <v>118</v>
      </c>
      <c r="D1" s="73" t="s">
        <v>119</v>
      </c>
      <c r="E1" s="73" t="s">
        <v>120</v>
      </c>
      <c r="F1" s="73" t="s">
        <v>121</v>
      </c>
      <c r="G1" s="73" t="s">
        <v>122</v>
      </c>
      <c r="H1" s="73" t="s">
        <v>123</v>
      </c>
      <c r="I1" s="73" t="s">
        <v>124</v>
      </c>
      <c r="J1" s="73" t="s">
        <v>125</v>
      </c>
      <c r="K1" s="73" t="s">
        <v>126</v>
      </c>
      <c r="L1" s="73" t="s">
        <v>127</v>
      </c>
      <c r="M1" s="73" t="s">
        <v>128</v>
      </c>
      <c r="N1" s="73" t="s">
        <v>129</v>
      </c>
      <c r="O1" s="73" t="s">
        <v>130</v>
      </c>
      <c r="P1" s="73" t="s">
        <v>131</v>
      </c>
      <c r="Q1" s="73" t="s">
        <v>132</v>
      </c>
      <c r="R1" s="73" t="s">
        <v>133</v>
      </c>
      <c r="S1" s="73" t="s">
        <v>134</v>
      </c>
      <c r="T1" s="73" t="s">
        <v>135</v>
      </c>
      <c r="U1" s="73" t="s">
        <v>136</v>
      </c>
      <c r="V1" s="73" t="s">
        <v>137</v>
      </c>
      <c r="X1" s="19" t="s">
        <v>149</v>
      </c>
    </row>
    <row r="2" spans="1:24" x14ac:dyDescent="0.55000000000000004">
      <c r="A2" s="19"/>
      <c r="B2" s="372" t="s">
        <v>286</v>
      </c>
      <c r="C2" s="372"/>
      <c r="D2" s="372"/>
      <c r="E2" s="372"/>
      <c r="F2" s="372"/>
      <c r="G2" s="372"/>
      <c r="H2" s="372"/>
      <c r="I2" s="372"/>
      <c r="J2" s="372"/>
      <c r="K2" s="372"/>
      <c r="L2" s="372"/>
      <c r="M2" s="372"/>
      <c r="N2" s="372"/>
      <c r="O2" s="372"/>
      <c r="P2" s="372"/>
      <c r="Q2" s="372"/>
      <c r="R2" s="372"/>
      <c r="S2" s="372"/>
      <c r="T2" s="372"/>
      <c r="U2" s="372"/>
      <c r="V2" s="372"/>
      <c r="X2" s="15"/>
    </row>
    <row r="3" spans="1:24" x14ac:dyDescent="0.55000000000000004">
      <c r="A3" s="15" t="s">
        <v>138</v>
      </c>
      <c r="B3" s="34">
        <v>1.0318840579710145</v>
      </c>
      <c r="C3" s="34">
        <v>35.993236714975851</v>
      </c>
      <c r="D3" s="34">
        <v>474.01256038647347</v>
      </c>
      <c r="E3" s="34">
        <v>0.12850241545893723</v>
      </c>
      <c r="F3" s="34">
        <v>0.89855072463768126</v>
      </c>
      <c r="G3" s="34">
        <v>40.748792270531403</v>
      </c>
      <c r="H3" s="34">
        <v>7.5458937198067648</v>
      </c>
      <c r="I3" s="34">
        <v>212.08019323671502</v>
      </c>
      <c r="J3" s="34">
        <v>17.998067632850244</v>
      </c>
      <c r="K3" s="34">
        <v>0</v>
      </c>
      <c r="L3" s="34">
        <v>6.5748792270531409</v>
      </c>
      <c r="M3" s="34">
        <v>0.58454106280193241</v>
      </c>
      <c r="N3" s="34">
        <v>2.8743961352657008</v>
      </c>
      <c r="O3" s="34">
        <v>3.3381642512077305</v>
      </c>
      <c r="P3" s="34">
        <v>14.394202898550724</v>
      </c>
      <c r="Q3" s="34">
        <v>2.3033816425120772</v>
      </c>
      <c r="R3" s="34">
        <v>0.10531400966183577</v>
      </c>
      <c r="S3" s="34">
        <v>0.58454106280193241</v>
      </c>
      <c r="T3" s="34">
        <v>17.437681159420293</v>
      </c>
      <c r="U3" s="34">
        <v>9.6618357487922718E-2</v>
      </c>
      <c r="V3" s="34">
        <v>128.72946859903382</v>
      </c>
      <c r="X3" s="372" t="s">
        <v>344</v>
      </c>
    </row>
    <row r="4" spans="1:24" x14ac:dyDescent="0.55000000000000004">
      <c r="A4" s="15" t="s">
        <v>139</v>
      </c>
      <c r="B4" s="34">
        <v>1.5791044776119405</v>
      </c>
      <c r="C4" s="34">
        <v>43.683582089552239</v>
      </c>
      <c r="D4" s="34">
        <v>357.01492537313436</v>
      </c>
      <c r="E4" s="34">
        <v>2.0895522388059706E-2</v>
      </c>
      <c r="F4" s="34">
        <v>0.62686567164179097</v>
      </c>
      <c r="G4" s="34">
        <v>59.402985074626862</v>
      </c>
      <c r="H4" s="34">
        <v>11.134328358208954</v>
      </c>
      <c r="I4" s="34">
        <v>221.13432835820896</v>
      </c>
      <c r="J4" s="34">
        <v>24.373134328358208</v>
      </c>
      <c r="K4" s="34">
        <v>0</v>
      </c>
      <c r="L4" s="34">
        <v>5.3582089552238799</v>
      </c>
      <c r="M4" s="34">
        <v>0.47761194029850745</v>
      </c>
      <c r="N4" s="34">
        <v>2.283582089552239</v>
      </c>
      <c r="O4" s="34">
        <v>3.2417910447761193</v>
      </c>
      <c r="P4" s="34">
        <v>17.979104477611941</v>
      </c>
      <c r="Q4" s="34">
        <v>2.0417910447761192</v>
      </c>
      <c r="R4" s="34">
        <v>0.11940298507462686</v>
      </c>
      <c r="S4" s="34">
        <v>1.3731343283582089</v>
      </c>
      <c r="T4" s="34">
        <v>13.973134328358208</v>
      </c>
      <c r="U4" s="34">
        <v>4.4776119402985079E-2</v>
      </c>
      <c r="V4" s="34">
        <v>99.507462686567166</v>
      </c>
      <c r="X4" s="372"/>
    </row>
    <row r="5" spans="1:24" x14ac:dyDescent="0.55000000000000004">
      <c r="A5" s="15" t="s">
        <v>140</v>
      </c>
      <c r="B5" s="34">
        <v>0.99130434782608701</v>
      </c>
      <c r="C5" s="34">
        <v>42.206521739130437</v>
      </c>
      <c r="D5" s="34">
        <v>256.28043478260872</v>
      </c>
      <c r="E5" s="34">
        <v>7.3913043478260873E-2</v>
      </c>
      <c r="F5" s="34">
        <v>1.5869565217391304</v>
      </c>
      <c r="G5" s="34">
        <v>27.682608695652174</v>
      </c>
      <c r="H5" s="34">
        <v>6.1847826086956523</v>
      </c>
      <c r="I5" s="34">
        <v>162.31521739130437</v>
      </c>
      <c r="J5" s="34">
        <v>4.5043478260869563</v>
      </c>
      <c r="K5" s="34">
        <v>0</v>
      </c>
      <c r="L5" s="34">
        <v>6.7173913043478262</v>
      </c>
      <c r="M5" s="34">
        <v>0.32608695652173914</v>
      </c>
      <c r="N5" s="34">
        <v>2.2043478260869565</v>
      </c>
      <c r="O5" s="34">
        <v>1.2456521739130435</v>
      </c>
      <c r="P5" s="34">
        <v>15.204347826086957</v>
      </c>
      <c r="Q5" s="34">
        <v>0.5130434782608696</v>
      </c>
      <c r="R5" s="34">
        <v>0.11956521739130435</v>
      </c>
      <c r="S5" s="34">
        <v>0</v>
      </c>
      <c r="T5" s="34">
        <v>9.9434782608695649</v>
      </c>
      <c r="U5" s="34">
        <v>0.18478260869565219</v>
      </c>
      <c r="V5" s="34">
        <v>36.228260869565212</v>
      </c>
      <c r="X5" s="372"/>
    </row>
    <row r="6" spans="1:24" x14ac:dyDescent="0.55000000000000004">
      <c r="A6" s="15" t="s">
        <v>141</v>
      </c>
      <c r="B6" s="34">
        <v>0.90652173913043488</v>
      </c>
      <c r="C6" s="34">
        <v>52.619565217391305</v>
      </c>
      <c r="D6" s="34">
        <v>248.68260869565219</v>
      </c>
      <c r="E6" s="34">
        <v>5.2173913043478265E-2</v>
      </c>
      <c r="F6" s="34">
        <v>0.98913043478260865</v>
      </c>
      <c r="G6" s="34">
        <v>44.076086956521735</v>
      </c>
      <c r="H6" s="34">
        <v>5.5978260869565224</v>
      </c>
      <c r="I6" s="34">
        <v>159.18478260869566</v>
      </c>
      <c r="J6" s="34">
        <v>3.447826086956522</v>
      </c>
      <c r="K6" s="34">
        <v>0</v>
      </c>
      <c r="L6" s="34">
        <v>18.445652173913043</v>
      </c>
      <c r="M6" s="34">
        <v>0.42391304347826092</v>
      </c>
      <c r="N6" s="34">
        <v>3.1543478260869562</v>
      </c>
      <c r="O6" s="34">
        <v>2.1086956521739131</v>
      </c>
      <c r="P6" s="34">
        <v>16.46086956521739</v>
      </c>
      <c r="Q6" s="34">
        <v>0.36521739130434783</v>
      </c>
      <c r="R6" s="34">
        <v>8.6956521739130446E-2</v>
      </c>
      <c r="S6" s="34">
        <v>0.54347826086956519</v>
      </c>
      <c r="T6" s="34">
        <v>8.2043478260869556</v>
      </c>
      <c r="U6" s="34">
        <v>0.88043478260869568</v>
      </c>
      <c r="V6" s="34">
        <v>24</v>
      </c>
      <c r="X6" s="372"/>
    </row>
    <row r="7" spans="1:24" x14ac:dyDescent="0.55000000000000004">
      <c r="A7" s="15" t="s">
        <v>142</v>
      </c>
      <c r="B7" s="34">
        <v>1.308695652173913</v>
      </c>
      <c r="C7" s="34">
        <v>10.191304347826089</v>
      </c>
      <c r="D7" s="34">
        <v>289.2913043478261</v>
      </c>
      <c r="E7" s="34">
        <v>9.5652173913043481E-2</v>
      </c>
      <c r="F7" s="34">
        <v>2.3369565217391304</v>
      </c>
      <c r="G7" s="34">
        <v>14.723913043478262</v>
      </c>
      <c r="H7" s="34">
        <v>8.3260869565217384</v>
      </c>
      <c r="I7" s="34">
        <v>147.2086956521739</v>
      </c>
      <c r="J7" s="34">
        <v>5.2108695652173918</v>
      </c>
      <c r="K7" s="34">
        <v>0</v>
      </c>
      <c r="L7" s="34">
        <v>0.97826086956521741</v>
      </c>
      <c r="M7" s="34">
        <v>7.6086956521739135E-2</v>
      </c>
      <c r="N7" s="34">
        <v>1.9956521739130435</v>
      </c>
      <c r="O7" s="34">
        <v>1.665217391304348</v>
      </c>
      <c r="P7" s="34">
        <v>4.9108695652173919</v>
      </c>
      <c r="Q7" s="34">
        <v>0.66086956521739137</v>
      </c>
      <c r="R7" s="34">
        <v>6.08695652173913E-2</v>
      </c>
      <c r="S7" s="34">
        <v>8.6956521739130432E-2</v>
      </c>
      <c r="T7" s="34">
        <v>13.565217391304348</v>
      </c>
      <c r="U7" s="34">
        <v>6.5217391304347838E-2</v>
      </c>
      <c r="V7" s="34">
        <v>43.478260869565226</v>
      </c>
      <c r="X7" s="372"/>
    </row>
    <row r="8" spans="1:24" x14ac:dyDescent="0.55000000000000004">
      <c r="A8" s="15" t="s">
        <v>143</v>
      </c>
      <c r="B8" s="34">
        <v>1.5865168539325842</v>
      </c>
      <c r="C8" s="34">
        <v>0</v>
      </c>
      <c r="D8" s="34">
        <v>276.71910112359546</v>
      </c>
      <c r="E8" s="34">
        <v>4.0449438202247195E-2</v>
      </c>
      <c r="F8" s="34">
        <v>2.0764044943820226</v>
      </c>
      <c r="G8" s="34">
        <v>8.9235955056179783</v>
      </c>
      <c r="H8" s="34">
        <v>12.887640449438205</v>
      </c>
      <c r="I8" s="34">
        <v>104.78426966292135</v>
      </c>
      <c r="J8" s="34">
        <v>2.9078651685393258</v>
      </c>
      <c r="K8" s="34">
        <v>0</v>
      </c>
      <c r="L8" s="34">
        <v>0.6853932584269663</v>
      </c>
      <c r="M8" s="34">
        <v>0.10112359550561799</v>
      </c>
      <c r="N8" s="34">
        <v>2.0876404494382026</v>
      </c>
      <c r="O8" s="34">
        <v>0.81123595505617974</v>
      </c>
      <c r="P8" s="34">
        <v>0.24719101123595505</v>
      </c>
      <c r="Q8" s="34">
        <v>0.27865168539325846</v>
      </c>
      <c r="R8" s="34">
        <v>7.6404494382022473E-2</v>
      </c>
      <c r="S8" s="34">
        <v>5.6179775280898882E-2</v>
      </c>
      <c r="T8" s="34">
        <v>16.031460674157302</v>
      </c>
      <c r="U8" s="34">
        <v>4.4943820224719107E-2</v>
      </c>
      <c r="V8" s="34">
        <v>30.977528089887642</v>
      </c>
      <c r="X8" s="372"/>
    </row>
    <row r="9" spans="1:24" x14ac:dyDescent="0.55000000000000004">
      <c r="A9" s="15" t="s">
        <v>144</v>
      </c>
      <c r="B9" s="34">
        <v>0.12448979591836737</v>
      </c>
      <c r="C9" s="34">
        <v>3.3775510204081636</v>
      </c>
      <c r="D9" s="34">
        <v>248.61632653061227</v>
      </c>
      <c r="E9" s="34">
        <v>0</v>
      </c>
      <c r="F9" s="34">
        <v>5.1020408163265307E-2</v>
      </c>
      <c r="G9" s="34">
        <v>1.3285714285714285</v>
      </c>
      <c r="H9" s="34">
        <v>0.1326530612244898</v>
      </c>
      <c r="I9" s="34">
        <v>101.74081632653062</v>
      </c>
      <c r="J9" s="34">
        <v>53.37755102040817</v>
      </c>
      <c r="K9" s="34">
        <v>3.2612244897959188</v>
      </c>
      <c r="L9" s="34">
        <v>0.15306122448979592</v>
      </c>
      <c r="M9" s="34">
        <v>0.23469387755102045</v>
      </c>
      <c r="N9" s="34">
        <v>1.1326530612244898</v>
      </c>
      <c r="O9" s="34">
        <v>0.14285714285714288</v>
      </c>
      <c r="P9" s="34">
        <v>1.4183673469387756</v>
      </c>
      <c r="Q9" s="34">
        <v>0</v>
      </c>
      <c r="R9" s="34">
        <v>0.11224489795918369</v>
      </c>
      <c r="S9" s="34">
        <v>0</v>
      </c>
      <c r="T9" s="34">
        <v>34.191836734693879</v>
      </c>
      <c r="U9" s="34">
        <v>1.0204081632653062E-2</v>
      </c>
      <c r="V9" s="34">
        <v>19.622448979591837</v>
      </c>
      <c r="X9" s="372"/>
    </row>
    <row r="10" spans="1:24" x14ac:dyDescent="0.55000000000000004">
      <c r="A10" s="15" t="s">
        <v>145</v>
      </c>
      <c r="B10" s="34">
        <v>1.6356673960612691</v>
      </c>
      <c r="C10" s="34">
        <v>55.317286652078785</v>
      </c>
      <c r="D10" s="34">
        <v>531.64660831509855</v>
      </c>
      <c r="E10" s="34">
        <v>0.32275711159737419</v>
      </c>
      <c r="F10" s="34">
        <v>7.1115973741794319E-2</v>
      </c>
      <c r="G10" s="34">
        <v>70.028446389496708</v>
      </c>
      <c r="H10" s="34">
        <v>4.6608315098468269</v>
      </c>
      <c r="I10" s="34">
        <v>92.32822757111596</v>
      </c>
      <c r="J10" s="34">
        <v>12.810722100656456</v>
      </c>
      <c r="K10" s="34">
        <v>55.689277899343544</v>
      </c>
      <c r="L10" s="34">
        <v>5.9956236323851204</v>
      </c>
      <c r="M10" s="34">
        <v>0.31728665207877471</v>
      </c>
      <c r="N10" s="34">
        <v>1.2450765864332605</v>
      </c>
      <c r="O10" s="34">
        <v>2.0809628008752736</v>
      </c>
      <c r="P10" s="34">
        <v>23.741794310722103</v>
      </c>
      <c r="Q10" s="34">
        <v>0</v>
      </c>
      <c r="R10" s="34">
        <v>0.73194748358862149</v>
      </c>
      <c r="S10" s="34">
        <v>8.7527352297592995E-2</v>
      </c>
      <c r="T10" s="34">
        <v>30.240700218818379</v>
      </c>
      <c r="U10" s="34">
        <v>0.37199124726477018</v>
      </c>
      <c r="V10" s="34">
        <v>12.871991247264772</v>
      </c>
      <c r="X10" s="372"/>
    </row>
    <row r="11" spans="1:24" x14ac:dyDescent="0.55000000000000004">
      <c r="A11" s="15" t="s">
        <v>146</v>
      </c>
      <c r="B11" s="34">
        <v>0.3208791208791209</v>
      </c>
      <c r="C11" s="34">
        <v>68.549450549450555</v>
      </c>
      <c r="D11" s="34">
        <v>492.41758241758242</v>
      </c>
      <c r="E11" s="34">
        <v>0</v>
      </c>
      <c r="F11" s="34">
        <v>3.2967032967032975E-2</v>
      </c>
      <c r="G11" s="34">
        <v>52.909890109890107</v>
      </c>
      <c r="H11" s="34">
        <v>17.296703296703299</v>
      </c>
      <c r="I11" s="34">
        <v>100.03516483516485</v>
      </c>
      <c r="J11" s="34">
        <v>10.760439560439561</v>
      </c>
      <c r="K11" s="34">
        <v>67.786813186813191</v>
      </c>
      <c r="L11" s="34">
        <v>5.2527472527472527</v>
      </c>
      <c r="M11" s="34">
        <v>0.20879120879120883</v>
      </c>
      <c r="N11" s="34">
        <v>1.7692307692307694</v>
      </c>
      <c r="O11" s="34">
        <v>2.1824175824175822</v>
      </c>
      <c r="P11" s="34">
        <v>30.505494505494507</v>
      </c>
      <c r="Q11" s="34">
        <v>1.2307692307692308</v>
      </c>
      <c r="R11" s="34">
        <v>0.46813186813186813</v>
      </c>
      <c r="S11" s="34">
        <v>0.4285714285714286</v>
      </c>
      <c r="T11" s="34">
        <v>21.015384615384619</v>
      </c>
      <c r="U11" s="34">
        <v>8.7912087912087905E-2</v>
      </c>
      <c r="V11" s="34">
        <v>13.505494505494504</v>
      </c>
      <c r="X11" s="372"/>
    </row>
    <row r="12" spans="1:24" x14ac:dyDescent="0.55000000000000004">
      <c r="A12" s="20" t="s">
        <v>348</v>
      </c>
    </row>
    <row r="13" spans="1:24" x14ac:dyDescent="0.55000000000000004">
      <c r="A13" s="246" t="s">
        <v>345</v>
      </c>
    </row>
  </sheetData>
  <mergeCells count="2">
    <mergeCell ref="B2:V2"/>
    <mergeCell ref="X3:X11"/>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692A2D-E445-40DA-9583-1216658767D2}">
  <sheetPr>
    <tabColor theme="0" tint="-0.249977111117893"/>
  </sheetPr>
  <dimension ref="A1:X13"/>
  <sheetViews>
    <sheetView topLeftCell="D1" workbookViewId="0">
      <selection activeCell="U22" sqref="U22"/>
    </sheetView>
  </sheetViews>
  <sheetFormatPr defaultRowHeight="14.4" x14ac:dyDescent="0.55000000000000004"/>
  <sheetData>
    <row r="1" spans="1:24" ht="35.1" x14ac:dyDescent="0.55000000000000004">
      <c r="A1" s="15" t="s">
        <v>116</v>
      </c>
      <c r="B1" s="73" t="s">
        <v>117</v>
      </c>
      <c r="C1" s="73" t="s">
        <v>118</v>
      </c>
      <c r="D1" s="73" t="s">
        <v>119</v>
      </c>
      <c r="E1" s="73" t="s">
        <v>120</v>
      </c>
      <c r="F1" s="73" t="s">
        <v>121</v>
      </c>
      <c r="G1" s="73" t="s">
        <v>122</v>
      </c>
      <c r="H1" s="73" t="s">
        <v>123</v>
      </c>
      <c r="I1" s="73" t="s">
        <v>124</v>
      </c>
      <c r="J1" s="73" t="s">
        <v>125</v>
      </c>
      <c r="K1" s="73" t="s">
        <v>126</v>
      </c>
      <c r="L1" s="73" t="s">
        <v>127</v>
      </c>
      <c r="M1" s="73" t="s">
        <v>128</v>
      </c>
      <c r="N1" s="73" t="s">
        <v>129</v>
      </c>
      <c r="O1" s="73" t="s">
        <v>130</v>
      </c>
      <c r="P1" s="73" t="s">
        <v>131</v>
      </c>
      <c r="Q1" s="73" t="s">
        <v>132</v>
      </c>
      <c r="R1" s="73" t="s">
        <v>133</v>
      </c>
      <c r="S1" s="73" t="s">
        <v>134</v>
      </c>
      <c r="T1" s="73" t="s">
        <v>135</v>
      </c>
      <c r="U1" s="73" t="s">
        <v>136</v>
      </c>
      <c r="V1" s="73" t="s">
        <v>137</v>
      </c>
      <c r="X1" s="19" t="s">
        <v>149</v>
      </c>
    </row>
    <row r="2" spans="1:24" x14ac:dyDescent="0.55000000000000004">
      <c r="A2" s="15"/>
      <c r="B2" s="372" t="s">
        <v>286</v>
      </c>
      <c r="C2" s="372"/>
      <c r="D2" s="372"/>
      <c r="E2" s="372"/>
      <c r="F2" s="372"/>
      <c r="G2" s="372"/>
      <c r="H2" s="372"/>
      <c r="I2" s="372"/>
      <c r="J2" s="372"/>
      <c r="K2" s="372"/>
      <c r="L2" s="372"/>
      <c r="M2" s="372"/>
      <c r="N2" s="372"/>
      <c r="O2" s="372"/>
      <c r="P2" s="372"/>
      <c r="Q2" s="372"/>
      <c r="R2" s="372"/>
      <c r="S2" s="372"/>
      <c r="T2" s="372"/>
      <c r="U2" s="372"/>
      <c r="V2" s="372"/>
      <c r="X2" s="15"/>
    </row>
    <row r="3" spans="1:24" x14ac:dyDescent="0.55000000000000004">
      <c r="A3" s="15" t="s">
        <v>138</v>
      </c>
      <c r="B3" s="34">
        <v>0.99033816425120769</v>
      </c>
      <c r="C3" s="34">
        <v>92.077294685990353</v>
      </c>
      <c r="D3" s="34">
        <v>769.69468599033826</v>
      </c>
      <c r="E3" s="34">
        <v>0.51400966183574892</v>
      </c>
      <c r="F3" s="34">
        <v>0.89855072463768126</v>
      </c>
      <c r="G3" s="34">
        <v>12.37777777777778</v>
      </c>
      <c r="H3" s="34">
        <v>7.5458937198067648</v>
      </c>
      <c r="I3" s="34">
        <v>79.129468599033828</v>
      </c>
      <c r="J3" s="34">
        <v>14.49082125603865</v>
      </c>
      <c r="K3" s="34">
        <v>0</v>
      </c>
      <c r="L3" s="34">
        <v>6.5748792270531409</v>
      </c>
      <c r="M3" s="34">
        <v>0.58454106280193241</v>
      </c>
      <c r="N3" s="34">
        <v>3.1758454106280203</v>
      </c>
      <c r="O3" s="34">
        <v>1.2357487922705317</v>
      </c>
      <c r="P3" s="34">
        <v>2.091787439613527</v>
      </c>
      <c r="Q3" s="34">
        <v>0.57584541062801931</v>
      </c>
      <c r="R3" s="34">
        <v>0.1169082125603865</v>
      </c>
      <c r="S3" s="34">
        <v>0.58454106280193241</v>
      </c>
      <c r="T3" s="34">
        <v>23.968115942028987</v>
      </c>
      <c r="U3" s="34">
        <v>9.6618357487922718E-2</v>
      </c>
      <c r="V3" s="34">
        <v>128.72946859903382</v>
      </c>
      <c r="X3" s="372" t="s">
        <v>344</v>
      </c>
    </row>
    <row r="4" spans="1:24" x14ac:dyDescent="0.55000000000000004">
      <c r="A4" s="15" t="s">
        <v>139</v>
      </c>
      <c r="B4" s="34">
        <v>1.4985074626865671</v>
      </c>
      <c r="C4" s="34">
        <v>127.27164179104477</v>
      </c>
      <c r="D4" s="34">
        <v>639.74029850746263</v>
      </c>
      <c r="E4" s="34">
        <v>8.3582089552238822E-2</v>
      </c>
      <c r="F4" s="34">
        <v>0.62686567164179097</v>
      </c>
      <c r="G4" s="34">
        <v>16.399999999999999</v>
      </c>
      <c r="H4" s="34">
        <v>11.134328358208954</v>
      </c>
      <c r="I4" s="34">
        <v>79.895522388059703</v>
      </c>
      <c r="J4" s="34">
        <v>16.101492537313433</v>
      </c>
      <c r="K4" s="34">
        <v>0</v>
      </c>
      <c r="L4" s="34">
        <v>5.3582089552238799</v>
      </c>
      <c r="M4" s="34">
        <v>0.47761194029850745</v>
      </c>
      <c r="N4" s="34">
        <v>2.7910447761194028</v>
      </c>
      <c r="O4" s="34">
        <v>1.1701492537313434</v>
      </c>
      <c r="P4" s="34">
        <v>1.7462686567164176</v>
      </c>
      <c r="Q4" s="34">
        <v>0.51044776119402979</v>
      </c>
      <c r="R4" s="34">
        <v>0.11940298507462686</v>
      </c>
      <c r="S4" s="34">
        <v>0.70447761194029845</v>
      </c>
      <c r="T4" s="34">
        <v>23.080597014925374</v>
      </c>
      <c r="U4" s="34">
        <v>4.4776119402985079E-2</v>
      </c>
      <c r="V4" s="34">
        <v>99.507462686567166</v>
      </c>
      <c r="X4" s="372"/>
    </row>
    <row r="5" spans="1:24" x14ac:dyDescent="0.55000000000000004">
      <c r="A5" s="15" t="s">
        <v>140</v>
      </c>
      <c r="B5" s="34">
        <v>1.3130434782608695</v>
      </c>
      <c r="C5" s="34">
        <v>90.382608695652166</v>
      </c>
      <c r="D5" s="34">
        <v>333.54565217391308</v>
      </c>
      <c r="E5" s="34">
        <v>0.29565217391304349</v>
      </c>
      <c r="F5" s="34">
        <v>1.5869565217391304</v>
      </c>
      <c r="G5" s="34">
        <v>9.1195652173913047</v>
      </c>
      <c r="H5" s="34">
        <v>6.1847826086956523</v>
      </c>
      <c r="I5" s="34">
        <v>64.026086956521738</v>
      </c>
      <c r="J5" s="34">
        <v>5.2739130434782604</v>
      </c>
      <c r="K5" s="34">
        <v>0</v>
      </c>
      <c r="L5" s="34">
        <v>6.7173913043478262</v>
      </c>
      <c r="M5" s="34">
        <v>0.32608695652173914</v>
      </c>
      <c r="N5" s="34">
        <v>2.3760869565217391</v>
      </c>
      <c r="O5" s="34">
        <v>0.66304347826086962</v>
      </c>
      <c r="P5" s="34">
        <v>23.630434782608699</v>
      </c>
      <c r="Q5" s="34">
        <v>0.1282608695652174</v>
      </c>
      <c r="R5" s="34">
        <v>0.11956521739130435</v>
      </c>
      <c r="S5" s="34">
        <v>0.48695652173913051</v>
      </c>
      <c r="T5" s="34">
        <v>15.276086956521741</v>
      </c>
      <c r="U5" s="34">
        <v>0.18478260869565219</v>
      </c>
      <c r="V5" s="34">
        <v>36.228260869565212</v>
      </c>
      <c r="X5" s="372"/>
    </row>
    <row r="6" spans="1:24" x14ac:dyDescent="0.55000000000000004">
      <c r="A6" s="15" t="s">
        <v>141</v>
      </c>
      <c r="B6" s="34">
        <v>0.78913043478260869</v>
      </c>
      <c r="C6" s="34">
        <v>37.965217391304343</v>
      </c>
      <c r="D6" s="34">
        <v>355.5130434782609</v>
      </c>
      <c r="E6" s="34">
        <v>0.20869565217391306</v>
      </c>
      <c r="F6" s="34">
        <v>0.98913043478260865</v>
      </c>
      <c r="G6" s="34">
        <v>20.767391304347825</v>
      </c>
      <c r="H6" s="34">
        <v>5.5978260869565224</v>
      </c>
      <c r="I6" s="34">
        <v>74.345652173913038</v>
      </c>
      <c r="J6" s="34">
        <v>5.1695652173913036</v>
      </c>
      <c r="K6" s="34">
        <v>0</v>
      </c>
      <c r="L6" s="34">
        <v>18.445652173913043</v>
      </c>
      <c r="M6" s="34">
        <v>0.42391304347826092</v>
      </c>
      <c r="N6" s="34">
        <v>3.1913043478260872</v>
      </c>
      <c r="O6" s="34">
        <v>1.5978260869565217</v>
      </c>
      <c r="P6" s="34">
        <v>9.2021739130434792</v>
      </c>
      <c r="Q6" s="34">
        <v>9.1304347826086957E-2</v>
      </c>
      <c r="R6" s="34">
        <v>0.11956521739130435</v>
      </c>
      <c r="S6" s="34">
        <v>0.54347826086956519</v>
      </c>
      <c r="T6" s="34">
        <v>15.989130434782608</v>
      </c>
      <c r="U6" s="34">
        <v>0.88043478260869568</v>
      </c>
      <c r="V6" s="34">
        <v>24</v>
      </c>
      <c r="X6" s="372"/>
    </row>
    <row r="7" spans="1:24" x14ac:dyDescent="0.55000000000000004">
      <c r="A7" s="15" t="s">
        <v>142</v>
      </c>
      <c r="B7" s="34">
        <v>1.1369565217391304</v>
      </c>
      <c r="C7" s="34">
        <v>40.765217391304354</v>
      </c>
      <c r="D7" s="34">
        <v>382.26956521739123</v>
      </c>
      <c r="E7" s="34">
        <v>0.38260869565217392</v>
      </c>
      <c r="F7" s="34">
        <v>2.3369565217391304</v>
      </c>
      <c r="G7" s="34">
        <v>3.3260869565217392</v>
      </c>
      <c r="H7" s="34">
        <v>8.3260869565217384</v>
      </c>
      <c r="I7" s="34">
        <v>47.139130434782601</v>
      </c>
      <c r="J7" s="34">
        <v>6.0934782608695661</v>
      </c>
      <c r="K7" s="34">
        <v>0</v>
      </c>
      <c r="L7" s="34">
        <v>0.97826086956521741</v>
      </c>
      <c r="M7" s="34">
        <v>7.6086956521739135E-2</v>
      </c>
      <c r="N7" s="34">
        <v>2.3434782608695657</v>
      </c>
      <c r="O7" s="34">
        <v>0.66956521739130437</v>
      </c>
      <c r="P7" s="34">
        <v>1.3326086956521739</v>
      </c>
      <c r="Q7" s="34">
        <v>0.16521739130434784</v>
      </c>
      <c r="R7" s="34">
        <v>8.043478260869566E-2</v>
      </c>
      <c r="S7" s="34">
        <v>8.6956521739130432E-2</v>
      </c>
      <c r="T7" s="34">
        <v>17.278260869565216</v>
      </c>
      <c r="U7" s="34">
        <v>6.5217391304347838E-2</v>
      </c>
      <c r="V7" s="34">
        <v>43.478260869565226</v>
      </c>
      <c r="X7" s="372"/>
    </row>
    <row r="8" spans="1:24" x14ac:dyDescent="0.55000000000000004">
      <c r="A8" s="15" t="s">
        <v>143</v>
      </c>
      <c r="B8" s="34">
        <v>2.3662921348314607</v>
      </c>
      <c r="C8" s="34">
        <v>0</v>
      </c>
      <c r="D8" s="34">
        <v>383.99325842696635</v>
      </c>
      <c r="E8" s="34">
        <v>0.16179775280898878</v>
      </c>
      <c r="F8" s="34">
        <v>1.8</v>
      </c>
      <c r="G8" s="34">
        <v>1.851685393258427</v>
      </c>
      <c r="H8" s="34">
        <v>12.887640449438205</v>
      </c>
      <c r="I8" s="34">
        <v>34.011235955056179</v>
      </c>
      <c r="J8" s="34">
        <v>3.2179775280898877</v>
      </c>
      <c r="K8" s="34">
        <v>0</v>
      </c>
      <c r="L8" s="34">
        <v>0.6853932584269663</v>
      </c>
      <c r="M8" s="34">
        <v>0.10112359550561799</v>
      </c>
      <c r="N8" s="34">
        <v>2.047191011235955</v>
      </c>
      <c r="O8" s="34">
        <v>0.44719101123595506</v>
      </c>
      <c r="P8" s="34">
        <v>0.24719101123595505</v>
      </c>
      <c r="Q8" s="34">
        <v>6.9662921348314616E-2</v>
      </c>
      <c r="R8" s="34">
        <v>0.10337078651685394</v>
      </c>
      <c r="S8" s="34">
        <v>5.6179775280898882E-2</v>
      </c>
      <c r="T8" s="34">
        <v>22.253932584269663</v>
      </c>
      <c r="U8" s="34">
        <v>4.4943820224719107E-2</v>
      </c>
      <c r="V8" s="34">
        <v>30.977528089887642</v>
      </c>
      <c r="X8" s="372"/>
    </row>
    <row r="9" spans="1:24" x14ac:dyDescent="0.55000000000000004">
      <c r="A9" s="15" t="s">
        <v>144</v>
      </c>
      <c r="B9" s="34">
        <v>0.13673469387755105</v>
      </c>
      <c r="C9" s="34">
        <v>3.3775510204081636</v>
      </c>
      <c r="D9" s="34">
        <v>620.15714285714296</v>
      </c>
      <c r="E9" s="34">
        <v>0</v>
      </c>
      <c r="F9" s="34">
        <v>5.1020408163265307E-2</v>
      </c>
      <c r="G9" s="34">
        <v>0.62857142857142856</v>
      </c>
      <c r="H9" s="34">
        <v>0.1326530612244898</v>
      </c>
      <c r="I9" s="34">
        <v>29.806122448979593</v>
      </c>
      <c r="J9" s="34">
        <v>53.338775510204087</v>
      </c>
      <c r="K9" s="34">
        <v>13.044897959183675</v>
      </c>
      <c r="L9" s="34">
        <v>0.15306122448979592</v>
      </c>
      <c r="M9" s="34">
        <v>0.23469387755102045</v>
      </c>
      <c r="N9" s="34">
        <v>1.1326530612244898</v>
      </c>
      <c r="O9" s="34">
        <v>0.14285714285714288</v>
      </c>
      <c r="P9" s="34">
        <v>0.30000000000000004</v>
      </c>
      <c r="Q9" s="34">
        <v>0</v>
      </c>
      <c r="R9" s="34">
        <v>0.11224489795918369</v>
      </c>
      <c r="S9" s="34">
        <v>0</v>
      </c>
      <c r="T9" s="34">
        <v>65.083673469387762</v>
      </c>
      <c r="U9" s="34">
        <v>1.0204081632653062E-2</v>
      </c>
      <c r="V9" s="34">
        <v>19.622448979591837</v>
      </c>
      <c r="X9" s="372"/>
    </row>
    <row r="10" spans="1:24" x14ac:dyDescent="0.55000000000000004">
      <c r="A10" s="15" t="s">
        <v>145</v>
      </c>
      <c r="B10" s="34">
        <v>0.31947483588621439</v>
      </c>
      <c r="C10" s="34">
        <v>55.317286652078785</v>
      </c>
      <c r="D10" s="34">
        <v>471.09846827133481</v>
      </c>
      <c r="E10" s="34">
        <v>0.32275711159737419</v>
      </c>
      <c r="F10" s="34">
        <v>7.1115973741794319E-2</v>
      </c>
      <c r="G10" s="34">
        <v>24.522975929978116</v>
      </c>
      <c r="H10" s="34">
        <v>4.6608315098468269</v>
      </c>
      <c r="I10" s="34">
        <v>103.81181619256017</v>
      </c>
      <c r="J10" s="34">
        <v>11.329321663019694</v>
      </c>
      <c r="K10" s="34">
        <v>191.0328227571116</v>
      </c>
      <c r="L10" s="34">
        <v>5.9956236323851204</v>
      </c>
      <c r="M10" s="34">
        <v>0.31728665207877471</v>
      </c>
      <c r="N10" s="34">
        <v>1.311816192560175</v>
      </c>
      <c r="O10" s="34">
        <v>1.8129102844638951</v>
      </c>
      <c r="P10" s="34">
        <v>5.5185995623632387</v>
      </c>
      <c r="Q10" s="34">
        <v>0</v>
      </c>
      <c r="R10" s="34">
        <v>0.73632385120350119</v>
      </c>
      <c r="S10" s="34">
        <v>8.7527352297592995E-2</v>
      </c>
      <c r="T10" s="34">
        <v>45.666301969365435</v>
      </c>
      <c r="U10" s="34">
        <v>0.37199124726477018</v>
      </c>
      <c r="V10" s="34">
        <v>12.871991247264772</v>
      </c>
      <c r="X10" s="372"/>
    </row>
    <row r="11" spans="1:24" x14ac:dyDescent="0.55000000000000004">
      <c r="A11" s="15" t="s">
        <v>146</v>
      </c>
      <c r="B11" s="34">
        <v>0.41978021978021973</v>
      </c>
      <c r="C11" s="34">
        <v>68.549450549450555</v>
      </c>
      <c r="D11" s="34">
        <v>387.92527472527479</v>
      </c>
      <c r="E11" s="34">
        <v>0</v>
      </c>
      <c r="F11" s="34">
        <v>3.2967032967032975E-2</v>
      </c>
      <c r="G11" s="34">
        <v>20.336263736263735</v>
      </c>
      <c r="H11" s="34">
        <v>17.296703296703299</v>
      </c>
      <c r="I11" s="34">
        <v>79.602197802197793</v>
      </c>
      <c r="J11" s="34">
        <v>9.6241758241758237</v>
      </c>
      <c r="K11" s="34">
        <v>235.34065934065936</v>
      </c>
      <c r="L11" s="34">
        <v>5.2527472527472527</v>
      </c>
      <c r="M11" s="34">
        <v>0.20879120879120883</v>
      </c>
      <c r="N11" s="34">
        <v>1.7846153846153847</v>
      </c>
      <c r="O11" s="34">
        <v>2.0131868131868131</v>
      </c>
      <c r="P11" s="34">
        <v>7.9208791208791212</v>
      </c>
      <c r="Q11" s="34">
        <v>1.2307692307692308</v>
      </c>
      <c r="R11" s="34">
        <v>0.48791208791208796</v>
      </c>
      <c r="S11" s="34">
        <v>0.4285714285714286</v>
      </c>
      <c r="T11" s="34">
        <v>18.331868131868134</v>
      </c>
      <c r="U11" s="34">
        <v>8.7912087912087905E-2</v>
      </c>
      <c r="V11" s="34">
        <v>13.505494505494504</v>
      </c>
      <c r="X11" s="372"/>
    </row>
    <row r="12" spans="1:24" x14ac:dyDescent="0.55000000000000004">
      <c r="A12" s="20" t="s">
        <v>348</v>
      </c>
    </row>
    <row r="13" spans="1:24" x14ac:dyDescent="0.55000000000000004">
      <c r="A13" s="246" t="s">
        <v>345</v>
      </c>
    </row>
  </sheetData>
  <mergeCells count="2">
    <mergeCell ref="B2:V2"/>
    <mergeCell ref="X3:X11"/>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B3A904-155A-46AA-836F-127E1DB0EEEF}">
  <sheetPr>
    <tabColor theme="0" tint="-0.249977111117893"/>
  </sheetPr>
  <dimension ref="A1:Q40"/>
  <sheetViews>
    <sheetView workbookViewId="0">
      <selection activeCell="A39" sqref="A39"/>
    </sheetView>
  </sheetViews>
  <sheetFormatPr defaultRowHeight="14.4" x14ac:dyDescent="0.55000000000000004"/>
  <sheetData>
    <row r="1" spans="1:17" ht="46.8" x14ac:dyDescent="0.55000000000000004">
      <c r="A1" s="15" t="s">
        <v>116</v>
      </c>
      <c r="B1" s="15" t="s">
        <v>156</v>
      </c>
      <c r="C1" s="73" t="s">
        <v>157</v>
      </c>
      <c r="D1" s="73" t="s">
        <v>128</v>
      </c>
      <c r="E1" s="73" t="s">
        <v>117</v>
      </c>
      <c r="F1" s="73" t="s">
        <v>133</v>
      </c>
      <c r="G1" s="73" t="s">
        <v>124</v>
      </c>
      <c r="H1" s="73" t="s">
        <v>119</v>
      </c>
      <c r="I1" s="73" t="s">
        <v>118</v>
      </c>
      <c r="J1" s="73" t="s">
        <v>158</v>
      </c>
      <c r="K1" s="73" t="s">
        <v>123</v>
      </c>
      <c r="L1" s="73" t="s">
        <v>127</v>
      </c>
      <c r="M1" s="73" t="s">
        <v>129</v>
      </c>
      <c r="N1" s="73" t="s">
        <v>159</v>
      </c>
      <c r="O1" s="73" t="s">
        <v>76</v>
      </c>
      <c r="Q1" s="19" t="s">
        <v>149</v>
      </c>
    </row>
    <row r="2" spans="1:17" ht="17.100000000000001" customHeight="1" x14ac:dyDescent="0.55000000000000004">
      <c r="A2" s="15"/>
      <c r="B2" s="15"/>
      <c r="C2" s="372" t="s">
        <v>286</v>
      </c>
      <c r="D2" s="372"/>
      <c r="E2" s="372"/>
      <c r="F2" s="372"/>
      <c r="G2" s="372"/>
      <c r="H2" s="372"/>
      <c r="I2" s="372"/>
      <c r="J2" s="372"/>
      <c r="K2" s="372"/>
      <c r="L2" s="372"/>
      <c r="M2" s="372"/>
      <c r="N2" s="372"/>
      <c r="O2" s="372"/>
      <c r="Q2" s="15"/>
    </row>
    <row r="3" spans="1:17" ht="14.5" customHeight="1" x14ac:dyDescent="0.55000000000000004">
      <c r="A3" s="15" t="s">
        <v>139</v>
      </c>
      <c r="B3" s="15" t="s">
        <v>160</v>
      </c>
      <c r="C3" s="76">
        <v>45.820788931999999</v>
      </c>
      <c r="D3" s="76">
        <v>0.62756276</v>
      </c>
      <c r="E3" s="76">
        <v>0.10691757400000002</v>
      </c>
      <c r="F3" s="76">
        <v>1.8734171214999997</v>
      </c>
      <c r="G3" s="76">
        <v>95.560483778999497</v>
      </c>
      <c r="H3" s="76">
        <v>981.71309879449859</v>
      </c>
      <c r="I3" s="76">
        <v>217.36759146</v>
      </c>
      <c r="J3" s="76">
        <v>256.64803153499997</v>
      </c>
      <c r="K3" s="76">
        <v>6.4095502999999998E-2</v>
      </c>
      <c r="L3" s="76">
        <v>13.155105682499997</v>
      </c>
      <c r="M3" s="76">
        <v>0.91015753339999939</v>
      </c>
      <c r="N3" s="76">
        <v>9.9237258449999999</v>
      </c>
      <c r="O3" s="76">
        <v>1.1263105364999999</v>
      </c>
      <c r="Q3" s="372" t="s">
        <v>344</v>
      </c>
    </row>
    <row r="4" spans="1:17" x14ac:dyDescent="0.55000000000000004">
      <c r="A4" s="15"/>
      <c r="B4" s="15" t="s">
        <v>161</v>
      </c>
      <c r="C4" s="76">
        <v>41.948604036499994</v>
      </c>
      <c r="D4" s="76">
        <v>0.62756276</v>
      </c>
      <c r="E4" s="76">
        <v>0.175632921</v>
      </c>
      <c r="F4" s="76">
        <v>1.8893782394999996</v>
      </c>
      <c r="G4" s="76">
        <v>53.593485928000007</v>
      </c>
      <c r="H4" s="76">
        <v>1023.8610716144985</v>
      </c>
      <c r="I4" s="76">
        <v>217.36759146</v>
      </c>
      <c r="J4" s="76">
        <v>277.50218921999993</v>
      </c>
      <c r="K4" s="76">
        <v>2.0310533335000001</v>
      </c>
      <c r="L4" s="76">
        <v>13.155105682499997</v>
      </c>
      <c r="M4" s="76">
        <v>1.1093955138999991</v>
      </c>
      <c r="N4" s="76">
        <v>10.266792986999999</v>
      </c>
      <c r="O4" s="76">
        <v>1.3698498954999998</v>
      </c>
      <c r="Q4" s="372"/>
    </row>
    <row r="5" spans="1:17" x14ac:dyDescent="0.55000000000000004">
      <c r="A5" s="15"/>
      <c r="B5" s="15" t="s">
        <v>162</v>
      </c>
      <c r="C5" s="76">
        <v>38.171550522999993</v>
      </c>
      <c r="D5" s="76">
        <v>0.62756276</v>
      </c>
      <c r="E5" s="76">
        <v>0.1585308275</v>
      </c>
      <c r="F5" s="76">
        <v>1.8893782394999996</v>
      </c>
      <c r="G5" s="76">
        <v>19.067703991999998</v>
      </c>
      <c r="H5" s="76">
        <v>1029.7606636799985</v>
      </c>
      <c r="I5" s="76">
        <v>86.947036585000006</v>
      </c>
      <c r="J5" s="76">
        <v>543.97958836999896</v>
      </c>
      <c r="K5" s="76">
        <v>3.9980111634999997</v>
      </c>
      <c r="L5" s="76">
        <v>2.0122485374999952</v>
      </c>
      <c r="M5" s="76">
        <v>1.2783626173999991</v>
      </c>
      <c r="N5" s="76">
        <v>10.664722594999994</v>
      </c>
      <c r="O5" s="76">
        <v>1.362550927</v>
      </c>
      <c r="Q5" s="372"/>
    </row>
    <row r="6" spans="1:17" x14ac:dyDescent="0.55000000000000004">
      <c r="A6" s="15"/>
      <c r="B6" s="15" t="s">
        <v>163</v>
      </c>
      <c r="C6" s="76">
        <v>38.160886859999991</v>
      </c>
      <c r="D6" s="76">
        <v>0.62756276</v>
      </c>
      <c r="E6" s="76">
        <v>0.1585308275</v>
      </c>
      <c r="F6" s="76">
        <v>1.8893782394999996</v>
      </c>
      <c r="G6" s="76">
        <v>27.727071653499998</v>
      </c>
      <c r="H6" s="76">
        <v>1029.7606636799985</v>
      </c>
      <c r="I6" s="76">
        <v>86.947036585000006</v>
      </c>
      <c r="J6" s="76">
        <v>543.97958836999896</v>
      </c>
      <c r="K6" s="76">
        <v>3.9980111634999997</v>
      </c>
      <c r="L6" s="76">
        <v>2.0122485374999952</v>
      </c>
      <c r="M6" s="76">
        <v>1.2783626173999991</v>
      </c>
      <c r="N6" s="76">
        <v>11.403620974999999</v>
      </c>
      <c r="O6" s="76">
        <v>1.4276373874999999</v>
      </c>
      <c r="Q6" s="372"/>
    </row>
    <row r="7" spans="1:17" x14ac:dyDescent="0.55000000000000004">
      <c r="A7" s="15" t="s">
        <v>138</v>
      </c>
      <c r="B7" s="15" t="s">
        <v>160</v>
      </c>
      <c r="C7" s="76">
        <v>35.353123623000016</v>
      </c>
      <c r="D7" s="76">
        <v>0.24253058699999999</v>
      </c>
      <c r="E7" s="76">
        <v>0.26119913</v>
      </c>
      <c r="F7" s="76">
        <v>1.0141026399999988</v>
      </c>
      <c r="G7" s="76">
        <v>44.690205311999996</v>
      </c>
      <c r="H7" s="76">
        <v>789.57892910999988</v>
      </c>
      <c r="I7" s="76">
        <v>112.37758432999999</v>
      </c>
      <c r="J7" s="76">
        <v>205.04599401499999</v>
      </c>
      <c r="K7" s="76">
        <v>0.15899959399999902</v>
      </c>
      <c r="L7" s="76">
        <v>1.9061613610000001</v>
      </c>
      <c r="M7" s="76">
        <v>0.56460625859999913</v>
      </c>
      <c r="N7" s="76">
        <v>9.1212639220000007</v>
      </c>
      <c r="O7" s="76">
        <v>0.9481466789999996</v>
      </c>
      <c r="Q7" s="372"/>
    </row>
    <row r="8" spans="1:17" x14ac:dyDescent="0.55000000000000004">
      <c r="A8" s="15"/>
      <c r="B8" s="15" t="s">
        <v>161</v>
      </c>
      <c r="C8" s="76">
        <v>36.697892099000001</v>
      </c>
      <c r="D8" s="76">
        <v>0.24253058699999999</v>
      </c>
      <c r="E8" s="76">
        <v>0.32804135000000001</v>
      </c>
      <c r="F8" s="76">
        <v>1.0490017989999989</v>
      </c>
      <c r="G8" s="76">
        <v>28.194148733999985</v>
      </c>
      <c r="H8" s="76">
        <v>845.69975609999995</v>
      </c>
      <c r="I8" s="76">
        <v>112.37758432999999</v>
      </c>
      <c r="J8" s="76">
        <v>211.27605371600001</v>
      </c>
      <c r="K8" s="76">
        <v>1.5965341029999989</v>
      </c>
      <c r="L8" s="76">
        <v>1.9061613610000001</v>
      </c>
      <c r="M8" s="76">
        <v>0.79031576659999914</v>
      </c>
      <c r="N8" s="76">
        <v>9.2993444450000009</v>
      </c>
      <c r="O8" s="76">
        <v>1.3532216989999997</v>
      </c>
      <c r="Q8" s="372"/>
    </row>
    <row r="9" spans="1:17" x14ac:dyDescent="0.55000000000000004">
      <c r="A9" s="15"/>
      <c r="B9" s="15" t="s">
        <v>162</v>
      </c>
      <c r="C9" s="76">
        <v>37.829304237000009</v>
      </c>
      <c r="D9" s="76">
        <v>0.24253058699999999</v>
      </c>
      <c r="E9" s="76">
        <v>0.260879217</v>
      </c>
      <c r="F9" s="76">
        <v>1.0490017989999989</v>
      </c>
      <c r="G9" s="76">
        <v>14.009760813999998</v>
      </c>
      <c r="H9" s="76">
        <v>900.09204554099983</v>
      </c>
      <c r="I9" s="76">
        <v>44.951033729999999</v>
      </c>
      <c r="J9" s="76">
        <v>324.95349492899999</v>
      </c>
      <c r="K9" s="76">
        <v>3.0340686119999987</v>
      </c>
      <c r="L9" s="76">
        <v>1.9061613610000001</v>
      </c>
      <c r="M9" s="76">
        <v>1.2912735585999993</v>
      </c>
      <c r="N9" s="76">
        <v>9.5518509250000001</v>
      </c>
      <c r="O9" s="76">
        <v>1.3502932349999999</v>
      </c>
      <c r="Q9" s="372"/>
    </row>
    <row r="10" spans="1:17" x14ac:dyDescent="0.55000000000000004">
      <c r="A10" s="15"/>
      <c r="B10" s="15" t="s">
        <v>163</v>
      </c>
      <c r="C10" s="76">
        <v>37.819049612000008</v>
      </c>
      <c r="D10" s="76">
        <v>0.24253058699999999</v>
      </c>
      <c r="E10" s="76">
        <v>0.260879217</v>
      </c>
      <c r="F10" s="76">
        <v>1.0490017989999989</v>
      </c>
      <c r="G10" s="76">
        <v>22.656091061999998</v>
      </c>
      <c r="H10" s="76">
        <v>900.09204554099983</v>
      </c>
      <c r="I10" s="76">
        <v>44.951033729999999</v>
      </c>
      <c r="J10" s="76">
        <v>324.95349492899999</v>
      </c>
      <c r="K10" s="76">
        <v>3.0340686119999987</v>
      </c>
      <c r="L10" s="76">
        <v>1.9061613610000001</v>
      </c>
      <c r="M10" s="76">
        <v>1.2912735585999993</v>
      </c>
      <c r="N10" s="76">
        <v>10.008662677</v>
      </c>
      <c r="O10" s="76">
        <v>1.4168329529999988</v>
      </c>
      <c r="Q10" s="372"/>
    </row>
    <row r="11" spans="1:17" x14ac:dyDescent="0.55000000000000004">
      <c r="A11" s="15" t="s">
        <v>140</v>
      </c>
      <c r="B11" s="15" t="s">
        <v>160</v>
      </c>
      <c r="C11" s="76">
        <v>67.686132839000052</v>
      </c>
      <c r="D11" s="76">
        <v>0.28106237099999992</v>
      </c>
      <c r="E11" s="76">
        <v>0.29165699300000003</v>
      </c>
      <c r="F11" s="76">
        <v>0.44321346799999989</v>
      </c>
      <c r="G11" s="76">
        <v>16.380864414999994</v>
      </c>
      <c r="H11" s="76">
        <v>1390.5585148519997</v>
      </c>
      <c r="I11" s="76">
        <v>164.61565836</v>
      </c>
      <c r="J11" s="76">
        <v>260.55655804199898</v>
      </c>
      <c r="K11" s="76">
        <v>9.6199468999999996E-2</v>
      </c>
      <c r="L11" s="76">
        <v>5.37014952799999</v>
      </c>
      <c r="M11" s="76">
        <v>0.93256629040000005</v>
      </c>
      <c r="N11" s="76">
        <v>18.21510649099999</v>
      </c>
      <c r="O11" s="76">
        <v>1.8746814897000001</v>
      </c>
      <c r="Q11" s="372"/>
    </row>
    <row r="12" spans="1:17" x14ac:dyDescent="0.55000000000000004">
      <c r="A12" s="15"/>
      <c r="B12" s="15" t="s">
        <v>161</v>
      </c>
      <c r="C12" s="76">
        <v>66.099657977000035</v>
      </c>
      <c r="D12" s="76">
        <v>0.28106237099999992</v>
      </c>
      <c r="E12" s="76">
        <v>0.30868190400000001</v>
      </c>
      <c r="F12" s="76">
        <v>0.44321346799999989</v>
      </c>
      <c r="G12" s="76">
        <v>16.611287618999992</v>
      </c>
      <c r="H12" s="76">
        <v>1458.5791476619997</v>
      </c>
      <c r="I12" s="76">
        <v>164.61565836</v>
      </c>
      <c r="J12" s="76">
        <v>260.31560311899898</v>
      </c>
      <c r="K12" s="76">
        <v>2.2968179709999901</v>
      </c>
      <c r="L12" s="76">
        <v>5.37014952799999</v>
      </c>
      <c r="M12" s="76">
        <v>1.1660222153999997</v>
      </c>
      <c r="N12" s="76">
        <v>18.986639288999989</v>
      </c>
      <c r="O12" s="76">
        <v>6.7580653027000013</v>
      </c>
      <c r="Q12" s="372"/>
    </row>
    <row r="13" spans="1:17" x14ac:dyDescent="0.55000000000000004">
      <c r="A13" s="15"/>
      <c r="B13" s="15" t="s">
        <v>162</v>
      </c>
      <c r="C13" s="76">
        <v>66.573710100000042</v>
      </c>
      <c r="D13" s="76">
        <v>0.28106237099999992</v>
      </c>
      <c r="E13" s="76">
        <v>1.3812466009999897</v>
      </c>
      <c r="F13" s="76">
        <v>0.44822414399999977</v>
      </c>
      <c r="G13" s="76">
        <v>16.686208969999992</v>
      </c>
      <c r="H13" s="76">
        <v>1412.4567895149999</v>
      </c>
      <c r="I13" s="76">
        <v>41.153914589999999</v>
      </c>
      <c r="J13" s="76">
        <v>267.80300521199996</v>
      </c>
      <c r="K13" s="76">
        <v>4.4974364739999988</v>
      </c>
      <c r="L13" s="76">
        <v>5.0678314179999902</v>
      </c>
      <c r="M13" s="76">
        <v>1.8559270023999999</v>
      </c>
      <c r="N13" s="76">
        <v>13.12064194099999</v>
      </c>
      <c r="O13" s="76">
        <v>6.8689849157000014</v>
      </c>
      <c r="Q13" s="372"/>
    </row>
    <row r="14" spans="1:17" x14ac:dyDescent="0.55000000000000004">
      <c r="A14" s="15"/>
      <c r="B14" s="15" t="s">
        <v>163</v>
      </c>
      <c r="C14" s="76">
        <v>66.555648700000049</v>
      </c>
      <c r="D14" s="76">
        <v>0.28106237099999992</v>
      </c>
      <c r="E14" s="76">
        <v>1.3812466009999897</v>
      </c>
      <c r="F14" s="76">
        <v>0.44822414399999977</v>
      </c>
      <c r="G14" s="76">
        <v>16.686208969999992</v>
      </c>
      <c r="H14" s="76">
        <v>1412.4567895149999</v>
      </c>
      <c r="I14" s="76">
        <v>41.153914589999999</v>
      </c>
      <c r="J14" s="76">
        <v>267.80300521199996</v>
      </c>
      <c r="K14" s="76">
        <v>4.4974364739999988</v>
      </c>
      <c r="L14" s="76">
        <v>5.0678314179999902</v>
      </c>
      <c r="M14" s="76">
        <v>1.8559270023999999</v>
      </c>
      <c r="N14" s="76">
        <v>8.2788695029999992</v>
      </c>
      <c r="O14" s="76">
        <v>6.7976899157000013</v>
      </c>
      <c r="Q14" s="372"/>
    </row>
    <row r="15" spans="1:17" x14ac:dyDescent="0.55000000000000004">
      <c r="A15" s="15" t="s">
        <v>141</v>
      </c>
      <c r="B15" s="15" t="s">
        <v>160</v>
      </c>
      <c r="C15" s="76">
        <v>48.160169979999999</v>
      </c>
      <c r="D15" s="76">
        <v>0.24884839999999986</v>
      </c>
      <c r="E15" s="76">
        <v>5.4790179999999994E-2</v>
      </c>
      <c r="F15" s="76">
        <v>0.79425377909999995</v>
      </c>
      <c r="G15" s="76">
        <v>67.163380579000005</v>
      </c>
      <c r="H15" s="76">
        <v>792.18885725399991</v>
      </c>
      <c r="I15" s="76">
        <v>51.616171000000001</v>
      </c>
      <c r="J15" s="76">
        <v>170.67216588099998</v>
      </c>
      <c r="K15" s="76">
        <v>1.458054564</v>
      </c>
      <c r="L15" s="76">
        <v>5.0668360919999902</v>
      </c>
      <c r="M15" s="76">
        <v>0.91780701609999993</v>
      </c>
      <c r="N15" s="76">
        <v>17.387607307</v>
      </c>
      <c r="O15" s="76">
        <v>1.7452969131000002</v>
      </c>
      <c r="Q15" s="372"/>
    </row>
    <row r="16" spans="1:17" x14ac:dyDescent="0.55000000000000004">
      <c r="A16" s="15"/>
      <c r="B16" s="15" t="s">
        <v>161</v>
      </c>
      <c r="C16" s="76">
        <v>49.597554810000013</v>
      </c>
      <c r="D16" s="76">
        <v>0.24884839999999986</v>
      </c>
      <c r="E16" s="76">
        <v>4.4158209999999996E-2</v>
      </c>
      <c r="F16" s="76">
        <v>0.79425377909999995</v>
      </c>
      <c r="G16" s="76">
        <v>33.528782284999991</v>
      </c>
      <c r="H16" s="76">
        <v>897.20786092399999</v>
      </c>
      <c r="I16" s="76">
        <v>51.616171000000001</v>
      </c>
      <c r="J16" s="76">
        <v>170.67216588099998</v>
      </c>
      <c r="K16" s="76">
        <v>5.2348672439999993</v>
      </c>
      <c r="L16" s="76">
        <v>5.0668360919999902</v>
      </c>
      <c r="M16" s="76">
        <v>1.2603854350999995</v>
      </c>
      <c r="N16" s="76">
        <v>17.522551545000002</v>
      </c>
      <c r="O16" s="76">
        <v>1.6743374541000002</v>
      </c>
      <c r="Q16" s="372"/>
    </row>
    <row r="17" spans="1:17" x14ac:dyDescent="0.55000000000000004">
      <c r="A17" s="15"/>
      <c r="B17" s="15" t="s">
        <v>162</v>
      </c>
      <c r="C17" s="76">
        <v>76.382993673000001</v>
      </c>
      <c r="D17" s="76">
        <v>0.24884839999999986</v>
      </c>
      <c r="E17" s="76">
        <v>11.295479521000003</v>
      </c>
      <c r="F17" s="76">
        <v>0.79868872309999994</v>
      </c>
      <c r="G17" s="76">
        <v>1.4432374860000001</v>
      </c>
      <c r="H17" s="76">
        <v>1498.7297331269981</v>
      </c>
      <c r="I17" s="76">
        <v>0</v>
      </c>
      <c r="J17" s="76">
        <v>58.442799345999994</v>
      </c>
      <c r="K17" s="76">
        <v>9.0116799239999992</v>
      </c>
      <c r="L17" s="76">
        <v>5.0668360919999902</v>
      </c>
      <c r="M17" s="76">
        <v>1.9355676700999978</v>
      </c>
      <c r="N17" s="76">
        <v>12.448164706999991</v>
      </c>
      <c r="O17" s="76">
        <v>1.9479922960000002</v>
      </c>
      <c r="Q17" s="372"/>
    </row>
    <row r="18" spans="1:17" x14ac:dyDescent="0.55000000000000004">
      <c r="A18" s="15"/>
      <c r="B18" s="15" t="s">
        <v>163</v>
      </c>
      <c r="C18" s="76">
        <v>76.364889047999995</v>
      </c>
      <c r="D18" s="76">
        <v>0.24884839999999986</v>
      </c>
      <c r="E18" s="76">
        <v>11.295479521000003</v>
      </c>
      <c r="F18" s="76">
        <v>0.79868872309999994</v>
      </c>
      <c r="G18" s="76">
        <v>1.4432374860000001</v>
      </c>
      <c r="H18" s="76">
        <v>1498.7297331269981</v>
      </c>
      <c r="I18" s="76">
        <v>0</v>
      </c>
      <c r="J18" s="76">
        <v>58.442799345999994</v>
      </c>
      <c r="K18" s="76">
        <v>9.0116799239999992</v>
      </c>
      <c r="L18" s="76">
        <v>5.0668360919999902</v>
      </c>
      <c r="M18" s="76">
        <v>1.9355676700999978</v>
      </c>
      <c r="N18" s="76">
        <v>6.25552175799998</v>
      </c>
      <c r="O18" s="76">
        <v>1.8765266710000001</v>
      </c>
      <c r="Q18" s="372"/>
    </row>
    <row r="19" spans="1:17" x14ac:dyDescent="0.55000000000000004">
      <c r="A19" s="15" t="s">
        <v>146</v>
      </c>
      <c r="B19" s="15" t="s">
        <v>160</v>
      </c>
      <c r="C19" s="76">
        <v>42.284528788999999</v>
      </c>
      <c r="D19" s="76">
        <v>0.188508815</v>
      </c>
      <c r="E19" s="76">
        <v>0.10647927600000001</v>
      </c>
      <c r="F19" s="76">
        <v>0.41963662199999996</v>
      </c>
      <c r="G19" s="76">
        <v>38.977567846999982</v>
      </c>
      <c r="H19" s="76">
        <v>999.04997595099906</v>
      </c>
      <c r="I19" s="76">
        <v>155.94230770000001</v>
      </c>
      <c r="J19" s="76">
        <v>251.157157918</v>
      </c>
      <c r="K19" s="76">
        <v>10.026584396999999</v>
      </c>
      <c r="L19" s="76">
        <v>17.125232352999991</v>
      </c>
      <c r="M19" s="76">
        <v>1.3640618599999996</v>
      </c>
      <c r="N19" s="76">
        <v>15.363703407000003</v>
      </c>
      <c r="O19" s="76">
        <v>1.8299436119999999</v>
      </c>
      <c r="Q19" s="372"/>
    </row>
    <row r="20" spans="1:17" x14ac:dyDescent="0.55000000000000004">
      <c r="A20" s="15"/>
      <c r="B20" s="15" t="s">
        <v>161</v>
      </c>
      <c r="C20" s="76">
        <v>42.374870457999997</v>
      </c>
      <c r="D20" s="76">
        <v>0.188508815</v>
      </c>
      <c r="E20" s="76">
        <v>0.11906594299999991</v>
      </c>
      <c r="F20" s="76">
        <v>0.45044290199999998</v>
      </c>
      <c r="G20" s="76">
        <v>22.213172172000004</v>
      </c>
      <c r="H20" s="76">
        <v>1063.7639557349989</v>
      </c>
      <c r="I20" s="76">
        <v>155.94230770000001</v>
      </c>
      <c r="J20" s="76">
        <v>251.111164328</v>
      </c>
      <c r="K20" s="76">
        <v>12.88403703399999</v>
      </c>
      <c r="L20" s="76">
        <v>17.125232352999991</v>
      </c>
      <c r="M20" s="76">
        <v>1.6123515530000001</v>
      </c>
      <c r="N20" s="76">
        <v>15.657416792000001</v>
      </c>
      <c r="O20" s="76">
        <v>2.8855013759999997</v>
      </c>
      <c r="Q20" s="372"/>
    </row>
    <row r="21" spans="1:17" x14ac:dyDescent="0.55000000000000004">
      <c r="A21" s="15"/>
      <c r="B21" s="15" t="s">
        <v>162</v>
      </c>
      <c r="C21" s="76">
        <v>43.729959750999996</v>
      </c>
      <c r="D21" s="76">
        <v>0.188841964</v>
      </c>
      <c r="E21" s="76">
        <v>1.3391788419999997</v>
      </c>
      <c r="F21" s="76">
        <v>0.45044290199999998</v>
      </c>
      <c r="G21" s="76">
        <v>8.6198208589999989</v>
      </c>
      <c r="H21" s="76">
        <v>1099.8551999909978</v>
      </c>
      <c r="I21" s="76">
        <v>62.376923079999997</v>
      </c>
      <c r="J21" s="76">
        <v>330.44358859399995</v>
      </c>
      <c r="K21" s="76">
        <v>15.741489670999988</v>
      </c>
      <c r="L21" s="76">
        <v>4.4089246629999908</v>
      </c>
      <c r="M21" s="76">
        <v>1.6484215380000002</v>
      </c>
      <c r="N21" s="76">
        <v>11.246242972000001</v>
      </c>
      <c r="O21" s="76">
        <v>2.8502000829999998</v>
      </c>
      <c r="Q21" s="372"/>
    </row>
    <row r="22" spans="1:17" x14ac:dyDescent="0.55000000000000004">
      <c r="A22" s="15"/>
      <c r="B22" s="15" t="s">
        <v>163</v>
      </c>
      <c r="C22" s="76">
        <v>43.712270750999998</v>
      </c>
      <c r="D22" s="76">
        <v>0.188841964</v>
      </c>
      <c r="E22" s="76">
        <v>1.3391788419999997</v>
      </c>
      <c r="F22" s="76">
        <v>0.45044290199999998</v>
      </c>
      <c r="G22" s="76">
        <v>12.900599320999998</v>
      </c>
      <c r="H22" s="76">
        <v>1099.8551999909978</v>
      </c>
      <c r="I22" s="76">
        <v>62.376923079999997</v>
      </c>
      <c r="J22" s="76">
        <v>330.44358859399995</v>
      </c>
      <c r="K22" s="76">
        <v>15.741489670999988</v>
      </c>
      <c r="L22" s="76">
        <v>4.4089246629999908</v>
      </c>
      <c r="M22" s="76">
        <v>1.6484215380000002</v>
      </c>
      <c r="N22" s="76">
        <v>7.140095510000001</v>
      </c>
      <c r="O22" s="76">
        <v>2.8333596989999998</v>
      </c>
      <c r="Q22" s="372"/>
    </row>
    <row r="23" spans="1:17" x14ac:dyDescent="0.55000000000000004">
      <c r="A23" s="15" t="s">
        <v>142</v>
      </c>
      <c r="B23" s="15" t="s">
        <v>160</v>
      </c>
      <c r="C23" s="76">
        <v>87.398945056999992</v>
      </c>
      <c r="D23" s="76">
        <v>0.37119637999999994</v>
      </c>
      <c r="E23" s="76">
        <v>0.12551011500000001</v>
      </c>
      <c r="F23" s="76">
        <v>0.62574699099999997</v>
      </c>
      <c r="G23" s="76">
        <v>23.703893551</v>
      </c>
      <c r="H23" s="76">
        <v>893.42429231999995</v>
      </c>
      <c r="I23" s="76">
        <v>107.04865771999999</v>
      </c>
      <c r="J23" s="76">
        <v>387.68280121200002</v>
      </c>
      <c r="K23" s="76">
        <v>1.587002813</v>
      </c>
      <c r="L23" s="76">
        <v>4.5984246039999999</v>
      </c>
      <c r="M23" s="76">
        <v>1.5033556081999979</v>
      </c>
      <c r="N23" s="76">
        <v>19.011657639000003</v>
      </c>
      <c r="O23" s="76">
        <v>2.1169408599999988</v>
      </c>
      <c r="Q23" s="372"/>
    </row>
    <row r="24" spans="1:17" x14ac:dyDescent="0.55000000000000004">
      <c r="A24" s="15"/>
      <c r="B24" s="15" t="s">
        <v>161</v>
      </c>
      <c r="C24" s="76">
        <v>86.098812587999973</v>
      </c>
      <c r="D24" s="76">
        <v>0.37119637999999994</v>
      </c>
      <c r="E24" s="76">
        <v>0.112946357</v>
      </c>
      <c r="F24" s="76">
        <v>0.62574699099999997</v>
      </c>
      <c r="G24" s="76">
        <v>12.761824663999999</v>
      </c>
      <c r="H24" s="76">
        <v>893.32786833399996</v>
      </c>
      <c r="I24" s="76">
        <v>107.04865771999999</v>
      </c>
      <c r="J24" s="76">
        <v>387.68280121200002</v>
      </c>
      <c r="K24" s="76">
        <v>4.3503680679999999</v>
      </c>
      <c r="L24" s="76">
        <v>4.5984246039999999</v>
      </c>
      <c r="M24" s="76">
        <v>1.807165755199998</v>
      </c>
      <c r="N24" s="76">
        <v>20.656422739000003</v>
      </c>
      <c r="O24" s="76">
        <v>2.0089606739999986</v>
      </c>
      <c r="Q24" s="372"/>
    </row>
    <row r="25" spans="1:17" x14ac:dyDescent="0.55000000000000004">
      <c r="A25" s="15"/>
      <c r="B25" s="15" t="s">
        <v>162</v>
      </c>
      <c r="C25" s="76">
        <v>85.403491579000004</v>
      </c>
      <c r="D25" s="76">
        <v>0.37119637999999994</v>
      </c>
      <c r="E25" s="76">
        <v>1.7288783489999902</v>
      </c>
      <c r="F25" s="76">
        <v>0.63776488899999995</v>
      </c>
      <c r="G25" s="76">
        <v>4.3536501679999988</v>
      </c>
      <c r="H25" s="76">
        <v>879.49387387999991</v>
      </c>
      <c r="I25" s="76">
        <v>71.365771809999998</v>
      </c>
      <c r="J25" s="76">
        <v>478.85338000600001</v>
      </c>
      <c r="K25" s="76">
        <v>7.1137333240000009</v>
      </c>
      <c r="L25" s="76">
        <v>4.5984246039999999</v>
      </c>
      <c r="M25" s="76">
        <v>1.3135385461999993</v>
      </c>
      <c r="N25" s="76">
        <v>16.091001200000001</v>
      </c>
      <c r="O25" s="76">
        <v>2.0911304239999984</v>
      </c>
      <c r="Q25" s="372"/>
    </row>
    <row r="26" spans="1:17" x14ac:dyDescent="0.55000000000000004">
      <c r="A26" s="15"/>
      <c r="B26" s="15" t="s">
        <v>163</v>
      </c>
      <c r="C26" s="76">
        <v>85.385752703999998</v>
      </c>
      <c r="D26" s="76">
        <v>0.37119637999999994</v>
      </c>
      <c r="E26" s="76">
        <v>1.7288783489999902</v>
      </c>
      <c r="F26" s="76">
        <v>0.63776488899999995</v>
      </c>
      <c r="G26" s="76">
        <v>4.3536501679999988</v>
      </c>
      <c r="H26" s="76">
        <v>879.49387387999991</v>
      </c>
      <c r="I26" s="76">
        <v>71.365771809999998</v>
      </c>
      <c r="J26" s="76">
        <v>478.85338000600001</v>
      </c>
      <c r="K26" s="76">
        <v>7.1137333240000009</v>
      </c>
      <c r="L26" s="76">
        <v>4.5984246039999999</v>
      </c>
      <c r="M26" s="76">
        <v>1.3135385461999993</v>
      </c>
      <c r="N26" s="76">
        <v>14.815109861</v>
      </c>
      <c r="O26" s="76">
        <v>2.0211085489999987</v>
      </c>
      <c r="Q26" s="372"/>
    </row>
    <row r="27" spans="1:17" x14ac:dyDescent="0.55000000000000004">
      <c r="A27" s="15" t="s">
        <v>143</v>
      </c>
      <c r="B27" s="15" t="s">
        <v>160</v>
      </c>
      <c r="C27" s="76">
        <v>48.160169979999999</v>
      </c>
      <c r="D27" s="76">
        <v>0.24884839999999986</v>
      </c>
      <c r="E27" s="76">
        <v>5.4790179999999994E-2</v>
      </c>
      <c r="F27" s="76">
        <v>0.79425377909999995</v>
      </c>
      <c r="G27" s="76">
        <v>67.163380579000005</v>
      </c>
      <c r="H27" s="76">
        <v>792.18885725399991</v>
      </c>
      <c r="I27" s="76">
        <v>51.616171000000001</v>
      </c>
      <c r="J27" s="76">
        <v>170.67216588099998</v>
      </c>
      <c r="K27" s="76">
        <v>1.458054564</v>
      </c>
      <c r="L27" s="76">
        <v>5.0668360919999902</v>
      </c>
      <c r="M27" s="76">
        <v>0.91780701609999993</v>
      </c>
      <c r="N27" s="76">
        <v>17.387607307</v>
      </c>
      <c r="O27" s="76">
        <v>1.7452969131000002</v>
      </c>
      <c r="Q27" s="372"/>
    </row>
    <row r="28" spans="1:17" x14ac:dyDescent="0.55000000000000004">
      <c r="A28" s="15"/>
      <c r="B28" s="15" t="s">
        <v>161</v>
      </c>
      <c r="C28" s="76">
        <v>49.597554810000013</v>
      </c>
      <c r="D28" s="76">
        <v>0.24884839999999986</v>
      </c>
      <c r="E28" s="76">
        <v>4.4158209999999996E-2</v>
      </c>
      <c r="F28" s="76">
        <v>0.79425377909999995</v>
      </c>
      <c r="G28" s="76">
        <v>33.528782284999991</v>
      </c>
      <c r="H28" s="76">
        <v>897.20786092399999</v>
      </c>
      <c r="I28" s="76">
        <v>51.616171000000001</v>
      </c>
      <c r="J28" s="76">
        <v>170.67216588099998</v>
      </c>
      <c r="K28" s="76">
        <v>5.2348672439999993</v>
      </c>
      <c r="L28" s="76">
        <v>5.0668360919999902</v>
      </c>
      <c r="M28" s="76">
        <v>1.2603854350999995</v>
      </c>
      <c r="N28" s="76">
        <v>17.522551545000002</v>
      </c>
      <c r="O28" s="76">
        <v>1.6743374541000002</v>
      </c>
      <c r="Q28" s="372"/>
    </row>
    <row r="29" spans="1:17" x14ac:dyDescent="0.55000000000000004">
      <c r="A29" s="15"/>
      <c r="B29" s="15" t="s">
        <v>162</v>
      </c>
      <c r="C29" s="76">
        <v>76.382993673000001</v>
      </c>
      <c r="D29" s="76">
        <v>0.24884839999999986</v>
      </c>
      <c r="E29" s="76">
        <v>11.295479521000003</v>
      </c>
      <c r="F29" s="76">
        <v>0.79868872309999994</v>
      </c>
      <c r="G29" s="76">
        <v>1.4432374860000001</v>
      </c>
      <c r="H29" s="76">
        <v>1498.7297331269981</v>
      </c>
      <c r="I29" s="76">
        <v>0</v>
      </c>
      <c r="J29" s="76">
        <v>58.442799345999994</v>
      </c>
      <c r="K29" s="76">
        <v>9.0116799239999992</v>
      </c>
      <c r="L29" s="76">
        <v>5.0668360919999902</v>
      </c>
      <c r="M29" s="76">
        <v>1.9355676700999978</v>
      </c>
      <c r="N29" s="76">
        <v>12.448164706999991</v>
      </c>
      <c r="O29" s="76">
        <v>1.9479922960000002</v>
      </c>
      <c r="Q29" s="372"/>
    </row>
    <row r="30" spans="1:17" x14ac:dyDescent="0.55000000000000004">
      <c r="A30" s="15"/>
      <c r="B30" s="15" t="s">
        <v>163</v>
      </c>
      <c r="C30" s="76">
        <v>76.364889047999995</v>
      </c>
      <c r="D30" s="76">
        <v>0.24884839999999986</v>
      </c>
      <c r="E30" s="76">
        <v>11.295479521000003</v>
      </c>
      <c r="F30" s="76">
        <v>0.79868872309999994</v>
      </c>
      <c r="G30" s="76">
        <v>1.4432374860000001</v>
      </c>
      <c r="H30" s="76">
        <v>1498.7297331269981</v>
      </c>
      <c r="I30" s="76">
        <v>0</v>
      </c>
      <c r="J30" s="76">
        <v>58.442799345999994</v>
      </c>
      <c r="K30" s="76">
        <v>9.0116799239999992</v>
      </c>
      <c r="L30" s="76">
        <v>5.0668360919999902</v>
      </c>
      <c r="M30" s="76">
        <v>1.9355676700999978</v>
      </c>
      <c r="N30" s="76">
        <v>6.25552175799998</v>
      </c>
      <c r="O30" s="76">
        <v>1.8765266710000001</v>
      </c>
      <c r="Q30" s="372"/>
    </row>
    <row r="31" spans="1:17" x14ac:dyDescent="0.55000000000000004">
      <c r="A31" s="15" t="s">
        <v>144</v>
      </c>
      <c r="B31" s="15" t="s">
        <v>160</v>
      </c>
      <c r="C31" s="76">
        <v>87.948256016300007</v>
      </c>
      <c r="D31" s="76">
        <v>0.23317348899999996</v>
      </c>
      <c r="E31" s="76">
        <v>0.12172775549999995</v>
      </c>
      <c r="F31" s="76">
        <v>0.17298981749999992</v>
      </c>
      <c r="G31" s="76">
        <v>74.056317344649997</v>
      </c>
      <c r="H31" s="76">
        <v>779.83227920199965</v>
      </c>
      <c r="I31" s="76">
        <v>9.5329802029999939</v>
      </c>
      <c r="J31" s="76">
        <v>37.914346449500002</v>
      </c>
      <c r="K31" s="76">
        <v>7.5442486999999489E-2</v>
      </c>
      <c r="L31" s="76">
        <v>0.19007066649999996</v>
      </c>
      <c r="M31" s="76">
        <v>1.8032502420999947</v>
      </c>
      <c r="N31" s="76">
        <v>11.818299414999998</v>
      </c>
      <c r="O31" s="76">
        <v>0.37888272398499945</v>
      </c>
      <c r="Q31" s="372"/>
    </row>
    <row r="32" spans="1:17" x14ac:dyDescent="0.55000000000000004">
      <c r="A32" s="15"/>
      <c r="B32" s="15" t="s">
        <v>161</v>
      </c>
      <c r="C32" s="76">
        <v>82.044830872299997</v>
      </c>
      <c r="D32" s="76">
        <v>0.23317348899999996</v>
      </c>
      <c r="E32" s="76">
        <v>0.13520564249999995</v>
      </c>
      <c r="F32" s="76">
        <v>0.17298981749999992</v>
      </c>
      <c r="G32" s="76">
        <v>37.367265400149996</v>
      </c>
      <c r="H32" s="76">
        <v>779.42103075199952</v>
      </c>
      <c r="I32" s="76">
        <v>9.5329802029999939</v>
      </c>
      <c r="J32" s="76">
        <v>37.914346449500002</v>
      </c>
      <c r="K32" s="76">
        <v>0.48744792149999944</v>
      </c>
      <c r="L32" s="76">
        <v>0.19007066649999996</v>
      </c>
      <c r="M32" s="76">
        <v>2.0269603135999947</v>
      </c>
      <c r="N32" s="76">
        <v>14.922254837499999</v>
      </c>
      <c r="O32" s="76">
        <v>0.37350029023499942</v>
      </c>
      <c r="Q32" s="372"/>
    </row>
    <row r="33" spans="1:17" x14ac:dyDescent="0.55000000000000004">
      <c r="A33" s="15"/>
      <c r="B33" s="15" t="s">
        <v>162</v>
      </c>
      <c r="C33" s="76">
        <v>76.543823420899983</v>
      </c>
      <c r="D33" s="76">
        <v>0.23317348899999996</v>
      </c>
      <c r="E33" s="76">
        <v>0.42281903109999946</v>
      </c>
      <c r="F33" s="76">
        <v>0.17300745989999994</v>
      </c>
      <c r="G33" s="76">
        <v>0.76666465464999922</v>
      </c>
      <c r="H33" s="76">
        <v>782.27940190999948</v>
      </c>
      <c r="I33" s="76">
        <v>3.8338454764999952</v>
      </c>
      <c r="J33" s="76">
        <v>48.365360530999993</v>
      </c>
      <c r="K33" s="76">
        <v>0.89945335599999943</v>
      </c>
      <c r="L33" s="76">
        <v>0.19007066649999996</v>
      </c>
      <c r="M33" s="76">
        <v>1.9977900575999992</v>
      </c>
      <c r="N33" s="76">
        <v>19.272512012499998</v>
      </c>
      <c r="O33" s="76">
        <v>0.2975665107249999</v>
      </c>
      <c r="Q33" s="372"/>
    </row>
    <row r="34" spans="1:17" x14ac:dyDescent="0.55000000000000004">
      <c r="A34" s="15"/>
      <c r="B34" s="15" t="s">
        <v>163</v>
      </c>
      <c r="C34" s="76">
        <v>76.542163596399973</v>
      </c>
      <c r="D34" s="76">
        <v>0.23317348899999996</v>
      </c>
      <c r="E34" s="76">
        <v>0.42281903109999946</v>
      </c>
      <c r="F34" s="76">
        <v>0.17300745989999994</v>
      </c>
      <c r="G34" s="76">
        <v>0.76666465464999922</v>
      </c>
      <c r="H34" s="76">
        <v>782.27940190999948</v>
      </c>
      <c r="I34" s="76">
        <v>3.8338454764999952</v>
      </c>
      <c r="J34" s="76">
        <v>48.365360530999993</v>
      </c>
      <c r="K34" s="76">
        <v>0.89945335599999943</v>
      </c>
      <c r="L34" s="76">
        <v>0.19007066649999996</v>
      </c>
      <c r="M34" s="76">
        <v>1.9977900575999992</v>
      </c>
      <c r="N34" s="76">
        <v>29.759950991500006</v>
      </c>
      <c r="O34" s="76">
        <v>0.29101457222499993</v>
      </c>
      <c r="Q34" s="372"/>
    </row>
    <row r="35" spans="1:17" x14ac:dyDescent="0.55000000000000004">
      <c r="A35" s="15" t="s">
        <v>164</v>
      </c>
      <c r="B35" s="15" t="s">
        <v>160</v>
      </c>
      <c r="C35" s="76">
        <v>69.409801157749996</v>
      </c>
      <c r="D35" s="76">
        <v>0.29145977224999992</v>
      </c>
      <c r="E35" s="76">
        <v>9.9795951749999973E-2</v>
      </c>
      <c r="F35" s="76">
        <v>0.67656186699999998</v>
      </c>
      <c r="G35" s="76">
        <v>51.40132176249999</v>
      </c>
      <c r="H35" s="76">
        <v>1124.052700873749</v>
      </c>
      <c r="I35" s="76">
        <v>127.61018318999999</v>
      </c>
      <c r="J35" s="76">
        <v>206.90849680024999</v>
      </c>
      <c r="K35" s="76">
        <v>0.74501962874999994</v>
      </c>
      <c r="L35" s="76">
        <v>10.939251597249992</v>
      </c>
      <c r="M35" s="76">
        <v>1.0300174802299997</v>
      </c>
      <c r="N35" s="76">
        <v>16.043151068499999</v>
      </c>
      <c r="O35" s="76">
        <v>1.8388517367499988</v>
      </c>
      <c r="Q35" s="372"/>
    </row>
    <row r="36" spans="1:17" x14ac:dyDescent="0.55000000000000004">
      <c r="A36" s="15"/>
      <c r="B36" s="15" t="s">
        <v>161</v>
      </c>
      <c r="C36" s="76">
        <v>68.860192577749984</v>
      </c>
      <c r="D36" s="76">
        <v>0.29145977224999992</v>
      </c>
      <c r="E36" s="76">
        <v>9.5852335749999962E-2</v>
      </c>
      <c r="F36" s="76">
        <v>0.68823490800000009</v>
      </c>
      <c r="G36" s="76">
        <v>28.366709104500003</v>
      </c>
      <c r="H36" s="76">
        <v>1190.8606763362491</v>
      </c>
      <c r="I36" s="76">
        <v>127.61018318999999</v>
      </c>
      <c r="J36" s="76">
        <v>206.90849680024999</v>
      </c>
      <c r="K36" s="76">
        <v>2.3793092069999999</v>
      </c>
      <c r="L36" s="76">
        <v>10.939251597249992</v>
      </c>
      <c r="M36" s="76">
        <v>1.2133622317299995</v>
      </c>
      <c r="N36" s="76">
        <v>16.449437227499999</v>
      </c>
      <c r="O36" s="76">
        <v>2.9185807872499985</v>
      </c>
      <c r="Q36" s="372"/>
    </row>
    <row r="37" spans="1:17" x14ac:dyDescent="0.55000000000000004">
      <c r="A37" s="15"/>
      <c r="B37" s="15" t="s">
        <v>162</v>
      </c>
      <c r="C37" s="76">
        <v>70.276895057499999</v>
      </c>
      <c r="D37" s="76">
        <v>0.29237352424999996</v>
      </c>
      <c r="E37" s="76">
        <v>5.7104637209999733</v>
      </c>
      <c r="F37" s="76">
        <v>0.69239411675000007</v>
      </c>
      <c r="G37" s="76">
        <v>5.5337023240000001</v>
      </c>
      <c r="H37" s="76">
        <v>1244.4293205907488</v>
      </c>
      <c r="I37" s="76">
        <v>51.044073275000002</v>
      </c>
      <c r="J37" s="76">
        <v>293.5066146379998</v>
      </c>
      <c r="K37" s="76">
        <v>3.68132527725</v>
      </c>
      <c r="L37" s="76">
        <v>5.2996031572499929</v>
      </c>
      <c r="M37" s="76">
        <v>1.5057036759799989</v>
      </c>
      <c r="N37" s="76">
        <v>12.438097037249999</v>
      </c>
      <c r="O37" s="76">
        <v>2.8496815882499988</v>
      </c>
      <c r="Q37" s="372"/>
    </row>
    <row r="38" spans="1:17" x14ac:dyDescent="0.55000000000000004">
      <c r="A38" s="15"/>
      <c r="B38" s="15" t="s">
        <v>163</v>
      </c>
      <c r="C38" s="76">
        <v>70.277866449249998</v>
      </c>
      <c r="D38" s="76">
        <v>0.29237352424999996</v>
      </c>
      <c r="E38" s="76">
        <v>5.7104637209999733</v>
      </c>
      <c r="F38" s="76">
        <v>0.69239411675000007</v>
      </c>
      <c r="G38" s="76">
        <v>6.69352166</v>
      </c>
      <c r="H38" s="76">
        <v>1244.4293205907488</v>
      </c>
      <c r="I38" s="76">
        <v>51.044073275000002</v>
      </c>
      <c r="J38" s="76">
        <v>293.5066146379998</v>
      </c>
      <c r="K38" s="76">
        <v>3.9843603445000002</v>
      </c>
      <c r="L38" s="76">
        <v>5.2996031572499929</v>
      </c>
      <c r="M38" s="76">
        <v>1.5105522369799989</v>
      </c>
      <c r="N38" s="76">
        <v>8.0812526142500012</v>
      </c>
      <c r="O38" s="76">
        <v>2.7951550434999985</v>
      </c>
      <c r="Q38" s="372"/>
    </row>
    <row r="39" spans="1:17" x14ac:dyDescent="0.55000000000000004">
      <c r="A39" s="20" t="s">
        <v>348</v>
      </c>
    </row>
    <row r="40" spans="1:17" x14ac:dyDescent="0.55000000000000004">
      <c r="A40" s="246" t="s">
        <v>345</v>
      </c>
    </row>
  </sheetData>
  <mergeCells count="2">
    <mergeCell ref="C2:O2"/>
    <mergeCell ref="Q3:Q38"/>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879151-8BAD-4D03-8C21-FADCDD374CAC}">
  <sheetPr>
    <tabColor theme="0" tint="-0.249977111117893"/>
  </sheetPr>
  <dimension ref="A1:D11"/>
  <sheetViews>
    <sheetView workbookViewId="0">
      <selection activeCell="A9" sqref="A9"/>
    </sheetView>
  </sheetViews>
  <sheetFormatPr defaultRowHeight="14.4" x14ac:dyDescent="0.55000000000000004"/>
  <cols>
    <col min="1" max="1" width="17.15625" customWidth="1"/>
    <col min="3" max="3" width="24.15625" customWidth="1"/>
    <col min="4" max="4" width="33.68359375" customWidth="1"/>
  </cols>
  <sheetData>
    <row r="1" spans="1:4" x14ac:dyDescent="0.55000000000000004">
      <c r="A1" s="18" t="s">
        <v>116</v>
      </c>
      <c r="B1" s="18" t="s">
        <v>147</v>
      </c>
      <c r="C1" s="18" t="s">
        <v>148</v>
      </c>
      <c r="D1" s="18" t="s">
        <v>149</v>
      </c>
    </row>
    <row r="2" spans="1:4" x14ac:dyDescent="0.55000000000000004">
      <c r="A2" s="74" t="s">
        <v>150</v>
      </c>
      <c r="B2" s="74">
        <v>92.1</v>
      </c>
      <c r="C2" s="74" t="s">
        <v>154</v>
      </c>
      <c r="D2" s="75" t="s">
        <v>331</v>
      </c>
    </row>
    <row r="3" spans="1:4" x14ac:dyDescent="0.55000000000000004">
      <c r="A3" s="74" t="s">
        <v>138</v>
      </c>
      <c r="B3" s="74">
        <v>124.3</v>
      </c>
      <c r="C3" s="74" t="s">
        <v>154</v>
      </c>
      <c r="D3" s="75" t="s">
        <v>331</v>
      </c>
    </row>
    <row r="4" spans="1:4" x14ac:dyDescent="0.55000000000000004">
      <c r="A4" s="74" t="s">
        <v>139</v>
      </c>
      <c r="B4" s="74">
        <v>169.5</v>
      </c>
      <c r="C4" s="74" t="s">
        <v>154</v>
      </c>
      <c r="D4" s="75" t="s">
        <v>331</v>
      </c>
    </row>
    <row r="5" spans="1:4" x14ac:dyDescent="0.55000000000000004">
      <c r="A5" s="74" t="s">
        <v>146</v>
      </c>
      <c r="B5" s="74">
        <v>1.31</v>
      </c>
      <c r="C5" s="74" t="s">
        <v>155</v>
      </c>
      <c r="D5" s="75" t="s">
        <v>151</v>
      </c>
    </row>
    <row r="6" spans="1:4" x14ac:dyDescent="0.55000000000000004">
      <c r="A6" s="74" t="s">
        <v>152</v>
      </c>
      <c r="B6" s="74">
        <v>1.67</v>
      </c>
      <c r="C6" s="74" t="s">
        <v>155</v>
      </c>
      <c r="D6" s="75" t="s">
        <v>151</v>
      </c>
    </row>
    <row r="7" spans="1:4" x14ac:dyDescent="0.55000000000000004">
      <c r="A7" s="74" t="s">
        <v>144</v>
      </c>
      <c r="B7" s="74">
        <v>1.1399999999999999</v>
      </c>
      <c r="C7" s="74" t="s">
        <v>155</v>
      </c>
      <c r="D7" s="75" t="s">
        <v>151</v>
      </c>
    </row>
    <row r="8" spans="1:4" x14ac:dyDescent="0.55000000000000004">
      <c r="A8" s="74" t="s">
        <v>145</v>
      </c>
      <c r="B8" s="74">
        <v>1.65</v>
      </c>
      <c r="C8" s="74" t="s">
        <v>155</v>
      </c>
      <c r="D8" s="75" t="s">
        <v>151</v>
      </c>
    </row>
    <row r="9" spans="1:4" x14ac:dyDescent="0.55000000000000004">
      <c r="A9" s="20" t="s">
        <v>348</v>
      </c>
    </row>
    <row r="10" spans="1:4" x14ac:dyDescent="0.55000000000000004">
      <c r="A10" s="246" t="s">
        <v>346</v>
      </c>
    </row>
    <row r="11" spans="1:4" x14ac:dyDescent="0.55000000000000004">
      <c r="A11" s="246" t="s">
        <v>347</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A0FB2E-AAD6-40BF-9F98-758D8676AFD0}">
  <sheetPr>
    <tabColor theme="0" tint="-0.249977111117893"/>
  </sheetPr>
  <dimension ref="A1:G50"/>
  <sheetViews>
    <sheetView topLeftCell="A11" workbookViewId="0">
      <selection activeCell="C4" sqref="C4"/>
    </sheetView>
  </sheetViews>
  <sheetFormatPr defaultRowHeight="14.4" x14ac:dyDescent="0.55000000000000004"/>
  <cols>
    <col min="1" max="1" width="37" customWidth="1"/>
    <col min="2" max="2" width="21.41796875" customWidth="1"/>
    <col min="3" max="3" width="17.41796875" customWidth="1"/>
    <col min="4" max="4" width="19.578125" customWidth="1"/>
    <col min="5" max="5" width="14.83984375" customWidth="1"/>
    <col min="6" max="7" width="37" customWidth="1"/>
  </cols>
  <sheetData>
    <row r="1" spans="1:7" ht="38.1" thickBot="1" x14ac:dyDescent="0.6">
      <c r="A1" s="11" t="s">
        <v>180</v>
      </c>
      <c r="B1" s="142" t="s">
        <v>203</v>
      </c>
      <c r="C1" s="113" t="s">
        <v>204</v>
      </c>
      <c r="D1" s="113" t="s">
        <v>205</v>
      </c>
      <c r="E1" s="113" t="s">
        <v>206</v>
      </c>
      <c r="F1" s="143" t="s">
        <v>207</v>
      </c>
      <c r="G1" s="144" t="s">
        <v>66</v>
      </c>
    </row>
    <row r="2" spans="1:7" ht="31.8" thickBot="1" x14ac:dyDescent="0.6">
      <c r="A2" s="117" t="s">
        <v>119</v>
      </c>
      <c r="B2" s="118">
        <v>0.28499999999999998</v>
      </c>
      <c r="C2" s="114">
        <f>0.53*0.85</f>
        <v>0.45050000000000001</v>
      </c>
      <c r="D2" s="115">
        <v>1</v>
      </c>
      <c r="E2" s="115">
        <v>0.37</v>
      </c>
      <c r="F2" s="3" t="s">
        <v>208</v>
      </c>
      <c r="G2" s="145" t="s">
        <v>209</v>
      </c>
    </row>
    <row r="3" spans="1:7" ht="21.3" thickBot="1" x14ac:dyDescent="0.6">
      <c r="A3" s="146" t="s">
        <v>118</v>
      </c>
      <c r="B3" s="118">
        <v>0.01</v>
      </c>
      <c r="C3" s="114">
        <v>0.95</v>
      </c>
      <c r="D3" s="115">
        <v>1</v>
      </c>
      <c r="E3" s="115">
        <v>0.25</v>
      </c>
      <c r="F3" s="139" t="s">
        <v>210</v>
      </c>
      <c r="G3" s="147"/>
    </row>
    <row r="4" spans="1:7" ht="14.7" thickBot="1" x14ac:dyDescent="0.6">
      <c r="A4" s="146" t="s">
        <v>202</v>
      </c>
      <c r="B4" s="118">
        <v>0.28499999999999998</v>
      </c>
      <c r="C4" s="114">
        <f>0.53*0.85</f>
        <v>0.45050000000000001</v>
      </c>
      <c r="D4" s="115">
        <v>1</v>
      </c>
      <c r="E4" s="115">
        <v>0.37</v>
      </c>
      <c r="F4" s="139" t="s">
        <v>211</v>
      </c>
      <c r="G4" s="147"/>
    </row>
    <row r="5" spans="1:7" ht="21.3" thickBot="1" x14ac:dyDescent="0.6">
      <c r="A5" s="117" t="s">
        <v>135</v>
      </c>
      <c r="B5" s="118">
        <v>0.9</v>
      </c>
      <c r="C5" s="114">
        <v>0.95</v>
      </c>
      <c r="D5" s="114">
        <v>1</v>
      </c>
      <c r="E5" s="114">
        <v>1</v>
      </c>
      <c r="F5" s="3" t="s">
        <v>212</v>
      </c>
      <c r="G5" s="148"/>
    </row>
    <row r="6" spans="1:7" ht="14.7" thickBot="1" x14ac:dyDescent="0.6">
      <c r="A6" s="149" t="s">
        <v>182</v>
      </c>
      <c r="B6" s="118">
        <v>0</v>
      </c>
      <c r="C6" s="114">
        <v>0</v>
      </c>
      <c r="D6" s="114">
        <v>1</v>
      </c>
      <c r="E6" s="114">
        <v>0</v>
      </c>
      <c r="F6" s="3" t="s">
        <v>213</v>
      </c>
      <c r="G6" s="148"/>
    </row>
    <row r="7" spans="1:7" ht="14.7" thickBot="1" x14ac:dyDescent="0.6">
      <c r="A7" s="149" t="s">
        <v>183</v>
      </c>
      <c r="B7" s="118">
        <v>0</v>
      </c>
      <c r="C7" s="114">
        <v>0</v>
      </c>
      <c r="D7" s="114">
        <v>1</v>
      </c>
      <c r="E7" s="114">
        <v>0</v>
      </c>
      <c r="F7" s="3" t="s">
        <v>213</v>
      </c>
      <c r="G7" s="150"/>
    </row>
    <row r="8" spans="1:7" ht="14.7" thickBot="1" x14ac:dyDescent="0.6">
      <c r="A8" s="149" t="s">
        <v>184</v>
      </c>
      <c r="B8" s="118">
        <v>5.0000000000000001E-3</v>
      </c>
      <c r="C8" s="114">
        <f>0.75*0.9</f>
        <v>0.67500000000000004</v>
      </c>
      <c r="D8" s="114">
        <v>1</v>
      </c>
      <c r="E8" s="114">
        <v>0.12</v>
      </c>
      <c r="F8" s="3" t="s">
        <v>214</v>
      </c>
      <c r="G8" s="148"/>
    </row>
    <row r="9" spans="1:7" ht="14.7" thickBot="1" x14ac:dyDescent="0.6">
      <c r="A9" s="146" t="s">
        <v>185</v>
      </c>
      <c r="B9" s="118">
        <v>2.4E-2</v>
      </c>
      <c r="C9" s="114">
        <f>0.75*0.9</f>
        <v>0.67500000000000004</v>
      </c>
      <c r="D9" s="114">
        <v>1</v>
      </c>
      <c r="E9" s="114">
        <v>0.8</v>
      </c>
      <c r="F9" s="3" t="s">
        <v>215</v>
      </c>
      <c r="G9" s="150"/>
    </row>
    <row r="10" spans="1:7" ht="21.3" thickBot="1" x14ac:dyDescent="0.6">
      <c r="A10" s="146" t="s">
        <v>216</v>
      </c>
      <c r="B10" s="118">
        <v>1.7000000000000001E-2</v>
      </c>
      <c r="C10" s="114">
        <f>0.75*0.9</f>
        <v>0.67500000000000004</v>
      </c>
      <c r="D10" s="114">
        <v>1</v>
      </c>
      <c r="E10" s="114">
        <v>0.5</v>
      </c>
      <c r="F10" s="139" t="s">
        <v>217</v>
      </c>
      <c r="G10" s="148"/>
    </row>
    <row r="11" spans="1:7" ht="14.7" thickBot="1" x14ac:dyDescent="0.6">
      <c r="A11" s="146" t="s">
        <v>218</v>
      </c>
      <c r="B11" s="118">
        <v>5.0000000000000001E-3</v>
      </c>
      <c r="C11" s="114">
        <f>0.75*0.9</f>
        <v>0.67500000000000004</v>
      </c>
      <c r="D11" s="114">
        <v>1</v>
      </c>
      <c r="E11" s="114">
        <v>0.8</v>
      </c>
      <c r="F11" s="139" t="s">
        <v>213</v>
      </c>
      <c r="G11" s="148" t="s">
        <v>219</v>
      </c>
    </row>
    <row r="12" spans="1:7" ht="14.7" thickBot="1" x14ac:dyDescent="0.6">
      <c r="A12" s="146" t="s">
        <v>127</v>
      </c>
      <c r="B12" s="118">
        <v>0.01</v>
      </c>
      <c r="C12" s="114">
        <v>0.95</v>
      </c>
      <c r="D12" s="114">
        <v>1</v>
      </c>
      <c r="E12" s="114">
        <v>0.25</v>
      </c>
      <c r="F12" s="139" t="s">
        <v>220</v>
      </c>
      <c r="G12" s="147"/>
    </row>
    <row r="13" spans="1:7" ht="21.3" thickBot="1" x14ac:dyDescent="0.6">
      <c r="A13" s="146" t="s">
        <v>221</v>
      </c>
      <c r="B13" s="118">
        <f>0.073*0.95</f>
        <v>6.9349999999999995E-2</v>
      </c>
      <c r="C13" s="114">
        <v>0.95</v>
      </c>
      <c r="D13" s="114">
        <v>1</v>
      </c>
      <c r="E13" s="114">
        <v>0.93300000000000005</v>
      </c>
      <c r="F13" s="139" t="s">
        <v>222</v>
      </c>
      <c r="G13" s="148"/>
    </row>
    <row r="14" spans="1:7" ht="21.3" thickBot="1" x14ac:dyDescent="0.6">
      <c r="A14" s="149" t="s">
        <v>223</v>
      </c>
      <c r="B14" s="118">
        <f>0.43*0.95</f>
        <v>0.40849999999999997</v>
      </c>
      <c r="C14" s="114">
        <v>0.95</v>
      </c>
      <c r="D14" s="114">
        <v>0</v>
      </c>
      <c r="E14" s="114">
        <v>0.77</v>
      </c>
      <c r="F14" s="139" t="s">
        <v>224</v>
      </c>
      <c r="G14" s="148"/>
    </row>
    <row r="15" spans="1:7" ht="14.7" thickBot="1" x14ac:dyDescent="0.6">
      <c r="A15" s="149" t="s">
        <v>225</v>
      </c>
      <c r="B15" s="118">
        <f>0.25*0.95</f>
        <v>0.23749999999999999</v>
      </c>
      <c r="C15" s="114">
        <v>0.95</v>
      </c>
      <c r="D15" s="114">
        <v>1</v>
      </c>
      <c r="E15" s="114">
        <v>1</v>
      </c>
      <c r="F15" s="151" t="s">
        <v>226</v>
      </c>
      <c r="G15" s="150" t="s">
        <v>227</v>
      </c>
    </row>
    <row r="16" spans="1:7" ht="21.3" thickBot="1" x14ac:dyDescent="0.6">
      <c r="A16" s="149" t="s">
        <v>228</v>
      </c>
      <c r="B16" s="118">
        <f>0.8*0.95</f>
        <v>0.76</v>
      </c>
      <c r="C16" s="114">
        <v>0.95</v>
      </c>
      <c r="D16" s="114">
        <v>1</v>
      </c>
      <c r="E16" s="114">
        <v>1</v>
      </c>
      <c r="F16" s="139" t="s">
        <v>226</v>
      </c>
      <c r="G16" s="148" t="s">
        <v>229</v>
      </c>
    </row>
    <row r="17" spans="1:7" ht="21.3" thickBot="1" x14ac:dyDescent="0.6">
      <c r="A17" s="149" t="s">
        <v>76</v>
      </c>
      <c r="B17" s="118" t="s">
        <v>230</v>
      </c>
      <c r="C17" s="114" t="s">
        <v>230</v>
      </c>
      <c r="D17" s="114" t="s">
        <v>230</v>
      </c>
      <c r="E17" s="114" t="s">
        <v>230</v>
      </c>
      <c r="F17" s="151" t="s">
        <v>231</v>
      </c>
      <c r="G17" s="150" t="s">
        <v>232</v>
      </c>
    </row>
    <row r="18" spans="1:7" ht="21.3" thickBot="1" x14ac:dyDescent="0.6">
      <c r="A18" s="149" t="s">
        <v>129</v>
      </c>
      <c r="B18" s="118">
        <v>0.25</v>
      </c>
      <c r="C18" s="114">
        <v>0.9</v>
      </c>
      <c r="D18" s="114">
        <v>1</v>
      </c>
      <c r="E18" s="114">
        <v>0.5</v>
      </c>
      <c r="F18" s="139" t="s">
        <v>233</v>
      </c>
      <c r="G18" s="148" t="s">
        <v>234</v>
      </c>
    </row>
    <row r="19" spans="1:7" ht="14.7" thickBot="1" x14ac:dyDescent="0.6">
      <c r="A19" s="149" t="s">
        <v>117</v>
      </c>
      <c r="B19" s="118">
        <v>0.9</v>
      </c>
      <c r="C19" s="114">
        <v>0.95</v>
      </c>
      <c r="D19" s="114">
        <v>1</v>
      </c>
      <c r="E19" s="114">
        <v>1</v>
      </c>
      <c r="F19" s="151" t="s">
        <v>235</v>
      </c>
      <c r="G19" s="150"/>
    </row>
    <row r="20" spans="1:7" ht="14.7" thickBot="1" x14ac:dyDescent="0.6">
      <c r="A20" s="149" t="s">
        <v>128</v>
      </c>
      <c r="B20" s="118">
        <v>0.8</v>
      </c>
      <c r="C20" s="114">
        <v>0.95</v>
      </c>
      <c r="D20" s="114">
        <v>1</v>
      </c>
      <c r="E20" s="114">
        <v>1</v>
      </c>
      <c r="F20" s="139" t="s">
        <v>235</v>
      </c>
      <c r="G20" s="152"/>
    </row>
    <row r="21" spans="1:7" ht="14.7" thickBot="1" x14ac:dyDescent="0.6">
      <c r="A21" s="149" t="s">
        <v>133</v>
      </c>
      <c r="B21" s="118">
        <v>0.9</v>
      </c>
      <c r="C21" s="114">
        <v>0.95</v>
      </c>
      <c r="D21" s="114">
        <v>1</v>
      </c>
      <c r="E21" s="114">
        <v>1</v>
      </c>
      <c r="F21" s="153" t="s">
        <v>236</v>
      </c>
      <c r="G21" s="150"/>
    </row>
    <row r="22" spans="1:7" ht="14.7" thickBot="1" x14ac:dyDescent="0.6">
      <c r="A22" s="154" t="s">
        <v>132</v>
      </c>
      <c r="B22" s="119">
        <f>(B15+B16)/2</f>
        <v>0.49875000000000003</v>
      </c>
      <c r="C22" s="116">
        <v>0.95</v>
      </c>
      <c r="D22" s="116">
        <v>1</v>
      </c>
      <c r="E22" s="116">
        <v>1</v>
      </c>
      <c r="F22" s="155" t="s">
        <v>237</v>
      </c>
      <c r="G22" s="148"/>
    </row>
    <row r="23" spans="1:7" x14ac:dyDescent="0.55000000000000004">
      <c r="B23" s="156"/>
      <c r="C23" s="156"/>
      <c r="D23" s="156"/>
      <c r="E23" s="156"/>
      <c r="F23" s="157"/>
    </row>
    <row r="24" spans="1:7" x14ac:dyDescent="0.55000000000000004">
      <c r="A24" s="140"/>
    </row>
    <row r="25" spans="1:7" x14ac:dyDescent="0.55000000000000004">
      <c r="A25" s="14" t="s">
        <v>238</v>
      </c>
    </row>
    <row r="26" spans="1:7" x14ac:dyDescent="0.55000000000000004">
      <c r="A26" s="14" t="s">
        <v>239</v>
      </c>
    </row>
    <row r="27" spans="1:7" x14ac:dyDescent="0.55000000000000004">
      <c r="A27" s="14"/>
    </row>
    <row r="28" spans="1:7" x14ac:dyDescent="0.55000000000000004">
      <c r="A28" s="14"/>
    </row>
    <row r="29" spans="1:7" x14ac:dyDescent="0.55000000000000004">
      <c r="A29" s="20" t="s">
        <v>240</v>
      </c>
    </row>
    <row r="30" spans="1:7" x14ac:dyDescent="0.55000000000000004">
      <c r="A30" s="17" t="s">
        <v>241</v>
      </c>
    </row>
    <row r="31" spans="1:7" x14ac:dyDescent="0.55000000000000004">
      <c r="A31" s="17" t="s">
        <v>242</v>
      </c>
    </row>
    <row r="32" spans="1:7" x14ac:dyDescent="0.55000000000000004">
      <c r="A32" s="17" t="s">
        <v>243</v>
      </c>
    </row>
    <row r="33" spans="1:1" x14ac:dyDescent="0.55000000000000004">
      <c r="A33" s="17" t="s">
        <v>244</v>
      </c>
    </row>
    <row r="34" spans="1:1" x14ac:dyDescent="0.55000000000000004">
      <c r="A34" s="17" t="s">
        <v>245</v>
      </c>
    </row>
    <row r="35" spans="1:1" x14ac:dyDescent="0.55000000000000004">
      <c r="A35" s="17" t="s">
        <v>246</v>
      </c>
    </row>
    <row r="36" spans="1:1" x14ac:dyDescent="0.55000000000000004">
      <c r="A36" s="29" t="s">
        <v>247</v>
      </c>
    </row>
    <row r="37" spans="1:1" x14ac:dyDescent="0.55000000000000004">
      <c r="A37" s="17" t="s">
        <v>248</v>
      </c>
    </row>
    <row r="38" spans="1:1" x14ac:dyDescent="0.55000000000000004">
      <c r="A38" s="17" t="s">
        <v>249</v>
      </c>
    </row>
    <row r="39" spans="1:1" x14ac:dyDescent="0.55000000000000004">
      <c r="A39" s="17" t="s">
        <v>250</v>
      </c>
    </row>
    <row r="40" spans="1:1" x14ac:dyDescent="0.55000000000000004">
      <c r="A40" s="17" t="s">
        <v>251</v>
      </c>
    </row>
    <row r="41" spans="1:1" x14ac:dyDescent="0.55000000000000004">
      <c r="A41" s="17" t="s">
        <v>252</v>
      </c>
    </row>
    <row r="42" spans="1:1" x14ac:dyDescent="0.55000000000000004">
      <c r="A42" s="17" t="s">
        <v>253</v>
      </c>
    </row>
    <row r="43" spans="1:1" x14ac:dyDescent="0.55000000000000004">
      <c r="A43" s="29" t="s">
        <v>254</v>
      </c>
    </row>
    <row r="44" spans="1:1" x14ac:dyDescent="0.55000000000000004">
      <c r="A44" s="17" t="s">
        <v>255</v>
      </c>
    </row>
    <row r="45" spans="1:1" x14ac:dyDescent="0.55000000000000004">
      <c r="A45" s="17" t="s">
        <v>256</v>
      </c>
    </row>
    <row r="46" spans="1:1" x14ac:dyDescent="0.55000000000000004">
      <c r="A46" s="141" t="s">
        <v>257</v>
      </c>
    </row>
    <row r="47" spans="1:1" x14ac:dyDescent="0.55000000000000004">
      <c r="A47" s="17" t="s">
        <v>258</v>
      </c>
    </row>
    <row r="48" spans="1:1" x14ac:dyDescent="0.55000000000000004">
      <c r="A48" s="141" t="s">
        <v>259</v>
      </c>
    </row>
    <row r="49" spans="1:1" x14ac:dyDescent="0.55000000000000004">
      <c r="A49" s="29" t="s">
        <v>260</v>
      </c>
    </row>
    <row r="50" spans="1:1" x14ac:dyDescent="0.55000000000000004">
      <c r="A50" s="17" t="s">
        <v>261</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600A8E-D060-41D8-93D4-95B28A6BE3CC}">
  <sheetPr>
    <tabColor theme="0" tint="-0.249977111117893"/>
  </sheetPr>
  <dimension ref="A1:G5"/>
  <sheetViews>
    <sheetView workbookViewId="0">
      <selection activeCell="C39" sqref="C39"/>
    </sheetView>
  </sheetViews>
  <sheetFormatPr defaultRowHeight="14.4" x14ac:dyDescent="0.55000000000000004"/>
  <sheetData>
    <row r="1" spans="1:7" ht="23.7" thickBot="1" x14ac:dyDescent="0.6">
      <c r="A1" s="123"/>
      <c r="B1" s="11" t="s">
        <v>185</v>
      </c>
      <c r="C1" s="12" t="s">
        <v>184</v>
      </c>
      <c r="D1" s="12" t="s">
        <v>186</v>
      </c>
      <c r="E1" s="12" t="s">
        <v>182</v>
      </c>
      <c r="F1" s="12" t="s">
        <v>183</v>
      </c>
      <c r="G1" s="13" t="s">
        <v>187</v>
      </c>
    </row>
    <row r="2" spans="1:7" x14ac:dyDescent="0.55000000000000004">
      <c r="A2" s="124">
        <v>2018</v>
      </c>
      <c r="B2" s="15">
        <v>0.37</v>
      </c>
      <c r="C2" s="15">
        <v>0.27</v>
      </c>
      <c r="D2" s="15">
        <v>0.22</v>
      </c>
      <c r="E2" s="15">
        <v>0.08</v>
      </c>
      <c r="F2" s="15">
        <v>0.06</v>
      </c>
      <c r="G2" s="52"/>
    </row>
    <row r="3" spans="1:7" x14ac:dyDescent="0.55000000000000004">
      <c r="A3" s="125" t="s">
        <v>3</v>
      </c>
      <c r="B3" s="15">
        <v>0.37</v>
      </c>
      <c r="C3" s="15">
        <v>0.27</v>
      </c>
      <c r="D3" s="15">
        <v>0.22</v>
      </c>
      <c r="E3" s="15">
        <v>0.08</v>
      </c>
      <c r="F3" s="15">
        <v>0.06</v>
      </c>
      <c r="G3" s="52"/>
    </row>
    <row r="4" spans="1:7" x14ac:dyDescent="0.55000000000000004">
      <c r="A4" s="125" t="s">
        <v>5</v>
      </c>
      <c r="B4" s="15">
        <v>0.37</v>
      </c>
      <c r="C4" s="15"/>
      <c r="D4" s="15">
        <v>0.3</v>
      </c>
      <c r="E4" s="15"/>
      <c r="F4" s="15"/>
      <c r="G4" s="52">
        <v>0.33</v>
      </c>
    </row>
    <row r="5" spans="1:7" ht="14.7" thickBot="1" x14ac:dyDescent="0.6">
      <c r="A5" s="126" t="s">
        <v>4</v>
      </c>
      <c r="B5" s="54">
        <v>0.37</v>
      </c>
      <c r="C5" s="54"/>
      <c r="D5" s="54">
        <v>0.22</v>
      </c>
      <c r="E5" s="54"/>
      <c r="F5" s="54"/>
      <c r="G5" s="55">
        <v>0.41000000000000003</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81DA6D-0DB1-40A4-8D5F-03B7D9DB989E}">
  <sheetPr>
    <tabColor theme="0" tint="-0.249977111117893"/>
  </sheetPr>
  <dimension ref="A1:U22"/>
  <sheetViews>
    <sheetView workbookViewId="0">
      <selection activeCell="C26" sqref="C26"/>
    </sheetView>
  </sheetViews>
  <sheetFormatPr defaultColWidth="8.83984375" defaultRowHeight="11.7" x14ac:dyDescent="0.45"/>
  <cols>
    <col min="1" max="1" width="33.68359375" style="15" customWidth="1"/>
    <col min="2" max="2" width="13.26171875" style="74" customWidth="1"/>
    <col min="3" max="5" width="8.83984375" style="15" bestFit="1" customWidth="1"/>
    <col min="6" max="8" width="8.83984375" style="15"/>
    <col min="9" max="10" width="14.26171875" style="15" bestFit="1" customWidth="1"/>
    <col min="11" max="11" width="13.15625" style="15" bestFit="1" customWidth="1"/>
    <col min="12" max="12" width="14.26171875" style="15" bestFit="1" customWidth="1"/>
    <col min="13" max="13" width="14.41796875" style="15" bestFit="1" customWidth="1"/>
    <col min="14" max="17" width="14.26171875" style="15" bestFit="1" customWidth="1"/>
    <col min="18" max="19" width="13.15625" style="15" bestFit="1" customWidth="1"/>
    <col min="20" max="20" width="8.83984375" style="15"/>
    <col min="21" max="21" width="14.41796875" style="15" bestFit="1" customWidth="1"/>
    <col min="22" max="16384" width="8.83984375" style="15"/>
  </cols>
  <sheetData>
    <row r="1" spans="1:21" ht="12" thickBot="1" x14ac:dyDescent="0.5">
      <c r="C1" s="373" t="s">
        <v>194</v>
      </c>
      <c r="D1" s="374"/>
      <c r="E1" s="375"/>
    </row>
    <row r="2" spans="1:21" ht="70" customHeight="1" thickBot="1" x14ac:dyDescent="0.5">
      <c r="A2" s="72" t="s">
        <v>180</v>
      </c>
      <c r="B2" s="72" t="s">
        <v>195</v>
      </c>
      <c r="C2" s="72" t="s">
        <v>3</v>
      </c>
      <c r="D2" s="72" t="s">
        <v>196</v>
      </c>
      <c r="E2" s="72" t="s">
        <v>5</v>
      </c>
      <c r="F2" s="19" t="s">
        <v>149</v>
      </c>
      <c r="G2" s="15" t="s">
        <v>266</v>
      </c>
      <c r="H2" s="15" t="s">
        <v>267</v>
      </c>
      <c r="I2" s="15" t="s">
        <v>117</v>
      </c>
      <c r="J2" s="15" t="s">
        <v>197</v>
      </c>
      <c r="K2" s="15" t="s">
        <v>119</v>
      </c>
      <c r="L2" s="15" t="s">
        <v>123</v>
      </c>
      <c r="M2" s="15" t="s">
        <v>198</v>
      </c>
      <c r="N2" s="15" t="s">
        <v>125</v>
      </c>
      <c r="O2" s="15" t="s">
        <v>200</v>
      </c>
      <c r="P2" s="15" t="s">
        <v>128</v>
      </c>
      <c r="Q2" s="15" t="s">
        <v>201</v>
      </c>
      <c r="R2" s="15" t="s">
        <v>129</v>
      </c>
      <c r="S2" s="15" t="s">
        <v>202</v>
      </c>
    </row>
    <row r="3" spans="1:21" x14ac:dyDescent="0.45">
      <c r="A3" s="125" t="s">
        <v>117</v>
      </c>
      <c r="B3" s="136">
        <v>0.44394423143836892</v>
      </c>
      <c r="C3" s="127">
        <v>306806.18115627201</v>
      </c>
      <c r="D3" s="128">
        <v>136219.08198685455</v>
      </c>
      <c r="E3" s="129">
        <v>133779.57404419925</v>
      </c>
      <c r="F3" s="376" t="s">
        <v>351</v>
      </c>
      <c r="G3" s="15" t="s">
        <v>3</v>
      </c>
      <c r="H3" s="15" t="s">
        <v>69</v>
      </c>
      <c r="I3" s="15">
        <v>157922529.20415831</v>
      </c>
      <c r="J3" s="15">
        <v>379693042.66855335</v>
      </c>
      <c r="K3" s="15">
        <v>2808086228.6038208</v>
      </c>
      <c r="L3" s="15">
        <v>258283820.78077489</v>
      </c>
      <c r="M3" s="15">
        <v>63898124360.8666</v>
      </c>
      <c r="N3" s="15">
        <v>350296318.24106169</v>
      </c>
      <c r="O3" s="15">
        <v>138007102.20494929</v>
      </c>
      <c r="P3" s="15">
        <v>129749521.88796908</v>
      </c>
      <c r="Q3" s="15">
        <v>133254702.8280054</v>
      </c>
      <c r="R3" s="15">
        <v>51974479.150167949</v>
      </c>
      <c r="S3" s="15">
        <v>1510748109.6993315</v>
      </c>
      <c r="U3" s="16">
        <v>69816140216.135391</v>
      </c>
    </row>
    <row r="4" spans="1:21" x14ac:dyDescent="0.45">
      <c r="A4" s="125" t="s">
        <v>197</v>
      </c>
      <c r="B4" s="137">
        <v>1.160882774951495E-2</v>
      </c>
      <c r="C4" s="130">
        <v>41578301.981604353</v>
      </c>
      <c r="D4" s="131">
        <v>10291436.353596386</v>
      </c>
      <c r="E4" s="132">
        <v>18353018.473929971</v>
      </c>
      <c r="F4" s="376"/>
      <c r="H4" s="15" t="s">
        <v>72</v>
      </c>
      <c r="I4" s="15">
        <v>198803100.67735699</v>
      </c>
      <c r="J4" s="15">
        <v>463234122.72751385</v>
      </c>
      <c r="K4" s="15">
        <v>3563046614.437748</v>
      </c>
      <c r="L4" s="15">
        <v>333080504.05229056</v>
      </c>
      <c r="M4" s="15">
        <v>90097520330.666824</v>
      </c>
      <c r="N4" s="15">
        <v>535240823.06593627</v>
      </c>
      <c r="O4" s="15">
        <v>168562218.36060557</v>
      </c>
      <c r="P4" s="15">
        <v>229268015.6898042</v>
      </c>
      <c r="Q4" s="15">
        <v>807153286.21108818</v>
      </c>
      <c r="R4" s="15">
        <v>66758066.345573343</v>
      </c>
      <c r="S4" s="15">
        <v>2599279760.9047956</v>
      </c>
      <c r="U4" s="16">
        <v>69816140216.135391</v>
      </c>
    </row>
    <row r="5" spans="1:21" x14ac:dyDescent="0.45">
      <c r="A5" s="125" t="s">
        <v>119</v>
      </c>
      <c r="B5" s="137">
        <v>1.075443796848344E-2</v>
      </c>
      <c r="C5" s="130">
        <v>303223860.38709199</v>
      </c>
      <c r="D5" s="131">
        <v>76110290.384990484</v>
      </c>
      <c r="E5" s="132">
        <v>110024909.75311321</v>
      </c>
      <c r="F5" s="376"/>
      <c r="G5" s="15" t="s">
        <v>4</v>
      </c>
      <c r="H5" s="15" t="s">
        <v>69</v>
      </c>
      <c r="I5" s="15">
        <v>92366946.44821021</v>
      </c>
      <c r="J5" s="15">
        <v>102934278.57403399</v>
      </c>
      <c r="K5" s="15">
        <v>747583511.47892761</v>
      </c>
      <c r="L5" s="15">
        <v>258283820.78077489</v>
      </c>
      <c r="M5" s="15">
        <v>249467317783.44055</v>
      </c>
      <c r="N5" s="15">
        <v>255649533.827254</v>
      </c>
      <c r="O5" s="15">
        <v>138007102.20494929</v>
      </c>
      <c r="P5" s="15">
        <v>129749521.88796908</v>
      </c>
      <c r="Q5" s="15">
        <v>0</v>
      </c>
      <c r="R5" s="15">
        <v>52607457.413300365</v>
      </c>
      <c r="S5" s="15">
        <v>1218787479.7730613</v>
      </c>
      <c r="U5" s="16">
        <v>69816140216.135391</v>
      </c>
    </row>
    <row r="6" spans="1:21" x14ac:dyDescent="0.45">
      <c r="A6" s="125" t="s">
        <v>120</v>
      </c>
      <c r="B6" s="137">
        <v>0.11708439450245139</v>
      </c>
      <c r="C6" s="60"/>
      <c r="D6" s="63"/>
      <c r="E6" s="66"/>
      <c r="F6" s="376"/>
      <c r="H6" s="15" t="s">
        <v>72</v>
      </c>
      <c r="I6" s="15">
        <v>144996098.2451846</v>
      </c>
      <c r="J6" s="15">
        <v>125094979.88726982</v>
      </c>
      <c r="K6" s="15">
        <v>1248791280.5448344</v>
      </c>
      <c r="L6" s="15">
        <v>333080504.05229056</v>
      </c>
      <c r="M6" s="15">
        <v>271428389368.39221</v>
      </c>
      <c r="N6" s="15">
        <v>408210149.0777474</v>
      </c>
      <c r="O6" s="15">
        <v>168562218.36060557</v>
      </c>
      <c r="P6" s="15">
        <v>229268015.6898042</v>
      </c>
      <c r="Q6" s="15">
        <v>479154488.74585336</v>
      </c>
      <c r="R6" s="15">
        <v>66505653.287341364</v>
      </c>
      <c r="S6" s="15">
        <v>2224989816.4270964</v>
      </c>
      <c r="U6" s="16">
        <v>69816140216.135391</v>
      </c>
    </row>
    <row r="7" spans="1:21" x14ac:dyDescent="0.45">
      <c r="A7" s="125" t="s">
        <v>122</v>
      </c>
      <c r="B7" s="137">
        <v>3.724097400507527E-2</v>
      </c>
      <c r="C7" s="60"/>
      <c r="D7" s="63"/>
      <c r="E7" s="66"/>
      <c r="F7" s="376"/>
      <c r="G7" s="15" t="s">
        <v>5</v>
      </c>
      <c r="H7" s="15" t="s">
        <v>69</v>
      </c>
      <c r="I7" s="15">
        <v>102993559.44758296</v>
      </c>
      <c r="J7" s="15">
        <v>229095766.21478206</v>
      </c>
      <c r="K7" s="15">
        <v>1090983053.4631848</v>
      </c>
      <c r="L7" s="15">
        <v>258283820.78077489</v>
      </c>
      <c r="M7" s="15">
        <v>89260853088.92363</v>
      </c>
      <c r="N7" s="15">
        <v>216530741.93935376</v>
      </c>
      <c r="O7" s="15">
        <v>138007102.20494929</v>
      </c>
      <c r="P7" s="15">
        <v>129749521.88796908</v>
      </c>
      <c r="Q7" s="15">
        <v>0</v>
      </c>
      <c r="R7" s="15">
        <v>59091547.501366399</v>
      </c>
      <c r="S7" s="15">
        <v>1051359385.6990013</v>
      </c>
      <c r="U7" s="16">
        <v>69816140216.135391</v>
      </c>
    </row>
    <row r="8" spans="1:21" x14ac:dyDescent="0.45">
      <c r="A8" s="125" t="s">
        <v>123</v>
      </c>
      <c r="B8" s="137">
        <v>0.14319652224149371</v>
      </c>
      <c r="C8" s="130">
        <v>1859162.5294945776</v>
      </c>
      <c r="D8" s="131">
        <v>1859162.5294945776</v>
      </c>
      <c r="E8" s="132">
        <v>1859162.5294945776</v>
      </c>
      <c r="F8" s="376"/>
      <c r="H8" s="15" t="s">
        <v>72</v>
      </c>
      <c r="I8" s="15">
        <v>141099208.98932463</v>
      </c>
      <c r="J8" s="15">
        <v>300301928.52476215</v>
      </c>
      <c r="K8" s="15">
        <v>1948510228.1854055</v>
      </c>
      <c r="L8" s="15">
        <v>333080504.05229056</v>
      </c>
      <c r="M8" s="15">
        <v>106518248689.0291</v>
      </c>
      <c r="N8" s="15">
        <v>324646773.50529224</v>
      </c>
      <c r="O8" s="15">
        <v>168562218.36060557</v>
      </c>
      <c r="P8" s="15">
        <v>229268015.6898042</v>
      </c>
      <c r="Q8" s="15">
        <v>695883633.11638868</v>
      </c>
      <c r="R8" s="15">
        <v>74222519.158962056</v>
      </c>
      <c r="S8" s="15">
        <v>1811047693.0221858</v>
      </c>
      <c r="U8" s="16">
        <v>69816140216.135391</v>
      </c>
    </row>
    <row r="9" spans="1:21" x14ac:dyDescent="0.45">
      <c r="A9" s="125" t="s">
        <v>198</v>
      </c>
      <c r="B9" s="137">
        <v>4.9520650618592894</v>
      </c>
      <c r="C9" s="130">
        <v>14501870.544312431</v>
      </c>
      <c r="D9" s="131">
        <v>56323561.142865896</v>
      </c>
      <c r="E9" s="132">
        <v>22172681.615940116</v>
      </c>
      <c r="F9" s="376"/>
    </row>
    <row r="10" spans="1:21" x14ac:dyDescent="0.45">
      <c r="A10" s="125" t="s">
        <v>125</v>
      </c>
      <c r="B10" s="137">
        <v>8.5740982874129498E-2</v>
      </c>
      <c r="C10" s="130">
        <v>4226916.3112093415</v>
      </c>
      <c r="D10" s="131">
        <v>1576150.3577059798</v>
      </c>
      <c r="E10" s="132">
        <v>1623310.2859953847</v>
      </c>
      <c r="F10" s="376"/>
    </row>
    <row r="11" spans="1:21" x14ac:dyDescent="0.45">
      <c r="A11" s="125" t="s">
        <v>199</v>
      </c>
      <c r="B11" s="137">
        <v>2.2454081372567831E-2</v>
      </c>
      <c r="C11" s="60"/>
      <c r="D11" s="63"/>
      <c r="E11" s="66"/>
      <c r="F11" s="376"/>
    </row>
    <row r="12" spans="1:21" x14ac:dyDescent="0.45">
      <c r="A12" s="125" t="s">
        <v>200</v>
      </c>
      <c r="B12" s="137">
        <v>9.8040546324353745E-2</v>
      </c>
      <c r="C12" s="130">
        <v>2476411.4262664323</v>
      </c>
      <c r="D12" s="131">
        <v>2476411.4262664323</v>
      </c>
      <c r="E12" s="132">
        <v>2476411.4262664323</v>
      </c>
      <c r="F12" s="376"/>
    </row>
    <row r="13" spans="1:21" x14ac:dyDescent="0.45">
      <c r="A13" s="125" t="s">
        <v>128</v>
      </c>
      <c r="B13" s="137">
        <v>1.687869703526663</v>
      </c>
      <c r="C13" s="130">
        <v>98253.123840209315</v>
      </c>
      <c r="D13" s="131">
        <v>98253.123840209315</v>
      </c>
      <c r="E13" s="132">
        <v>98253.123840209315</v>
      </c>
      <c r="F13" s="376"/>
    </row>
    <row r="14" spans="1:21" x14ac:dyDescent="0.45">
      <c r="A14" s="125" t="s">
        <v>201</v>
      </c>
      <c r="B14" s="137">
        <v>0.10262437500261409</v>
      </c>
      <c r="C14" s="130">
        <v>1937453.1750554424</v>
      </c>
      <c r="D14" s="131">
        <v>0</v>
      </c>
      <c r="E14" s="132">
        <v>593564.61079264246</v>
      </c>
      <c r="F14" s="376"/>
    </row>
    <row r="15" spans="1:21" x14ac:dyDescent="0.45">
      <c r="A15" s="125" t="s">
        <v>137</v>
      </c>
      <c r="B15" s="137">
        <v>2.2454081372567831E-2</v>
      </c>
      <c r="C15" s="60"/>
      <c r="D15" s="63"/>
      <c r="E15" s="66"/>
      <c r="F15" s="376"/>
    </row>
    <row r="16" spans="1:21" x14ac:dyDescent="0.45">
      <c r="A16" s="125" t="s">
        <v>129</v>
      </c>
      <c r="B16" s="137">
        <v>9.3379210736301912E-2</v>
      </c>
      <c r="C16" s="130">
        <v>677690.78234313917</v>
      </c>
      <c r="D16" s="131">
        <v>695473.20492771338</v>
      </c>
      <c r="E16" s="132">
        <v>758748.47536723432</v>
      </c>
      <c r="F16" s="376"/>
    </row>
    <row r="17" spans="1:6" ht="12" thickBot="1" x14ac:dyDescent="0.5">
      <c r="A17" s="126" t="s">
        <v>202</v>
      </c>
      <c r="B17" s="138">
        <v>4.9808382813165575E-2</v>
      </c>
      <c r="C17" s="133">
        <v>22459664.654693428</v>
      </c>
      <c r="D17" s="134">
        <v>22789343.160216764</v>
      </c>
      <c r="E17" s="135">
        <v>19500825.022964925</v>
      </c>
      <c r="F17" s="376"/>
    </row>
    <row r="18" spans="1:6" x14ac:dyDescent="0.45">
      <c r="C18" s="16">
        <f>SUM(C3:C17)</f>
        <v>393346391.09706759</v>
      </c>
    </row>
    <row r="21" spans="1:6" ht="14.4" x14ac:dyDescent="0.55000000000000004">
      <c r="A21" s="20" t="s">
        <v>350</v>
      </c>
    </row>
    <row r="22" spans="1:6" x14ac:dyDescent="0.45">
      <c r="A22" s="246" t="s">
        <v>349</v>
      </c>
    </row>
  </sheetData>
  <mergeCells count="2">
    <mergeCell ref="C1:E1"/>
    <mergeCell ref="F3:F17"/>
  </mergeCells>
  <conditionalFormatting sqref="B3:B16">
    <cfRule type="colorScale" priority="2">
      <colorScale>
        <cfvo type="min"/>
        <cfvo type="percentile" val="50"/>
        <cfvo type="max"/>
        <color rgb="FF63BE7B"/>
        <color rgb="FFFFEB84"/>
        <color rgb="FFF8696B"/>
      </colorScale>
    </cfRule>
  </conditionalFormatting>
  <conditionalFormatting sqref="B3:B17">
    <cfRule type="colorScale" priority="1">
      <colorScale>
        <cfvo type="min"/>
        <cfvo type="percentile" val="50"/>
        <cfvo type="max"/>
        <color rgb="FF63BE7B"/>
        <color rgb="FFFFEB84"/>
        <color rgb="FFF8696B"/>
      </colorScale>
    </cfRule>
  </conditionalFormatting>
  <pageMargins left="0.7" right="0.7" top="0.75" bottom="0.75" header="0.3" footer="0.3"/>
  <legacyDrawing r:id="rId1"/>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8B05AC-7818-49CF-AA53-DC727C05479B}">
  <sheetPr>
    <tabColor theme="0" tint="-0.249977111117893"/>
  </sheetPr>
  <dimension ref="A1:AB38"/>
  <sheetViews>
    <sheetView topLeftCell="A5" workbookViewId="0">
      <selection activeCell="A37" sqref="A37:A38"/>
    </sheetView>
  </sheetViews>
  <sheetFormatPr defaultRowHeight="14.4" x14ac:dyDescent="0.55000000000000004"/>
  <cols>
    <col min="1" max="1" width="15.578125" customWidth="1"/>
    <col min="2" max="2" width="16.68359375" customWidth="1"/>
    <col min="5" max="5" width="14.83984375" customWidth="1"/>
  </cols>
  <sheetData>
    <row r="1" spans="1:8" x14ac:dyDescent="0.55000000000000004">
      <c r="A1" s="163" t="s">
        <v>264</v>
      </c>
      <c r="B1" s="164"/>
      <c r="D1" s="163" t="s">
        <v>265</v>
      </c>
      <c r="E1" s="165"/>
      <c r="F1" s="164"/>
    </row>
    <row r="2" spans="1:8" ht="43.2" x14ac:dyDescent="0.55000000000000004">
      <c r="A2" s="159"/>
      <c r="B2" s="160" t="s">
        <v>263</v>
      </c>
      <c r="D2" s="159"/>
      <c r="E2" s="158" t="s">
        <v>263</v>
      </c>
      <c r="F2" s="160" t="s">
        <v>262</v>
      </c>
      <c r="H2" s="20" t="s">
        <v>149</v>
      </c>
    </row>
    <row r="3" spans="1:8" x14ac:dyDescent="0.55000000000000004">
      <c r="A3" s="117" t="s">
        <v>119</v>
      </c>
      <c r="B3" s="45">
        <v>0.11748738381164731</v>
      </c>
      <c r="D3" s="117" t="s">
        <v>119</v>
      </c>
      <c r="E3">
        <v>0.12620658092958209</v>
      </c>
      <c r="F3" s="45">
        <v>0.37</v>
      </c>
      <c r="H3" s="377" t="s">
        <v>351</v>
      </c>
    </row>
    <row r="4" spans="1:8" x14ac:dyDescent="0.55000000000000004">
      <c r="A4" s="117" t="s">
        <v>118</v>
      </c>
      <c r="B4" s="45">
        <v>0.24253743092470459</v>
      </c>
      <c r="D4" s="117" t="s">
        <v>118</v>
      </c>
      <c r="E4">
        <v>0.23291801641810989</v>
      </c>
      <c r="F4" s="45"/>
      <c r="H4" s="377"/>
    </row>
    <row r="5" spans="1:8" x14ac:dyDescent="0.55000000000000004">
      <c r="A5" s="117" t="s">
        <v>181</v>
      </c>
      <c r="B5" s="45">
        <v>0.44673737809896508</v>
      </c>
      <c r="D5" s="117" t="s">
        <v>181</v>
      </c>
      <c r="E5">
        <v>0.14221914622849585</v>
      </c>
      <c r="F5" s="45"/>
      <c r="H5" s="377"/>
    </row>
    <row r="6" spans="1:8" x14ac:dyDescent="0.55000000000000004">
      <c r="A6" s="117" t="s">
        <v>157</v>
      </c>
      <c r="B6" s="45">
        <v>2.1587681075216958</v>
      </c>
      <c r="D6" s="117" t="s">
        <v>157</v>
      </c>
      <c r="E6">
        <v>0.54934530009507287</v>
      </c>
      <c r="F6" s="45"/>
      <c r="H6" s="377"/>
    </row>
    <row r="7" spans="1:8" x14ac:dyDescent="0.55000000000000004">
      <c r="A7" s="117" t="s">
        <v>182</v>
      </c>
      <c r="B7" s="45">
        <v>4.6140345023003153</v>
      </c>
      <c r="D7" s="117" t="s">
        <v>182</v>
      </c>
      <c r="F7" s="45"/>
      <c r="H7" s="377"/>
    </row>
    <row r="8" spans="1:8" x14ac:dyDescent="0.55000000000000004">
      <c r="A8" s="117" t="s">
        <v>183</v>
      </c>
      <c r="B8" s="45">
        <v>4.273411421612102</v>
      </c>
      <c r="D8" s="117" t="s">
        <v>183</v>
      </c>
      <c r="F8" s="45"/>
      <c r="H8" s="377"/>
    </row>
    <row r="9" spans="1:8" x14ac:dyDescent="0.55000000000000004">
      <c r="A9" s="117" t="s">
        <v>184</v>
      </c>
      <c r="B9" s="45">
        <v>3.5415257721180882</v>
      </c>
      <c r="D9" s="117" t="s">
        <v>184</v>
      </c>
      <c r="E9">
        <v>3.2437947554085169</v>
      </c>
      <c r="F9" s="45">
        <v>0.12</v>
      </c>
      <c r="H9" s="377"/>
    </row>
    <row r="10" spans="1:8" x14ac:dyDescent="0.55000000000000004">
      <c r="A10" s="117" t="s">
        <v>185</v>
      </c>
      <c r="B10" s="45">
        <v>2.672247951506455</v>
      </c>
      <c r="D10" s="117" t="s">
        <v>185</v>
      </c>
      <c r="E10">
        <v>0.57929595528208699</v>
      </c>
      <c r="F10" s="45">
        <v>0.77</v>
      </c>
      <c r="H10" s="377"/>
    </row>
    <row r="11" spans="1:8" x14ac:dyDescent="0.55000000000000004">
      <c r="A11" s="117" t="s">
        <v>186</v>
      </c>
      <c r="B11" s="45">
        <v>1.305296357625241</v>
      </c>
      <c r="D11" s="117" t="s">
        <v>186</v>
      </c>
      <c r="E11">
        <v>0.6727863836130259</v>
      </c>
      <c r="F11" s="45">
        <v>0.5</v>
      </c>
      <c r="H11" s="377"/>
    </row>
    <row r="12" spans="1:8" ht="21" x14ac:dyDescent="0.55000000000000004">
      <c r="A12" s="117" t="s">
        <v>187</v>
      </c>
      <c r="B12" s="45">
        <v>8.9873877666407004E-2</v>
      </c>
      <c r="D12" s="117" t="s">
        <v>187</v>
      </c>
      <c r="E12">
        <v>3.9036842500418063E-2</v>
      </c>
      <c r="F12" s="45"/>
      <c r="H12" s="377"/>
    </row>
    <row r="13" spans="1:8" x14ac:dyDescent="0.55000000000000004">
      <c r="A13" s="117" t="s">
        <v>127</v>
      </c>
      <c r="B13" s="45">
        <v>0.72968191911153002</v>
      </c>
      <c r="D13" s="117" t="s">
        <v>127</v>
      </c>
      <c r="E13">
        <v>0.23291801641810989</v>
      </c>
      <c r="F13" s="45"/>
      <c r="H13" s="377"/>
    </row>
    <row r="14" spans="1:8" x14ac:dyDescent="0.55000000000000004">
      <c r="A14" s="117" t="s">
        <v>123</v>
      </c>
      <c r="B14" s="45">
        <v>0.96429253414894633</v>
      </c>
      <c r="D14" s="117" t="s">
        <v>123</v>
      </c>
      <c r="E14">
        <v>0.8242406622893178</v>
      </c>
      <c r="F14" s="45"/>
      <c r="H14" s="377"/>
    </row>
    <row r="15" spans="1:8" ht="21" x14ac:dyDescent="0.55000000000000004">
      <c r="A15" s="117" t="s">
        <v>189</v>
      </c>
      <c r="B15" s="45">
        <v>0.10443501408601807</v>
      </c>
      <c r="D15" s="117" t="s">
        <v>188</v>
      </c>
      <c r="E15">
        <v>0.60506758853016762</v>
      </c>
      <c r="F15" s="45">
        <v>0.41</v>
      </c>
      <c r="H15" s="377"/>
    </row>
    <row r="16" spans="1:8" ht="21" x14ac:dyDescent="0.55000000000000004">
      <c r="A16" s="117" t="s">
        <v>190</v>
      </c>
      <c r="B16" s="45">
        <v>8.3101444498223723E-2</v>
      </c>
      <c r="D16" s="117" t="s">
        <v>189</v>
      </c>
      <c r="E16">
        <v>5.0685597119198247E-2</v>
      </c>
      <c r="F16" s="45"/>
      <c r="H16" s="377"/>
    </row>
    <row r="17" spans="1:28" ht="21" x14ac:dyDescent="0.55000000000000004">
      <c r="A17" s="117" t="s">
        <v>191</v>
      </c>
      <c r="B17" s="45">
        <v>0.29640801415808976</v>
      </c>
      <c r="D17" s="117" t="s">
        <v>190</v>
      </c>
      <c r="E17">
        <v>1.4375664670219825</v>
      </c>
      <c r="F17" s="45"/>
      <c r="H17" s="377"/>
    </row>
    <row r="18" spans="1:28" x14ac:dyDescent="0.55000000000000004">
      <c r="A18" s="117" t="s">
        <v>76</v>
      </c>
      <c r="B18" s="45">
        <v>2.9976764330251613</v>
      </c>
      <c r="D18" s="117" t="s">
        <v>191</v>
      </c>
      <c r="F18" s="45"/>
      <c r="H18" s="377"/>
    </row>
    <row r="19" spans="1:28" x14ac:dyDescent="0.55000000000000004">
      <c r="A19" s="117" t="s">
        <v>129</v>
      </c>
      <c r="B19" s="45">
        <v>1.8975039811543559</v>
      </c>
      <c r="D19" s="117" t="s">
        <v>76</v>
      </c>
      <c r="F19" s="45"/>
      <c r="H19" s="377"/>
    </row>
    <row r="20" spans="1:28" x14ac:dyDescent="0.55000000000000004">
      <c r="A20" s="117" t="s">
        <v>117</v>
      </c>
      <c r="B20" s="45">
        <v>20.97411263191076</v>
      </c>
      <c r="D20" s="117" t="s">
        <v>129</v>
      </c>
      <c r="E20">
        <v>1.1430133936292699</v>
      </c>
      <c r="F20" s="45"/>
      <c r="H20" s="377"/>
    </row>
    <row r="21" spans="1:28" x14ac:dyDescent="0.55000000000000004">
      <c r="A21" s="117" t="s">
        <v>128</v>
      </c>
      <c r="B21" s="45">
        <v>6.7357283667796786</v>
      </c>
      <c r="D21" s="117" t="s">
        <v>117</v>
      </c>
      <c r="E21">
        <v>0.81035366211984472</v>
      </c>
      <c r="F21" s="45"/>
      <c r="H21" s="377"/>
    </row>
    <row r="22" spans="1:28" x14ac:dyDescent="0.55000000000000004">
      <c r="A22" s="117" t="s">
        <v>192</v>
      </c>
      <c r="B22" s="45">
        <v>2.1587681075216958</v>
      </c>
      <c r="D22" s="117" t="s">
        <v>128</v>
      </c>
      <c r="E22">
        <v>0.30538772579394741</v>
      </c>
      <c r="F22" s="45"/>
      <c r="H22" s="377"/>
    </row>
    <row r="23" spans="1:28" ht="21.3" thickBot="1" x14ac:dyDescent="0.6">
      <c r="A23" s="161" t="s">
        <v>193</v>
      </c>
      <c r="B23" s="46">
        <v>0.10443501408601807</v>
      </c>
      <c r="D23" s="117" t="s">
        <v>192</v>
      </c>
      <c r="E23">
        <v>0.54934530009507287</v>
      </c>
      <c r="F23" s="45"/>
      <c r="H23" s="377"/>
    </row>
    <row r="24" spans="1:28" ht="21.3" thickBot="1" x14ac:dyDescent="0.6">
      <c r="D24" s="161" t="s">
        <v>193</v>
      </c>
      <c r="E24" s="162">
        <v>1.4375664670219825</v>
      </c>
      <c r="F24" s="46"/>
      <c r="H24" s="377"/>
    </row>
    <row r="28" spans="1:28" ht="14.7" thickBot="1" x14ac:dyDescent="0.6"/>
    <row r="29" spans="1:28" ht="14.7" thickBot="1" x14ac:dyDescent="0.6">
      <c r="A29" t="s">
        <v>180</v>
      </c>
      <c r="B29" t="s">
        <v>267</v>
      </c>
      <c r="C29" t="s">
        <v>157</v>
      </c>
      <c r="D29" t="s">
        <v>128</v>
      </c>
      <c r="E29" t="s">
        <v>117</v>
      </c>
      <c r="F29" t="s">
        <v>192</v>
      </c>
      <c r="G29" t="s">
        <v>189</v>
      </c>
      <c r="H29" t="s">
        <v>190</v>
      </c>
      <c r="I29" t="s">
        <v>191</v>
      </c>
      <c r="J29" t="s">
        <v>119</v>
      </c>
      <c r="K29" t="s">
        <v>118</v>
      </c>
      <c r="L29" t="s">
        <v>181</v>
      </c>
      <c r="M29" t="s">
        <v>123</v>
      </c>
      <c r="N29" t="s">
        <v>127</v>
      </c>
      <c r="O29" t="s">
        <v>129</v>
      </c>
      <c r="P29" t="s">
        <v>76</v>
      </c>
      <c r="Q29" t="s">
        <v>193</v>
      </c>
      <c r="R29" t="s">
        <v>185</v>
      </c>
      <c r="S29" t="s">
        <v>184</v>
      </c>
      <c r="T29" t="s">
        <v>186</v>
      </c>
      <c r="U29" t="s">
        <v>183</v>
      </c>
      <c r="V29" t="s">
        <v>182</v>
      </c>
      <c r="W29" t="s">
        <v>187</v>
      </c>
      <c r="Z29" s="174" t="s">
        <v>266</v>
      </c>
      <c r="AA29" s="172" t="s">
        <v>267</v>
      </c>
      <c r="AB29" s="173" t="s">
        <v>274</v>
      </c>
    </row>
    <row r="30" spans="1:28" x14ac:dyDescent="0.55000000000000004">
      <c r="A30" t="s">
        <v>3</v>
      </c>
      <c r="B30" t="s">
        <v>69</v>
      </c>
      <c r="C30">
        <v>6436621342.1667175</v>
      </c>
      <c r="D30">
        <v>532987742.85720932</v>
      </c>
      <c r="E30">
        <v>7554651559.3390493</v>
      </c>
      <c r="F30">
        <v>25627278.531159539</v>
      </c>
      <c r="G30">
        <v>1256181495.2765386</v>
      </c>
      <c r="H30">
        <v>1134260316.3054342</v>
      </c>
      <c r="I30">
        <v>0</v>
      </c>
      <c r="J30">
        <v>47881016333.056831</v>
      </c>
      <c r="K30">
        <v>10472107478.374239</v>
      </c>
      <c r="L30">
        <v>16083511274.590734</v>
      </c>
      <c r="M30">
        <v>2077869938.736779</v>
      </c>
      <c r="N30">
        <v>1136428462.8224425</v>
      </c>
      <c r="O30">
        <v>1243070200.7366066</v>
      </c>
      <c r="P30">
        <v>2375138307.988308</v>
      </c>
      <c r="Q30">
        <v>10603310.30569962</v>
      </c>
      <c r="R30">
        <v>4921578052.8456755</v>
      </c>
      <c r="S30">
        <v>5169206197.1331968</v>
      </c>
      <c r="T30">
        <v>1498382579.6518974</v>
      </c>
      <c r="U30">
        <v>1258910514.7360389</v>
      </c>
      <c r="V30">
        <v>1812340221.031023</v>
      </c>
      <c r="W30">
        <v>0</v>
      </c>
      <c r="Z30" s="121" t="s">
        <v>3</v>
      </c>
      <c r="AA30" s="120" t="s">
        <v>69</v>
      </c>
      <c r="AB30" s="120">
        <v>112.88049260648557</v>
      </c>
    </row>
    <row r="31" spans="1:28" x14ac:dyDescent="0.55000000000000004">
      <c r="B31" t="s">
        <v>72</v>
      </c>
      <c r="C31">
        <v>16913324519.072321</v>
      </c>
      <c r="D31">
        <v>915024691.74730444</v>
      </c>
      <c r="E31">
        <v>9393337488.1147194</v>
      </c>
      <c r="F31">
        <v>92980718.431554705</v>
      </c>
      <c r="G31">
        <v>1559211319.7808473</v>
      </c>
      <c r="H31">
        <v>279266138.25863099</v>
      </c>
      <c r="I31">
        <v>0</v>
      </c>
      <c r="J31">
        <v>39017639598.096733</v>
      </c>
      <c r="K31">
        <v>9697453217.1880341</v>
      </c>
      <c r="L31">
        <v>23324709657.155521</v>
      </c>
      <c r="M31">
        <v>2244590166.4642906</v>
      </c>
      <c r="N31">
        <v>1255783636.2968464</v>
      </c>
      <c r="O31">
        <v>1357752743.1935031</v>
      </c>
      <c r="P31">
        <v>2457044899.5094051</v>
      </c>
      <c r="Q31">
        <v>13487924.22366561</v>
      </c>
      <c r="R31">
        <v>6179414646.0433054</v>
      </c>
      <c r="S31">
        <v>5982108308.2307377</v>
      </c>
      <c r="T31">
        <v>1795222162.0707695</v>
      </c>
      <c r="U31">
        <v>1602365656.340965</v>
      </c>
      <c r="V31">
        <v>2306781692.417912</v>
      </c>
      <c r="W31">
        <v>0</v>
      </c>
      <c r="Z31" s="121"/>
      <c r="AA31" s="121" t="s">
        <v>72</v>
      </c>
      <c r="AB31" s="121">
        <v>126.38749918263704</v>
      </c>
    </row>
    <row r="32" spans="1:28" x14ac:dyDescent="0.55000000000000004">
      <c r="A32" t="s">
        <v>4</v>
      </c>
      <c r="B32" t="s">
        <v>69</v>
      </c>
      <c r="C32">
        <v>2469960858.0396361</v>
      </c>
      <c r="D32">
        <v>532987742.85720932</v>
      </c>
      <c r="E32">
        <v>4457482863.3545771</v>
      </c>
      <c r="F32">
        <v>24537927.620778762</v>
      </c>
      <c r="G32">
        <v>2291233492.9294739</v>
      </c>
      <c r="H32">
        <v>1315054004.2472603</v>
      </c>
      <c r="I32">
        <v>7524776104.9265871</v>
      </c>
      <c r="J32">
        <v>18340237751.14637</v>
      </c>
      <c r="K32">
        <v>2838974401.1642771</v>
      </c>
      <c r="L32">
        <v>12975281614.72353</v>
      </c>
      <c r="M32">
        <v>2077869938.736779</v>
      </c>
      <c r="N32">
        <v>1136428462.8224425</v>
      </c>
      <c r="O32">
        <v>1255932579.4695957</v>
      </c>
      <c r="P32">
        <v>3358106508.3471818</v>
      </c>
      <c r="Q32">
        <v>39798617.2281956</v>
      </c>
      <c r="R32">
        <v>3672861221.9717312</v>
      </c>
      <c r="S32">
        <v>2544208006.6559939</v>
      </c>
      <c r="T32">
        <v>1135707850.4237671</v>
      </c>
      <c r="U32">
        <v>0</v>
      </c>
      <c r="V32">
        <v>0</v>
      </c>
      <c r="W32">
        <v>134382383.0894202</v>
      </c>
      <c r="Z32" s="121" t="s">
        <v>4</v>
      </c>
      <c r="AA32" s="121" t="s">
        <v>69</v>
      </c>
      <c r="AB32" s="121">
        <v>68.125822329754811</v>
      </c>
    </row>
    <row r="33" spans="1:28" x14ac:dyDescent="0.55000000000000004">
      <c r="B33" t="s">
        <v>72</v>
      </c>
      <c r="C33">
        <v>10018915563.751854</v>
      </c>
      <c r="D33">
        <v>915024691.74730444</v>
      </c>
      <c r="E33">
        <v>6851229607.2635794</v>
      </c>
      <c r="F33">
        <v>87729205.609041005</v>
      </c>
      <c r="G33">
        <v>2487774906.978703</v>
      </c>
      <c r="H33">
        <v>441459376.66469157</v>
      </c>
      <c r="I33">
        <v>7639669807.2309237</v>
      </c>
      <c r="J33">
        <v>13735443964.253609</v>
      </c>
      <c r="K33">
        <v>2632881257.8891125</v>
      </c>
      <c r="L33">
        <v>19967658112.800282</v>
      </c>
      <c r="M33">
        <v>2244590166.4642906</v>
      </c>
      <c r="N33">
        <v>1255783636.2968464</v>
      </c>
      <c r="O33">
        <v>1352623605.9999681</v>
      </c>
      <c r="P33">
        <v>3679763270.5153322</v>
      </c>
      <c r="Q33">
        <v>51587830.992325611</v>
      </c>
      <c r="R33">
        <v>4712426095.606451</v>
      </c>
      <c r="S33">
        <v>17919659.638916951</v>
      </c>
      <c r="T33">
        <v>1369153046.8350186</v>
      </c>
      <c r="U33">
        <v>0</v>
      </c>
      <c r="V33">
        <v>0</v>
      </c>
      <c r="W33">
        <v>175606218.09555879</v>
      </c>
      <c r="Z33" s="121"/>
      <c r="AA33" s="121" t="s">
        <v>72</v>
      </c>
      <c r="AB33" s="121">
        <v>79.637240024633826</v>
      </c>
    </row>
    <row r="34" spans="1:28" x14ac:dyDescent="0.55000000000000004">
      <c r="A34" t="s">
        <v>5</v>
      </c>
      <c r="B34" t="s">
        <v>69</v>
      </c>
      <c r="C34">
        <v>3587845716.4004359</v>
      </c>
      <c r="D34">
        <v>532987742.85720932</v>
      </c>
      <c r="E34">
        <v>4959536414.5910292</v>
      </c>
      <c r="F34">
        <v>25562535.749508031</v>
      </c>
      <c r="G34">
        <v>1694782494.4733458</v>
      </c>
      <c r="H34">
        <v>1210871242.48071</v>
      </c>
      <c r="I34">
        <v>0</v>
      </c>
      <c r="J34">
        <v>26764753737.550072</v>
      </c>
      <c r="K34">
        <v>6318565833.5487671</v>
      </c>
      <c r="L34">
        <v>11192832494.691658</v>
      </c>
      <c r="M34">
        <v>2077869938.736779</v>
      </c>
      <c r="N34">
        <v>1136428462.8224425</v>
      </c>
      <c r="O34">
        <v>1387691957.8071728</v>
      </c>
      <c r="P34">
        <v>2410516836.05195</v>
      </c>
      <c r="Q34">
        <v>10603310.30569962</v>
      </c>
      <c r="R34">
        <v>3221758494.2681713</v>
      </c>
      <c r="S34">
        <v>2544208006.6559939</v>
      </c>
      <c r="T34">
        <v>1337871667.6781664</v>
      </c>
      <c r="U34">
        <v>0</v>
      </c>
      <c r="V34">
        <v>0</v>
      </c>
      <c r="W34">
        <v>94629978.451491445</v>
      </c>
      <c r="Z34" s="121" t="s">
        <v>5</v>
      </c>
      <c r="AA34" s="121" t="s">
        <v>69</v>
      </c>
      <c r="AB34" s="121">
        <v>70.50931686512061</v>
      </c>
    </row>
    <row r="35" spans="1:28" ht="14.7" thickBot="1" x14ac:dyDescent="0.6">
      <c r="B35" t="s">
        <v>72</v>
      </c>
      <c r="C35">
        <v>14572941657.973541</v>
      </c>
      <c r="D35">
        <v>915024691.74730444</v>
      </c>
      <c r="E35">
        <v>6667121360.3748331</v>
      </c>
      <c r="F35">
        <v>92736623.899938524</v>
      </c>
      <c r="G35">
        <v>1843177132.0851762</v>
      </c>
      <c r="H35">
        <v>328866763.70770186</v>
      </c>
      <c r="I35">
        <v>0</v>
      </c>
      <c r="J35">
        <v>21379557845.671288</v>
      </c>
      <c r="K35">
        <v>6293392389.5552359</v>
      </c>
      <c r="L35">
        <v>16254961404.933105</v>
      </c>
      <c r="M35">
        <v>2244590166.4642906</v>
      </c>
      <c r="N35">
        <v>1255783636.2968464</v>
      </c>
      <c r="O35">
        <v>1509433495.4601061</v>
      </c>
      <c r="P35">
        <v>2215873888.5823112</v>
      </c>
      <c r="Q35">
        <v>13487924.22366561</v>
      </c>
      <c r="R35">
        <v>3748805675.9147286</v>
      </c>
      <c r="S35">
        <v>17919659.638916951</v>
      </c>
      <c r="T35">
        <v>1485156838.2076826</v>
      </c>
      <c r="U35">
        <v>0</v>
      </c>
      <c r="V35">
        <v>0</v>
      </c>
      <c r="W35">
        <v>112436459.4795848</v>
      </c>
      <c r="Z35" s="122"/>
      <c r="AA35" s="122" t="s">
        <v>72</v>
      </c>
      <c r="AB35" s="122">
        <v>80.951267614216263</v>
      </c>
    </row>
    <row r="37" spans="1:28" x14ac:dyDescent="0.55000000000000004">
      <c r="A37" s="20" t="s">
        <v>350</v>
      </c>
    </row>
    <row r="38" spans="1:28" x14ac:dyDescent="0.55000000000000004">
      <c r="A38" s="246" t="s">
        <v>349</v>
      </c>
    </row>
  </sheetData>
  <mergeCells count="1">
    <mergeCell ref="H3:H24"/>
  </mergeCells>
  <pageMargins left="0.7" right="0.7" top="0.75" bottom="0.75" header="0.3" footer="0.3"/>
  <legacy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2D0007-2937-494F-9EEC-1F46918D39B0}">
  <sheetPr>
    <tabColor theme="0" tint="-0.249977111117893"/>
  </sheetPr>
  <dimension ref="A1:Y58"/>
  <sheetViews>
    <sheetView topLeftCell="D18" workbookViewId="0">
      <selection activeCell="M53" sqref="M53"/>
    </sheetView>
  </sheetViews>
  <sheetFormatPr defaultColWidth="8.83984375" defaultRowHeight="11.7" x14ac:dyDescent="0.45"/>
  <cols>
    <col min="1" max="1" width="14.578125" style="15" customWidth="1"/>
    <col min="2" max="2" width="12" style="15" customWidth="1"/>
    <col min="3" max="3" width="13.15625" style="15" bestFit="1" customWidth="1"/>
    <col min="4" max="5" width="14.26171875" style="15" bestFit="1" customWidth="1"/>
    <col min="6" max="6" width="13.15625" style="15" bestFit="1" customWidth="1"/>
    <col min="7" max="7" width="14.26171875" style="15" bestFit="1" customWidth="1"/>
    <col min="8" max="8" width="13.15625" style="15" bestFit="1" customWidth="1"/>
    <col min="9" max="9" width="14.26171875" style="15" bestFit="1" customWidth="1"/>
    <col min="10" max="10" width="14.41796875" style="15" bestFit="1" customWidth="1"/>
    <col min="11" max="12" width="14.26171875" style="15" bestFit="1" customWidth="1"/>
    <col min="13" max="14" width="13.15625" style="15" bestFit="1" customWidth="1"/>
    <col min="15" max="15" width="11.83984375" style="15" bestFit="1" customWidth="1"/>
    <col min="16" max="16" width="13.15625" style="15" bestFit="1" customWidth="1"/>
    <col min="17" max="17" width="14.26171875" style="15" bestFit="1" customWidth="1"/>
    <col min="18" max="20" width="13.15625" style="15" bestFit="1" customWidth="1"/>
    <col min="21" max="22" width="14.26171875" style="15" bestFit="1" customWidth="1"/>
    <col min="23" max="23" width="13.15625" style="15" bestFit="1" customWidth="1"/>
    <col min="24" max="24" width="8.83984375" style="15"/>
    <col min="25" max="25" width="14.41796875" style="15" bestFit="1" customWidth="1"/>
    <col min="26" max="16384" width="8.83984375" style="15"/>
  </cols>
  <sheetData>
    <row r="1" spans="1:25" s="19" customFormat="1" ht="20.65" customHeight="1" thickBot="1" x14ac:dyDescent="0.5">
      <c r="A1" s="175" t="s">
        <v>266</v>
      </c>
      <c r="B1" s="177" t="s">
        <v>267</v>
      </c>
      <c r="C1" s="175" t="s">
        <v>157</v>
      </c>
      <c r="D1" s="176" t="s">
        <v>128</v>
      </c>
      <c r="E1" s="176" t="s">
        <v>117</v>
      </c>
      <c r="F1" s="176" t="s">
        <v>192</v>
      </c>
      <c r="G1" s="176" t="s">
        <v>189</v>
      </c>
      <c r="H1" s="176" t="s">
        <v>190</v>
      </c>
      <c r="I1" s="176" t="s">
        <v>191</v>
      </c>
      <c r="J1" s="176" t="s">
        <v>119</v>
      </c>
      <c r="K1" s="176" t="s">
        <v>118</v>
      </c>
      <c r="L1" s="176" t="s">
        <v>181</v>
      </c>
      <c r="M1" s="176" t="s">
        <v>123</v>
      </c>
      <c r="N1" s="176" t="s">
        <v>127</v>
      </c>
      <c r="O1" s="176" t="s">
        <v>129</v>
      </c>
      <c r="P1" s="176" t="s">
        <v>76</v>
      </c>
      <c r="Q1" s="176" t="s">
        <v>193</v>
      </c>
      <c r="R1" s="176" t="s">
        <v>185</v>
      </c>
      <c r="S1" s="176" t="s">
        <v>184</v>
      </c>
      <c r="T1" s="176" t="s">
        <v>186</v>
      </c>
      <c r="U1" s="176" t="s">
        <v>183</v>
      </c>
      <c r="V1" s="176" t="s">
        <v>182</v>
      </c>
      <c r="W1" s="177" t="s">
        <v>187</v>
      </c>
    </row>
    <row r="2" spans="1:25" x14ac:dyDescent="0.45">
      <c r="A2" s="379" t="s">
        <v>3</v>
      </c>
      <c r="B2" s="52" t="s">
        <v>69</v>
      </c>
      <c r="C2" s="51">
        <v>1298470298.3536911</v>
      </c>
      <c r="D2" s="15">
        <v>76871764.222598627</v>
      </c>
      <c r="E2" s="15">
        <v>355726053.00556111</v>
      </c>
      <c r="F2" s="15">
        <v>0</v>
      </c>
      <c r="G2" s="15">
        <v>10580729720.10549</v>
      </c>
      <c r="H2" s="15">
        <v>2322599206.8524251</v>
      </c>
      <c r="I2" s="15">
        <v>0</v>
      </c>
      <c r="J2" s="15">
        <v>261109528627.4462</v>
      </c>
      <c r="K2" s="15">
        <v>32707268198.067459</v>
      </c>
      <c r="L2" s="15">
        <v>30331201785.174278</v>
      </c>
      <c r="M2" s="15">
        <v>1803701771.089051</v>
      </c>
      <c r="N2" s="15">
        <v>1407653337.103729</v>
      </c>
      <c r="O2" s="15">
        <v>556595828.34707403</v>
      </c>
      <c r="P2" s="15">
        <v>792326443.84884214</v>
      </c>
      <c r="Q2" s="15">
        <v>101530223.3498642</v>
      </c>
      <c r="R2" s="15">
        <v>1399450130.776253</v>
      </c>
      <c r="S2" s="15">
        <v>1166582186.1060281</v>
      </c>
      <c r="T2" s="15">
        <v>832105483.16425848</v>
      </c>
      <c r="U2" s="15">
        <v>294591461.13788569</v>
      </c>
      <c r="V2" s="15">
        <v>392788614.85051441</v>
      </c>
      <c r="W2" s="52">
        <v>0</v>
      </c>
      <c r="Y2" s="15">
        <v>347529721133.00104</v>
      </c>
    </row>
    <row r="3" spans="1:25" x14ac:dyDescent="0.45">
      <c r="A3" s="379"/>
      <c r="B3" s="52" t="s">
        <v>72</v>
      </c>
      <c r="C3" s="51">
        <v>7822239082.3589792</v>
      </c>
      <c r="D3" s="15">
        <v>135832769.08802131</v>
      </c>
      <c r="E3" s="15">
        <v>447810978.4943924</v>
      </c>
      <c r="F3" s="15">
        <v>42883469.574010141</v>
      </c>
      <c r="G3" s="15">
        <v>14919021811.762711</v>
      </c>
      <c r="H3" s="15">
        <v>3274907226.972302</v>
      </c>
      <c r="I3" s="15">
        <v>0</v>
      </c>
      <c r="J3" s="15">
        <v>331309420806.50623</v>
      </c>
      <c r="K3" s="15">
        <v>39903608936.472427</v>
      </c>
      <c r="L3" s="15">
        <v>52185588330.680397</v>
      </c>
      <c r="M3" s="15">
        <v>2326037663.753922</v>
      </c>
      <c r="N3" s="15">
        <v>1719311291.911211</v>
      </c>
      <c r="O3" s="15">
        <v>714913585.35996509</v>
      </c>
      <c r="P3" s="15">
        <v>819649803.57464123</v>
      </c>
      <c r="Q3" s="15">
        <v>129151361.1762072</v>
      </c>
      <c r="R3" s="15">
        <v>2309325429.8618379</v>
      </c>
      <c r="S3" s="15">
        <v>1685183421.7910709</v>
      </c>
      <c r="T3" s="15">
        <v>1373112417.755688</v>
      </c>
      <c r="U3" s="15">
        <v>374961710.50539482</v>
      </c>
      <c r="V3" s="15">
        <v>499948947.34052652</v>
      </c>
      <c r="W3" s="52">
        <v>0</v>
      </c>
      <c r="Y3" s="15">
        <v>461992909044.93988</v>
      </c>
    </row>
    <row r="4" spans="1:25" x14ac:dyDescent="0.45">
      <c r="A4" s="346" t="s">
        <v>4</v>
      </c>
      <c r="B4" s="52" t="s">
        <v>69</v>
      </c>
      <c r="C4" s="51">
        <v>0</v>
      </c>
      <c r="D4" s="15">
        <v>76871764.222598627</v>
      </c>
      <c r="E4" s="15">
        <v>208059796.49503151</v>
      </c>
      <c r="F4" s="15">
        <v>0</v>
      </c>
      <c r="G4" s="15">
        <v>20491696905.884899</v>
      </c>
      <c r="H4" s="15">
        <v>4498177369.5844889</v>
      </c>
      <c r="I4" s="15">
        <v>25386547412.693211</v>
      </c>
      <c r="J4" s="15">
        <v>69513954487.4189</v>
      </c>
      <c r="K4" s="15">
        <v>8866896881.8436356</v>
      </c>
      <c r="L4" s="15">
        <v>24469525227.205448</v>
      </c>
      <c r="M4" s="15">
        <v>1803701771.089051</v>
      </c>
      <c r="N4" s="15">
        <v>1407653337.103729</v>
      </c>
      <c r="O4" s="15">
        <v>563374406.34255433</v>
      </c>
      <c r="P4" s="15">
        <v>1120236484.282023</v>
      </c>
      <c r="Q4" s="15">
        <v>381084998.90099508</v>
      </c>
      <c r="R4" s="15">
        <v>932159350.30433154</v>
      </c>
      <c r="S4" s="15">
        <v>0</v>
      </c>
      <c r="T4" s="15">
        <v>554256910.99176455</v>
      </c>
      <c r="U4" s="15">
        <v>0</v>
      </c>
      <c r="V4" s="15">
        <v>0</v>
      </c>
      <c r="W4" s="52">
        <v>1495232948.423784</v>
      </c>
      <c r="Y4" s="15">
        <v>161769430052.78644</v>
      </c>
    </row>
    <row r="5" spans="1:25" x14ac:dyDescent="0.45">
      <c r="A5" s="346"/>
      <c r="B5" s="52" t="s">
        <v>72</v>
      </c>
      <c r="C5" s="51">
        <v>4628561664.5304518</v>
      </c>
      <c r="D5" s="15">
        <v>135832769.08802131</v>
      </c>
      <c r="E5" s="15">
        <v>326608812.49746311</v>
      </c>
      <c r="F5" s="15">
        <v>40450826.251081623</v>
      </c>
      <c r="G5" s="15">
        <v>23810327044.249611</v>
      </c>
      <c r="H5" s="15">
        <v>5226657156.0547924</v>
      </c>
      <c r="I5" s="15">
        <v>25774167506.67305</v>
      </c>
      <c r="J5" s="15">
        <v>116118692971.63609</v>
      </c>
      <c r="K5" s="15">
        <v>10775849429.973379</v>
      </c>
      <c r="L5" s="15">
        <v>44670990920.80896</v>
      </c>
      <c r="M5" s="15">
        <v>2326037663.753922</v>
      </c>
      <c r="N5" s="15">
        <v>1719311291.911211</v>
      </c>
      <c r="O5" s="15">
        <v>712210488.42605782</v>
      </c>
      <c r="P5" s="15">
        <v>1227538512.8213561</v>
      </c>
      <c r="Q5" s="15">
        <v>493970642.35405958</v>
      </c>
      <c r="R5" s="15">
        <v>1760353711.2719319</v>
      </c>
      <c r="S5" s="15">
        <v>0</v>
      </c>
      <c r="T5" s="15">
        <v>1046696801.2968251</v>
      </c>
      <c r="U5" s="15">
        <v>0</v>
      </c>
      <c r="V5" s="15">
        <v>0</v>
      </c>
      <c r="W5" s="52">
        <v>1953918342.62868</v>
      </c>
      <c r="Y5" s="15">
        <v>242748176556.22699</v>
      </c>
    </row>
    <row r="6" spans="1:25" x14ac:dyDescent="0.45">
      <c r="A6" s="346" t="s">
        <v>5</v>
      </c>
      <c r="B6" s="52" t="s">
        <v>69</v>
      </c>
      <c r="C6" s="51">
        <v>0</v>
      </c>
      <c r="D6" s="15">
        <v>76871764.222598627</v>
      </c>
      <c r="E6" s="15">
        <v>231996616.1377663</v>
      </c>
      <c r="F6" s="15">
        <v>0</v>
      </c>
      <c r="G6" s="15">
        <v>14780480187.276899</v>
      </c>
      <c r="H6" s="15">
        <v>3244495650.8656611</v>
      </c>
      <c r="I6" s="15">
        <v>0</v>
      </c>
      <c r="J6" s="15">
        <v>101444915732.4985</v>
      </c>
      <c r="K6" s="15">
        <v>19734616720.827332</v>
      </c>
      <c r="L6" s="15">
        <v>21108081136.517071</v>
      </c>
      <c r="M6" s="15">
        <v>1803701771.089051</v>
      </c>
      <c r="N6" s="15">
        <v>1407653337.103729</v>
      </c>
      <c r="O6" s="15">
        <v>632812668.20982122</v>
      </c>
      <c r="P6" s="15">
        <v>804128427.4364903</v>
      </c>
      <c r="Q6" s="15">
        <v>101530223.3498642</v>
      </c>
      <c r="R6" s="15">
        <v>763349144.10723996</v>
      </c>
      <c r="S6" s="15">
        <v>0</v>
      </c>
      <c r="T6" s="15">
        <v>709136541.25611353</v>
      </c>
      <c r="U6" s="15">
        <v>0</v>
      </c>
      <c r="V6" s="15">
        <v>0</v>
      </c>
      <c r="W6" s="52">
        <v>1052919723.8238471</v>
      </c>
      <c r="Y6" s="15">
        <v>167896689644.72195</v>
      </c>
    </row>
    <row r="7" spans="1:25" ht="14.65" customHeight="1" thickBot="1" x14ac:dyDescent="0.5">
      <c r="A7" s="378"/>
      <c r="B7" s="55" t="s">
        <v>72</v>
      </c>
      <c r="C7" s="53">
        <v>6738110197.4897394</v>
      </c>
      <c r="D7" s="54">
        <v>135832769.08802131</v>
      </c>
      <c r="E7" s="54">
        <v>317830932.34969288</v>
      </c>
      <c r="F7" s="54">
        <v>42770398.359568126</v>
      </c>
      <c r="G7" s="54">
        <v>17638088925.31181</v>
      </c>
      <c r="H7" s="54">
        <v>3871775617.7513709</v>
      </c>
      <c r="I7" s="54">
        <v>0</v>
      </c>
      <c r="J7" s="54">
        <v>181181967286.03</v>
      </c>
      <c r="K7" s="54">
        <v>25868411092.352509</v>
      </c>
      <c r="L7" s="54">
        <v>36360299024.675049</v>
      </c>
      <c r="M7" s="54">
        <v>2326037663.753922</v>
      </c>
      <c r="N7" s="54">
        <v>1719311291.911211</v>
      </c>
      <c r="O7" s="54">
        <v>794850572.98848486</v>
      </c>
      <c r="P7" s="54">
        <v>739197154.22592175</v>
      </c>
      <c r="Q7" s="54">
        <v>129151361.1762072</v>
      </c>
      <c r="R7" s="54">
        <v>1399750789.2457449</v>
      </c>
      <c r="S7" s="54">
        <v>0</v>
      </c>
      <c r="T7" s="54">
        <v>1135568413.245327</v>
      </c>
      <c r="U7" s="54">
        <v>0</v>
      </c>
      <c r="V7" s="54">
        <v>0</v>
      </c>
      <c r="W7" s="55">
        <v>1251047160.743696</v>
      </c>
      <c r="Y7" s="15">
        <v>281650000650.69824</v>
      </c>
    </row>
    <row r="14" spans="1:25" x14ac:dyDescent="0.45">
      <c r="G14" s="15" t="s">
        <v>375</v>
      </c>
    </row>
    <row r="15" spans="1:25" ht="12" thickBot="1" x14ac:dyDescent="0.5"/>
    <row r="16" spans="1:25" x14ac:dyDescent="0.45">
      <c r="H16" s="48"/>
      <c r="I16" s="49"/>
      <c r="J16" s="278" t="s">
        <v>355</v>
      </c>
      <c r="K16" s="279"/>
      <c r="L16" s="279"/>
      <c r="M16" s="280"/>
    </row>
    <row r="17" spans="8:13" ht="12" thickBot="1" x14ac:dyDescent="0.5">
      <c r="H17" s="268" t="s">
        <v>356</v>
      </c>
      <c r="I17" s="269"/>
      <c r="J17" s="281" t="s">
        <v>357</v>
      </c>
      <c r="K17" s="281" t="s">
        <v>358</v>
      </c>
      <c r="L17" s="281" t="s">
        <v>359</v>
      </c>
      <c r="M17" s="282" t="s">
        <v>191</v>
      </c>
    </row>
    <row r="18" spans="8:13" x14ac:dyDescent="0.45">
      <c r="H18" s="379" t="s">
        <v>3</v>
      </c>
      <c r="I18" s="52" t="s">
        <v>69</v>
      </c>
      <c r="J18" s="16">
        <f>H2</f>
        <v>2322599206.8524251</v>
      </c>
      <c r="K18" s="16">
        <f>G2*0.65</f>
        <v>6877474318.0685682</v>
      </c>
      <c r="L18" s="16">
        <f>G2*0.35</f>
        <v>3703255402.036921</v>
      </c>
      <c r="M18" s="132">
        <v>0</v>
      </c>
    </row>
    <row r="19" spans="8:13" x14ac:dyDescent="0.45">
      <c r="H19" s="379"/>
      <c r="I19" s="52" t="s">
        <v>72</v>
      </c>
      <c r="J19" s="16">
        <f t="shared" ref="J19:J23" si="0">H3</f>
        <v>3274907226.972302</v>
      </c>
      <c r="K19" s="16">
        <f t="shared" ref="K19:K23" si="1">G3*0.65</f>
        <v>9697364177.6457615</v>
      </c>
      <c r="L19" s="16">
        <f t="shared" ref="L19:L23" si="2">G3*0.35</f>
        <v>5221657634.1169481</v>
      </c>
      <c r="M19" s="132">
        <f>I3</f>
        <v>0</v>
      </c>
    </row>
    <row r="20" spans="8:13" x14ac:dyDescent="0.45">
      <c r="H20" s="346" t="s">
        <v>4</v>
      </c>
      <c r="I20" s="52" t="s">
        <v>69</v>
      </c>
      <c r="J20" s="16">
        <f t="shared" si="0"/>
        <v>4498177369.5844889</v>
      </c>
      <c r="K20" s="16">
        <f t="shared" si="1"/>
        <v>13319602988.825186</v>
      </c>
      <c r="L20" s="16">
        <f t="shared" si="2"/>
        <v>7172093917.0597143</v>
      </c>
      <c r="M20" s="132">
        <f t="shared" ref="M20:M23" si="3">I4</f>
        <v>25386547412.693211</v>
      </c>
    </row>
    <row r="21" spans="8:13" x14ac:dyDescent="0.45">
      <c r="H21" s="346"/>
      <c r="I21" s="52" t="s">
        <v>72</v>
      </c>
      <c r="J21" s="16">
        <f t="shared" si="0"/>
        <v>5226657156.0547924</v>
      </c>
      <c r="K21" s="16">
        <f t="shared" si="1"/>
        <v>15476712578.762247</v>
      </c>
      <c r="L21" s="16">
        <f t="shared" si="2"/>
        <v>8333614465.4873629</v>
      </c>
      <c r="M21" s="132">
        <f t="shared" si="3"/>
        <v>25774167506.67305</v>
      </c>
    </row>
    <row r="22" spans="8:13" x14ac:dyDescent="0.45">
      <c r="H22" s="346" t="s">
        <v>5</v>
      </c>
      <c r="I22" s="52" t="s">
        <v>69</v>
      </c>
      <c r="J22" s="16">
        <f t="shared" si="0"/>
        <v>3244495650.8656611</v>
      </c>
      <c r="K22" s="16">
        <f t="shared" si="1"/>
        <v>9607312121.7299843</v>
      </c>
      <c r="L22" s="16">
        <f t="shared" si="2"/>
        <v>5173168065.5469141</v>
      </c>
      <c r="M22" s="132">
        <f t="shared" si="3"/>
        <v>0</v>
      </c>
    </row>
    <row r="23" spans="8:13" ht="12" thickBot="1" x14ac:dyDescent="0.5">
      <c r="H23" s="346"/>
      <c r="I23" s="52" t="s">
        <v>72</v>
      </c>
      <c r="J23" s="16">
        <f t="shared" si="0"/>
        <v>3871775617.7513709</v>
      </c>
      <c r="K23" s="16">
        <f t="shared" si="1"/>
        <v>11464757801.452677</v>
      </c>
      <c r="L23" s="16">
        <f t="shared" si="2"/>
        <v>6173331123.8591328</v>
      </c>
      <c r="M23" s="132">
        <f t="shared" si="3"/>
        <v>0</v>
      </c>
    </row>
    <row r="24" spans="8:13" x14ac:dyDescent="0.45">
      <c r="H24" s="48"/>
      <c r="I24" s="49"/>
      <c r="J24" s="49" t="s">
        <v>357</v>
      </c>
      <c r="K24" s="49" t="s">
        <v>358</v>
      </c>
      <c r="L24" s="49" t="s">
        <v>359</v>
      </c>
      <c r="M24" s="50" t="s">
        <v>191</v>
      </c>
    </row>
    <row r="25" spans="8:13" x14ac:dyDescent="0.45">
      <c r="H25" s="51" t="s">
        <v>360</v>
      </c>
      <c r="J25" s="15">
        <v>650</v>
      </c>
      <c r="K25" s="15">
        <v>460</v>
      </c>
      <c r="L25" s="15">
        <v>650</v>
      </c>
      <c r="M25" s="52">
        <v>490</v>
      </c>
    </row>
    <row r="26" spans="8:13" ht="12" thickBot="1" x14ac:dyDescent="0.5">
      <c r="H26" s="53" t="s">
        <v>361</v>
      </c>
      <c r="I26" s="54"/>
      <c r="J26" s="266">
        <v>1.7321033385579088</v>
      </c>
      <c r="K26" s="266">
        <v>1.5901180929292236</v>
      </c>
      <c r="L26" s="266">
        <v>1.6777732386067872</v>
      </c>
      <c r="M26" s="267">
        <v>1.9817054828586678</v>
      </c>
    </row>
    <row r="27" spans="8:13" ht="12" thickBot="1" x14ac:dyDescent="0.5"/>
    <row r="28" spans="8:13" ht="29.1" customHeight="1" thickBot="1" x14ac:dyDescent="0.5">
      <c r="H28" s="380" t="s">
        <v>362</v>
      </c>
      <c r="I28" s="381"/>
      <c r="J28" s="277" t="s">
        <v>357</v>
      </c>
      <c r="K28" s="275" t="s">
        <v>358</v>
      </c>
      <c r="L28" s="275" t="s">
        <v>359</v>
      </c>
      <c r="M28" s="276" t="s">
        <v>191</v>
      </c>
    </row>
    <row r="29" spans="8:13" x14ac:dyDescent="0.45">
      <c r="H29" s="379" t="s">
        <v>3</v>
      </c>
      <c r="I29" s="124" t="s">
        <v>69</v>
      </c>
      <c r="J29" s="270">
        <f>J18/J$25*J$26</f>
        <v>6189202.8312631333</v>
      </c>
      <c r="K29" s="270">
        <f t="shared" ref="K29:M29" si="4">K18/K$25*K$26</f>
        <v>23773905.101775877</v>
      </c>
      <c r="L29" s="270">
        <f t="shared" si="4"/>
        <v>9558804.3219439462</v>
      </c>
      <c r="M29" s="129">
        <f t="shared" si="4"/>
        <v>0</v>
      </c>
    </row>
    <row r="30" spans="8:13" x14ac:dyDescent="0.45">
      <c r="H30" s="379"/>
      <c r="I30" s="125" t="s">
        <v>72</v>
      </c>
      <c r="J30" s="16">
        <f t="shared" ref="J30:M30" si="5">J19/J$25*J$26</f>
        <v>8726888.8327786885</v>
      </c>
      <c r="K30" s="16">
        <f t="shared" si="5"/>
        <v>33521639.636083145</v>
      </c>
      <c r="L30" s="16">
        <f t="shared" si="5"/>
        <v>13478088.368751148</v>
      </c>
      <c r="M30" s="132">
        <f t="shared" si="5"/>
        <v>0</v>
      </c>
    </row>
    <row r="31" spans="8:13" x14ac:dyDescent="0.45">
      <c r="H31" s="346" t="s">
        <v>4</v>
      </c>
      <c r="I31" s="125" t="s">
        <v>69</v>
      </c>
      <c r="J31" s="16">
        <f t="shared" ref="J31:M31" si="6">J20/J$25*J$26</f>
        <v>11986627.752742963</v>
      </c>
      <c r="K31" s="16">
        <f t="shared" si="6"/>
        <v>46042916.746011063</v>
      </c>
      <c r="L31" s="16">
        <f t="shared" si="6"/>
        <v>18512534.2135651</v>
      </c>
      <c r="M31" s="132">
        <f t="shared" si="6"/>
        <v>102670735.09915441</v>
      </c>
    </row>
    <row r="32" spans="8:13" x14ac:dyDescent="0.45">
      <c r="H32" s="346"/>
      <c r="I32" s="125" t="s">
        <v>72</v>
      </c>
      <c r="J32" s="16">
        <f t="shared" ref="J32:M32" si="7">J21/J$25*J$26</f>
        <v>13927862.014615525</v>
      </c>
      <c r="K32" s="16">
        <f t="shared" si="7"/>
        <v>53499566.71859815</v>
      </c>
      <c r="L32" s="16">
        <f t="shared" si="7"/>
        <v>21510638.970863234</v>
      </c>
      <c r="M32" s="132">
        <f t="shared" si="7"/>
        <v>104238385.84508511</v>
      </c>
    </row>
    <row r="33" spans="7:13" x14ac:dyDescent="0.45">
      <c r="H33" s="346" t="s">
        <v>5</v>
      </c>
      <c r="I33" s="125" t="s">
        <v>69</v>
      </c>
      <c r="J33" s="16">
        <f t="shared" ref="J33:M33" si="8">J22/J$25*J$26</f>
        <v>8645848.8443092722</v>
      </c>
      <c r="K33" s="16">
        <f t="shared" si="8"/>
        <v>33210349.628654554</v>
      </c>
      <c r="L33" s="16">
        <f t="shared" si="8"/>
        <v>13352927.598753624</v>
      </c>
      <c r="M33" s="132">
        <f t="shared" si="8"/>
        <v>0</v>
      </c>
    </row>
    <row r="34" spans="7:13" ht="12" thickBot="1" x14ac:dyDescent="0.5">
      <c r="H34" s="378"/>
      <c r="I34" s="126" t="s">
        <v>72</v>
      </c>
      <c r="J34" s="250">
        <f t="shared" ref="J34:M34" si="9">J23/J$25*J$26</f>
        <v>10317408.421006553</v>
      </c>
      <c r="K34" s="250">
        <f t="shared" si="9"/>
        <v>39631127.850307323</v>
      </c>
      <c r="L34" s="250">
        <f t="shared" si="9"/>
        <v>15934538.081029562</v>
      </c>
      <c r="M34" s="135">
        <f t="shared" si="9"/>
        <v>0</v>
      </c>
    </row>
    <row r="35" spans="7:13" ht="12" thickBot="1" x14ac:dyDescent="0.5"/>
    <row r="36" spans="7:13" ht="12.9" thickBot="1" x14ac:dyDescent="0.5">
      <c r="H36" s="252"/>
      <c r="I36" s="253" t="s">
        <v>363</v>
      </c>
      <c r="J36" s="254" t="s">
        <v>364</v>
      </c>
    </row>
    <row r="37" spans="7:13" ht="37.799999999999997" x14ac:dyDescent="0.45">
      <c r="H37" s="255" t="s">
        <v>365</v>
      </c>
      <c r="I37" s="256">
        <f>(0.0214+0.02771)/2</f>
        <v>2.4555E-2</v>
      </c>
      <c r="J37" s="257">
        <f>(0.0694+0.0384)/2</f>
        <v>5.3900000000000003E-2</v>
      </c>
    </row>
    <row r="38" spans="7:13" ht="25.2" x14ac:dyDescent="0.45">
      <c r="H38" s="255" t="s">
        <v>366</v>
      </c>
      <c r="I38" s="258">
        <v>140</v>
      </c>
      <c r="J38" s="259">
        <v>110</v>
      </c>
    </row>
    <row r="39" spans="7:13" ht="12.6" x14ac:dyDescent="0.45">
      <c r="H39" s="255"/>
      <c r="I39" s="260"/>
      <c r="J39" s="261"/>
    </row>
    <row r="40" spans="7:13" ht="38.1" thickBot="1" x14ac:dyDescent="0.5">
      <c r="H40" s="255" t="s">
        <v>367</v>
      </c>
      <c r="I40" s="256">
        <f>I37/I38</f>
        <v>1.7539285714285714E-4</v>
      </c>
      <c r="J40" s="257">
        <f>J37/J38</f>
        <v>4.8999999999999998E-4</v>
      </c>
    </row>
    <row r="41" spans="7:13" ht="12" thickBot="1" x14ac:dyDescent="0.5">
      <c r="G41" s="273" t="s">
        <v>368</v>
      </c>
      <c r="H41" s="274"/>
      <c r="I41" s="275"/>
      <c r="J41" s="276"/>
    </row>
    <row r="42" spans="7:13" x14ac:dyDescent="0.45">
      <c r="G42" s="379" t="s">
        <v>3</v>
      </c>
      <c r="H42" s="52" t="s">
        <v>69</v>
      </c>
      <c r="I42" s="16">
        <f>(J29+L29)/32</f>
        <v>492125.22353772121</v>
      </c>
      <c r="J42" s="132">
        <f>(K29+M29)/32</f>
        <v>742934.53443049616</v>
      </c>
    </row>
    <row r="43" spans="7:13" x14ac:dyDescent="0.45">
      <c r="G43" s="379"/>
      <c r="H43" s="52" t="s">
        <v>72</v>
      </c>
      <c r="I43" s="16">
        <f t="shared" ref="I43:J43" si="10">(J30+L30)/32</f>
        <v>693905.53754780744</v>
      </c>
      <c r="J43" s="132">
        <f t="shared" si="10"/>
        <v>1047551.2386275983</v>
      </c>
    </row>
    <row r="44" spans="7:13" x14ac:dyDescent="0.45">
      <c r="G44" s="346" t="s">
        <v>4</v>
      </c>
      <c r="H44" s="52" t="s">
        <v>69</v>
      </c>
      <c r="I44" s="16">
        <f t="shared" ref="I44:J44" si="11">(J31+L31)/32</f>
        <v>953098.81144712702</v>
      </c>
      <c r="J44" s="132">
        <f t="shared" si="11"/>
        <v>4647301.6201614216</v>
      </c>
    </row>
    <row r="45" spans="7:13" x14ac:dyDescent="0.45">
      <c r="G45" s="346"/>
      <c r="H45" s="52" t="s">
        <v>72</v>
      </c>
      <c r="I45" s="16">
        <f t="shared" ref="I45:J45" si="12">(J32+L32)/32</f>
        <v>1107453.1557962112</v>
      </c>
      <c r="J45" s="132">
        <f t="shared" si="12"/>
        <v>4929311.0176151022</v>
      </c>
    </row>
    <row r="46" spans="7:13" x14ac:dyDescent="0.45">
      <c r="G46" s="346" t="s">
        <v>5</v>
      </c>
      <c r="H46" s="52" t="s">
        <v>69</v>
      </c>
      <c r="I46" s="16">
        <f t="shared" ref="I46:J46" si="13">(J33+L33)/32</f>
        <v>687461.76384571544</v>
      </c>
      <c r="J46" s="132">
        <f t="shared" si="13"/>
        <v>1037823.4258954548</v>
      </c>
    </row>
    <row r="47" spans="7:13" ht="12" thickBot="1" x14ac:dyDescent="0.5">
      <c r="G47" s="378"/>
      <c r="H47" s="55" t="s">
        <v>72</v>
      </c>
      <c r="I47" s="250">
        <f t="shared" ref="I47:J47" si="14">(J34+L34)/32</f>
        <v>820373.32818862866</v>
      </c>
      <c r="J47" s="135">
        <f t="shared" si="14"/>
        <v>1238472.7453221038</v>
      </c>
    </row>
    <row r="48" spans="7:13" ht="12" thickBot="1" x14ac:dyDescent="0.5"/>
    <row r="49" spans="7:13" ht="12" thickBot="1" x14ac:dyDescent="0.5">
      <c r="G49" s="273" t="s">
        <v>369</v>
      </c>
      <c r="H49" s="274"/>
      <c r="I49" s="275"/>
      <c r="J49" s="276"/>
      <c r="K49" s="277" t="s">
        <v>373</v>
      </c>
      <c r="L49" s="275" t="s">
        <v>374</v>
      </c>
      <c r="M49" s="276" t="s">
        <v>372</v>
      </c>
    </row>
    <row r="50" spans="7:13" x14ac:dyDescent="0.45">
      <c r="G50" s="379" t="s">
        <v>3</v>
      </c>
      <c r="H50" s="52" t="s">
        <v>69</v>
      </c>
      <c r="I50" s="16">
        <f>I42/I$40</f>
        <v>2805845298.1177344</v>
      </c>
      <c r="J50" s="132">
        <f>J42/J$40</f>
        <v>1516192927.4091759</v>
      </c>
      <c r="K50" s="127">
        <f>I50+J50</f>
        <v>4322038225.5269108</v>
      </c>
      <c r="L50" s="31">
        <f>K50/1000000</f>
        <v>4322.0382255269105</v>
      </c>
      <c r="M50" s="271">
        <f>K50/H$58</f>
        <v>0.10403770131013433</v>
      </c>
    </row>
    <row r="51" spans="7:13" x14ac:dyDescent="0.45">
      <c r="G51" s="379"/>
      <c r="H51" s="52" t="s">
        <v>72</v>
      </c>
      <c r="I51" s="16">
        <f t="shared" ref="I51:J51" si="15">I43/I$40</f>
        <v>3956293026.1328869</v>
      </c>
      <c r="J51" s="132">
        <f t="shared" si="15"/>
        <v>2137859670.6685679</v>
      </c>
      <c r="K51" s="130">
        <f t="shared" ref="K51:K55" si="16">I51+J51</f>
        <v>6094152696.8014545</v>
      </c>
      <c r="L51" s="34">
        <f t="shared" ref="L51:L55" si="17">K51/1000000</f>
        <v>6094.1526968014541</v>
      </c>
      <c r="M51" s="272">
        <f t="shared" ref="M51:M55" si="18">K51/H$58</f>
        <v>0.14669505564839935</v>
      </c>
    </row>
    <row r="52" spans="7:13" x14ac:dyDescent="0.45">
      <c r="G52" s="346" t="s">
        <v>4</v>
      </c>
      <c r="H52" s="52" t="s">
        <v>69</v>
      </c>
      <c r="I52" s="16">
        <f t="shared" ref="I52:J52" si="19">I44/I$40</f>
        <v>5434079967.5258722</v>
      </c>
      <c r="J52" s="132">
        <f t="shared" si="19"/>
        <v>9484289020.7375946</v>
      </c>
      <c r="K52" s="130">
        <f t="shared" si="16"/>
        <v>14918368988.263466</v>
      </c>
      <c r="L52" s="34">
        <f t="shared" si="17"/>
        <v>14918.368988263466</v>
      </c>
      <c r="M52" s="272">
        <f t="shared" si="18"/>
        <v>0.35910668435749621</v>
      </c>
    </row>
    <row r="53" spans="7:13" x14ac:dyDescent="0.45">
      <c r="G53" s="346"/>
      <c r="H53" s="52" t="s">
        <v>72</v>
      </c>
      <c r="I53" s="16">
        <f t="shared" ref="I53:J53" si="20">I45/I$40</f>
        <v>6314129171.7153158</v>
      </c>
      <c r="J53" s="132">
        <f t="shared" si="20"/>
        <v>10059818403.296127</v>
      </c>
      <c r="K53" s="130">
        <f t="shared" si="16"/>
        <v>16373947575.011444</v>
      </c>
      <c r="L53" s="34">
        <f t="shared" si="17"/>
        <v>16373.947575011443</v>
      </c>
      <c r="M53" s="272">
        <f t="shared" si="18"/>
        <v>0.3941445628628516</v>
      </c>
    </row>
    <row r="54" spans="7:13" x14ac:dyDescent="0.45">
      <c r="G54" s="346" t="s">
        <v>5</v>
      </c>
      <c r="H54" s="52" t="s">
        <v>69</v>
      </c>
      <c r="I54" s="16">
        <f t="shared" ref="I54:J54" si="21">I46/I$40</f>
        <v>3919553937.6257448</v>
      </c>
      <c r="J54" s="132">
        <f t="shared" si="21"/>
        <v>2118006991.6233773</v>
      </c>
      <c r="K54" s="130">
        <f t="shared" si="16"/>
        <v>6037560929.2491226</v>
      </c>
      <c r="L54" s="34">
        <f t="shared" si="17"/>
        <v>6037.5609292491226</v>
      </c>
      <c r="M54" s="272">
        <f t="shared" si="18"/>
        <v>0.14533281008230323</v>
      </c>
    </row>
    <row r="55" spans="7:13" ht="12" thickBot="1" x14ac:dyDescent="0.5">
      <c r="G55" s="378"/>
      <c r="H55" s="55" t="s">
        <v>72</v>
      </c>
      <c r="I55" s="250">
        <f t="shared" ref="I55:J55" si="22">I47/I$40</f>
        <v>4677347421.9673395</v>
      </c>
      <c r="J55" s="135">
        <f t="shared" si="22"/>
        <v>2527495398.6165385</v>
      </c>
      <c r="K55" s="133">
        <f t="shared" si="16"/>
        <v>7204842820.5838776</v>
      </c>
      <c r="L55" s="37">
        <f t="shared" si="17"/>
        <v>7204.8428205838773</v>
      </c>
      <c r="M55" s="267">
        <f t="shared" si="18"/>
        <v>0.17343097081539316</v>
      </c>
    </row>
    <row r="56" spans="7:13" x14ac:dyDescent="0.45">
      <c r="M56" s="251"/>
    </row>
    <row r="57" spans="7:13" ht="12" thickBot="1" x14ac:dyDescent="0.5"/>
    <row r="58" spans="7:13" ht="12" thickBot="1" x14ac:dyDescent="0.5">
      <c r="G58" s="265" t="s">
        <v>370</v>
      </c>
      <c r="H58" s="263">
        <v>41543000000</v>
      </c>
      <c r="I58" s="264" t="s">
        <v>371</v>
      </c>
    </row>
  </sheetData>
  <mergeCells count="16">
    <mergeCell ref="A2:A3"/>
    <mergeCell ref="A4:A5"/>
    <mergeCell ref="A6:A7"/>
    <mergeCell ref="H18:H19"/>
    <mergeCell ref="H20:H21"/>
    <mergeCell ref="H22:H23"/>
    <mergeCell ref="H29:H30"/>
    <mergeCell ref="H31:H32"/>
    <mergeCell ref="H33:H34"/>
    <mergeCell ref="G42:G43"/>
    <mergeCell ref="H28:I28"/>
    <mergeCell ref="G44:G45"/>
    <mergeCell ref="G46:G47"/>
    <mergeCell ref="G50:G51"/>
    <mergeCell ref="G52:G53"/>
    <mergeCell ref="G54:G55"/>
  </mergeCells>
  <pageMargins left="0.7" right="0.7" top="0.75" bottom="0.75" header="0.3" footer="0.3"/>
  <pageSetup paperSize="9" orientation="portrait" horizontalDpi="4294967293" verticalDpi="0"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Werkbladen</vt:lpstr>
      </vt:variant>
      <vt:variant>
        <vt:i4>20</vt:i4>
      </vt:variant>
    </vt:vector>
  </HeadingPairs>
  <TitlesOfParts>
    <vt:vector size="20" baseType="lpstr">
      <vt:lpstr>Content</vt:lpstr>
      <vt:lpstr>S2.1. Optimization_table</vt:lpstr>
      <vt:lpstr>S2.2.1. LULC_change</vt:lpstr>
      <vt:lpstr>S2.2.2. ES_results</vt:lpstr>
      <vt:lpstr>S2.2.3. material_data</vt:lpstr>
      <vt:lpstr>S2.3.1. LULC_class</vt:lpstr>
      <vt:lpstr>S2.3.2. biophys_stormwater</vt:lpstr>
      <vt:lpstr>S2.3.3. biophys_urbanheat</vt:lpstr>
      <vt:lpstr>S2.3.4. info_GI_availability</vt:lpstr>
      <vt:lpstr>S2.4.1. building_footprints</vt:lpstr>
      <vt:lpstr>S2.4.2. MI_Conventional</vt:lpstr>
      <vt:lpstr>S2.4.3. MI_Biobased</vt:lpstr>
      <vt:lpstr>S2.4.4. MI_Circular</vt:lpstr>
      <vt:lpstr>S2.4.5. MI_historic</vt:lpstr>
      <vt:lpstr>S2.4.6. UFA</vt:lpstr>
      <vt:lpstr>S2.4.7. EOL_RR</vt:lpstr>
      <vt:lpstr>S2.4.8. Insulation_shares</vt:lpstr>
      <vt:lpstr>S2.4.9. LCI_landuse</vt:lpstr>
      <vt:lpstr>S2.4.10. LCI_GWP</vt:lpstr>
      <vt:lpstr>S2.4.11. Primary_material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Janneke van Oorschot</dc:creator>
  <cp:lastModifiedBy>Janneke van Oorschot</cp:lastModifiedBy>
  <dcterms:created xsi:type="dcterms:W3CDTF">2023-09-26T01:41:45Z</dcterms:created>
  <dcterms:modified xsi:type="dcterms:W3CDTF">2024-01-23T17:55:28Z</dcterms:modified>
</cp:coreProperties>
</file>