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Users/athenaeyster/Desktop/IF geochron/Manuscript Jan 2024/Supplement/"/>
    </mc:Choice>
  </mc:AlternateContent>
  <xr:revisionPtr revIDLastSave="0" documentId="13_ncr:1_{9823EBF2-B0E2-424F-B4FC-D5438ED48744}" xr6:coauthVersionLast="43" xr6:coauthVersionMax="43" xr10:uidLastSave="{00000000-0000-0000-0000-000000000000}"/>
  <bookViews>
    <workbookView xWindow="3160" yWindow="680" windowWidth="25640" windowHeight="15800" xr2:uid="{12129DF0-6D03-6948-9E47-FFD09EC6E68F}"/>
  </bookViews>
  <sheets>
    <sheet name="Fig 3a-Revised Post-GOE IF" sheetId="11" r:id="rId1"/>
    <sheet name="Fig 3b-LIPs July 22" sheetId="13" r:id="rId2"/>
    <sheet name="Fig 3c. Condie- crust June 22" sheetId="10" r:id="rId3"/>
    <sheet name="Raw LIP Ernst 2021 compilation" sheetId="14" r:id="rId4"/>
    <sheet name="IF wo dep. rate" sheetId="17" r:id="rId5"/>
    <sheet name=" accretionary lengths" sheetId="3" r:id="rId6"/>
    <sheet name="collisional lengths" sheetId="4" r:id="rId7"/>
    <sheet name=" Blk Shales w.o dep rate" sheetId="16" r:id="rId8"/>
  </sheets>
  <definedNames>
    <definedName name="page2" localSheetId="7">' Blk Shales w.o dep rate'!#REF!</definedName>
    <definedName name="page3" localSheetId="7">' Blk Shales w.o dep rate'!#REF!</definedName>
    <definedName name="page4" localSheetId="7">' Blk Shales w.o dep rate'!#REF!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 i="11" l="1"/>
  <c r="DE23" i="10" l="1"/>
  <c r="DC23" i="10"/>
  <c r="CV23" i="10"/>
  <c r="CU23" i="10"/>
  <c r="DE24" i="10"/>
  <c r="DC24" i="10"/>
  <c r="CV24" i="10"/>
  <c r="CU24" i="10"/>
  <c r="DE22" i="10"/>
  <c r="DC22" i="10"/>
  <c r="CV22" i="10"/>
  <c r="CU22" i="10"/>
  <c r="CV20" i="10"/>
  <c r="CU20" i="10"/>
  <c r="DE21" i="10"/>
  <c r="DE20" i="10" s="1"/>
  <c r="DE19" i="10" s="1"/>
  <c r="DE18" i="10" s="1"/>
  <c r="DE17" i="10" s="1"/>
  <c r="DE16" i="10" s="1"/>
  <c r="DE15" i="10" s="1"/>
  <c r="DE14" i="10" s="1"/>
  <c r="DE13" i="10" s="1"/>
  <c r="DE12" i="10" s="1"/>
  <c r="DE11" i="10" s="1"/>
  <c r="DE10" i="10" s="1"/>
  <c r="DE9" i="10" s="1"/>
  <c r="DE8" i="10" s="1"/>
  <c r="DE7" i="10" s="1"/>
  <c r="DE6" i="10" s="1"/>
  <c r="DE5" i="10" s="1"/>
  <c r="DE4" i="10" s="1"/>
  <c r="DC21" i="10"/>
  <c r="DC20" i="10" s="1"/>
  <c r="DC19" i="10" s="1"/>
  <c r="DC18" i="10" s="1"/>
  <c r="DC17" i="10" s="1"/>
  <c r="DC16" i="10" s="1"/>
  <c r="DC15" i="10" s="1"/>
  <c r="DC14" i="10" s="1"/>
  <c r="DC13" i="10" s="1"/>
  <c r="DC12" i="10" s="1"/>
  <c r="DC11" i="10" s="1"/>
  <c r="DC10" i="10" s="1"/>
  <c r="DC9" i="10" s="1"/>
  <c r="DC8" i="10" s="1"/>
  <c r="DC7" i="10" s="1"/>
  <c r="DC6" i="10" s="1"/>
  <c r="DC5" i="10" s="1"/>
  <c r="DC4" i="10" s="1"/>
  <c r="CV21" i="10"/>
  <c r="CU21" i="10"/>
  <c r="CV19" i="10"/>
  <c r="CU19" i="10"/>
  <c r="CV8" i="10"/>
  <c r="CU8" i="10"/>
  <c r="CV17" i="10"/>
  <c r="CU17" i="10"/>
  <c r="CV4" i="10"/>
  <c r="CU4" i="10"/>
  <c r="CV18" i="10"/>
  <c r="CU18" i="10"/>
  <c r="CV16" i="10"/>
  <c r="CU16" i="10"/>
  <c r="CV11" i="10"/>
  <c r="CU11" i="10"/>
  <c r="CV15" i="10"/>
  <c r="CU15" i="10"/>
  <c r="CV10" i="10"/>
  <c r="CU10" i="10"/>
  <c r="CV14" i="10"/>
  <c r="CU14" i="10"/>
  <c r="CV12" i="10"/>
  <c r="CU12" i="10"/>
  <c r="CV13" i="10"/>
  <c r="CU13" i="10"/>
  <c r="CV9" i="10"/>
  <c r="CU9" i="10"/>
  <c r="CV6" i="10"/>
  <c r="CU6" i="10"/>
  <c r="CV7" i="10"/>
  <c r="CU7" i="10"/>
  <c r="CV5" i="10"/>
  <c r="CU5" i="10"/>
  <c r="M95" i="17" l="1"/>
  <c r="M94" i="17"/>
  <c r="M93" i="17"/>
  <c r="M92" i="17"/>
  <c r="M91" i="17" s="1"/>
  <c r="M90" i="17" s="1"/>
  <c r="M89" i="17" s="1"/>
  <c r="M88" i="17" s="1"/>
  <c r="M87" i="17" s="1"/>
  <c r="M86" i="17" s="1"/>
  <c r="M85" i="17" s="1"/>
  <c r="AA95" i="17"/>
  <c r="AA94" i="17" s="1"/>
  <c r="AA93" i="17" s="1"/>
  <c r="AA92" i="17" s="1"/>
  <c r="AA91" i="17" s="1"/>
  <c r="AA90" i="17" s="1"/>
  <c r="AA89" i="17" s="1"/>
  <c r="AA88" i="17" s="1"/>
  <c r="AA87" i="17" s="1"/>
  <c r="AA86" i="17" s="1"/>
  <c r="AA85" i="17" s="1"/>
  <c r="AA84" i="17" s="1"/>
  <c r="Y88" i="17" l="1"/>
  <c r="Y85" i="17"/>
  <c r="Y86" i="17"/>
  <c r="Y91" i="17"/>
  <c r="Y87" i="17"/>
  <c r="Y89" i="17"/>
  <c r="Y93" i="17"/>
  <c r="Y95" i="17"/>
  <c r="Y92" i="17"/>
  <c r="Y94" i="17"/>
  <c r="Y84" i="17"/>
  <c r="Y74" i="17"/>
  <c r="Y73" i="17"/>
  <c r="Y75" i="17"/>
  <c r="Y79" i="17"/>
  <c r="Y72" i="17"/>
  <c r="Y83" i="17"/>
  <c r="Y81" i="17"/>
  <c r="K74" i="17"/>
  <c r="K78" i="17"/>
  <c r="K82" i="17"/>
  <c r="K84" i="17"/>
  <c r="K80" i="17"/>
  <c r="K81" i="17"/>
  <c r="K85" i="17"/>
  <c r="K87" i="17"/>
  <c r="K86" i="17"/>
  <c r="K73" i="17"/>
  <c r="K88" i="17"/>
  <c r="K90" i="17"/>
  <c r="K91" i="17"/>
  <c r="K92" i="17"/>
  <c r="K93" i="17"/>
  <c r="K94" i="17"/>
  <c r="K95" i="17"/>
  <c r="K72" i="17"/>
  <c r="S94" i="17"/>
  <c r="S92" i="17"/>
  <c r="S95" i="17"/>
  <c r="Z95" i="17" s="1"/>
  <c r="S93" i="17"/>
  <c r="S89" i="17"/>
  <c r="S87" i="17"/>
  <c r="S91" i="17"/>
  <c r="W90" i="17"/>
  <c r="Y90" i="17" s="1"/>
  <c r="V90" i="17"/>
  <c r="S90" i="17"/>
  <c r="W86" i="17"/>
  <c r="V86" i="17"/>
  <c r="S86" i="17"/>
  <c r="S85" i="17"/>
  <c r="S88" i="17"/>
  <c r="S84" i="17"/>
  <c r="X80" i="17"/>
  <c r="W80" i="17"/>
  <c r="V80" i="17"/>
  <c r="R80" i="17"/>
  <c r="S73" i="17"/>
  <c r="W82" i="17"/>
  <c r="Y82" i="17" s="1"/>
  <c r="V82" i="17"/>
  <c r="R82" i="17"/>
  <c r="R79" i="17"/>
  <c r="S75" i="17"/>
  <c r="R75" i="17"/>
  <c r="S72" i="17"/>
  <c r="R72" i="17"/>
  <c r="W77" i="17"/>
  <c r="Y77" i="17" s="1"/>
  <c r="V77" i="17"/>
  <c r="R77" i="17"/>
  <c r="W76" i="17"/>
  <c r="Y76" i="17" s="1"/>
  <c r="V76" i="17"/>
  <c r="R83" i="17"/>
  <c r="AA83" i="17" s="1"/>
  <c r="W78" i="17"/>
  <c r="Y78" i="17" s="1"/>
  <c r="V78" i="17"/>
  <c r="U58" i="17"/>
  <c r="K58" i="17"/>
  <c r="K57" i="17" s="1"/>
  <c r="K56" i="17" s="1"/>
  <c r="K55" i="17" s="1"/>
  <c r="K54" i="17" s="1"/>
  <c r="K53" i="17" s="1"/>
  <c r="K52" i="17" s="1"/>
  <c r="K51" i="17" s="1"/>
  <c r="K50" i="17" s="1"/>
  <c r="K49" i="17" s="1"/>
  <c r="K48" i="17" s="1"/>
  <c r="K47" i="17" s="1"/>
  <c r="K46" i="17" s="1"/>
  <c r="K45" i="17" s="1"/>
  <c r="K44" i="17" s="1"/>
  <c r="K43" i="17" s="1"/>
  <c r="K42" i="17" s="1"/>
  <c r="K41" i="17" s="1"/>
  <c r="K40" i="17" s="1"/>
  <c r="K39" i="17" s="1"/>
  <c r="K38" i="17" s="1"/>
  <c r="K37" i="17" s="1"/>
  <c r="K36" i="17" s="1"/>
  <c r="K35" i="17" s="1"/>
  <c r="K34" i="17" s="1"/>
  <c r="K33" i="17" s="1"/>
  <c r="K32" i="17" s="1"/>
  <c r="K31" i="17" s="1"/>
  <c r="K30" i="17" s="1"/>
  <c r="K29" i="17" s="1"/>
  <c r="K28" i="17" s="1"/>
  <c r="K27" i="17" s="1"/>
  <c r="K26" i="17" s="1"/>
  <c r="K25" i="17" s="1"/>
  <c r="K24" i="17" s="1"/>
  <c r="K23" i="17" s="1"/>
  <c r="K22" i="17" s="1"/>
  <c r="K21" i="17" s="1"/>
  <c r="K20" i="17" s="1"/>
  <c r="K19" i="17" s="1"/>
  <c r="K18" i="17" s="1"/>
  <c r="K17" i="17" s="1"/>
  <c r="K16" i="17" s="1"/>
  <c r="K15" i="17" s="1"/>
  <c r="K14" i="17" s="1"/>
  <c r="K13" i="17" s="1"/>
  <c r="K12" i="17" s="1"/>
  <c r="K11" i="17" s="1"/>
  <c r="K10" i="17" s="1"/>
  <c r="K9" i="17" s="1"/>
  <c r="K8" i="17" s="1"/>
  <c r="K7" i="17" s="1"/>
  <c r="K6" i="17" s="1"/>
  <c r="K5" i="17" s="1"/>
  <c r="K4" i="17" s="1"/>
  <c r="K3" i="17" s="1"/>
  <c r="J57" i="17"/>
  <c r="J56" i="17" s="1"/>
  <c r="J55" i="17" s="1"/>
  <c r="J54" i="17" s="1"/>
  <c r="J53" i="17" s="1"/>
  <c r="J52" i="17" s="1"/>
  <c r="J51" i="17" s="1"/>
  <c r="J50" i="17" s="1"/>
  <c r="J49" i="17" s="1"/>
  <c r="J48" i="17" s="1"/>
  <c r="J47" i="17" s="1"/>
  <c r="J46" i="17" s="1"/>
  <c r="J45" i="17" s="1"/>
  <c r="J44" i="17" s="1"/>
  <c r="J43" i="17" s="1"/>
  <c r="J42" i="17" s="1"/>
  <c r="J41" i="17" s="1"/>
  <c r="J40" i="17" s="1"/>
  <c r="J39" i="17" s="1"/>
  <c r="J38" i="17" s="1"/>
  <c r="J37" i="17" s="1"/>
  <c r="J36" i="17" s="1"/>
  <c r="J35" i="17" s="1"/>
  <c r="J34" i="17" s="1"/>
  <c r="J33" i="17" s="1"/>
  <c r="J32" i="17" s="1"/>
  <c r="J31" i="17" s="1"/>
  <c r="J30" i="17" s="1"/>
  <c r="J29" i="17" s="1"/>
  <c r="J28" i="17" s="1"/>
  <c r="J27" i="17" s="1"/>
  <c r="J26" i="17" s="1"/>
  <c r="J25" i="17" s="1"/>
  <c r="J24" i="17" s="1"/>
  <c r="J23" i="17" s="1"/>
  <c r="J22" i="17" s="1"/>
  <c r="J21" i="17" s="1"/>
  <c r="J20" i="17" s="1"/>
  <c r="J19" i="17" s="1"/>
  <c r="J18" i="17" s="1"/>
  <c r="J17" i="17" s="1"/>
  <c r="J16" i="17" s="1"/>
  <c r="J15" i="17" s="1"/>
  <c r="J14" i="17" s="1"/>
  <c r="J13" i="17" s="1"/>
  <c r="J12" i="17" s="1"/>
  <c r="J11" i="17" s="1"/>
  <c r="J10" i="17" s="1"/>
  <c r="J9" i="17" s="1"/>
  <c r="J8" i="17" s="1"/>
  <c r="J7" i="17" s="1"/>
  <c r="J6" i="17" s="1"/>
  <c r="J5" i="17" s="1"/>
  <c r="J4" i="17" s="1"/>
  <c r="J3" i="17" s="1"/>
  <c r="J58" i="17"/>
  <c r="AC58" i="17"/>
  <c r="AB58" i="17"/>
  <c r="AC57" i="17"/>
  <c r="AB57" i="17"/>
  <c r="AC53" i="17"/>
  <c r="AB53" i="17"/>
  <c r="AC56" i="17"/>
  <c r="AB56" i="17"/>
  <c r="AC54" i="17"/>
  <c r="AB54" i="17"/>
  <c r="AC55" i="17"/>
  <c r="AB55" i="17"/>
  <c r="AE51" i="17"/>
  <c r="AD51" i="17"/>
  <c r="AC51" i="17"/>
  <c r="AB51" i="17"/>
  <c r="AC52" i="17"/>
  <c r="AB52" i="17"/>
  <c r="AC48" i="17"/>
  <c r="AB48" i="17"/>
  <c r="AC50" i="17"/>
  <c r="AB50" i="17"/>
  <c r="AC49" i="17"/>
  <c r="AB49" i="17"/>
  <c r="AE47" i="17"/>
  <c r="AD47" i="17"/>
  <c r="AC47" i="17"/>
  <c r="AB47" i="17"/>
  <c r="AC46" i="17"/>
  <c r="AB46" i="17"/>
  <c r="AC45" i="17"/>
  <c r="AB45" i="17"/>
  <c r="AC42" i="17"/>
  <c r="AB42" i="17"/>
  <c r="AC44" i="17"/>
  <c r="AB44" i="17"/>
  <c r="AC43" i="17"/>
  <c r="AB43" i="17"/>
  <c r="AC41" i="17"/>
  <c r="AB41" i="17"/>
  <c r="AC40" i="17"/>
  <c r="AB40" i="17"/>
  <c r="AC39" i="17"/>
  <c r="AB39" i="17"/>
  <c r="AC38" i="17"/>
  <c r="AB38" i="17"/>
  <c r="AC37" i="17"/>
  <c r="AB37" i="17"/>
  <c r="AC29" i="17"/>
  <c r="AB29" i="17"/>
  <c r="AC30" i="17"/>
  <c r="AB30" i="17"/>
  <c r="AC31" i="17"/>
  <c r="AB31" i="17"/>
  <c r="AC32" i="17"/>
  <c r="AB32" i="17"/>
  <c r="AC27" i="17"/>
  <c r="AB27" i="17"/>
  <c r="AC36" i="17"/>
  <c r="AB36" i="17"/>
  <c r="AC35" i="17"/>
  <c r="AB35" i="17"/>
  <c r="AC34" i="17"/>
  <c r="AB34" i="17"/>
  <c r="AC33" i="17"/>
  <c r="AB33" i="17"/>
  <c r="AC25" i="17"/>
  <c r="AB25" i="17"/>
  <c r="AC28" i="17"/>
  <c r="AB28" i="17"/>
  <c r="AD24" i="17"/>
  <c r="AC24" i="17"/>
  <c r="AB24" i="17"/>
  <c r="AC26" i="17"/>
  <c r="AB26" i="17"/>
  <c r="AD23" i="17"/>
  <c r="AC23" i="17"/>
  <c r="AB23" i="17"/>
  <c r="AC11" i="17"/>
  <c r="E95" i="17"/>
  <c r="L95" i="17" s="1"/>
  <c r="E94" i="17"/>
  <c r="L94" i="17" s="1"/>
  <c r="E93" i="17"/>
  <c r="L93" i="17" s="1"/>
  <c r="E92" i="17"/>
  <c r="L92" i="17" s="1"/>
  <c r="L91" i="17" s="1"/>
  <c r="L90" i="17" s="1"/>
  <c r="E91" i="17"/>
  <c r="E90" i="17"/>
  <c r="E88" i="17"/>
  <c r="I73" i="17"/>
  <c r="H73" i="17"/>
  <c r="E73" i="17"/>
  <c r="I89" i="17"/>
  <c r="H89" i="17"/>
  <c r="K89" i="17" s="1"/>
  <c r="E89" i="17"/>
  <c r="E86" i="17"/>
  <c r="E87" i="17"/>
  <c r="E85" i="17"/>
  <c r="J75" i="17"/>
  <c r="I75" i="17"/>
  <c r="H75" i="17"/>
  <c r="K75" i="17" s="1"/>
  <c r="D75" i="17"/>
  <c r="E80" i="17"/>
  <c r="I79" i="17"/>
  <c r="H79" i="17"/>
  <c r="K79" i="17" s="1"/>
  <c r="D79" i="17"/>
  <c r="D84" i="17"/>
  <c r="M84" i="17" s="1"/>
  <c r="M83" i="17" s="1"/>
  <c r="E82" i="17"/>
  <c r="D82" i="17"/>
  <c r="E78" i="17"/>
  <c r="D78" i="17"/>
  <c r="I77" i="17"/>
  <c r="H77" i="17"/>
  <c r="K77" i="17" s="1"/>
  <c r="D77" i="17"/>
  <c r="I76" i="17"/>
  <c r="H76" i="17"/>
  <c r="K76" i="17" s="1"/>
  <c r="D74" i="17"/>
  <c r="I83" i="17"/>
  <c r="H83" i="17"/>
  <c r="K83" i="17" s="1"/>
  <c r="R58" i="17"/>
  <c r="Q58" i="17"/>
  <c r="G58" i="17"/>
  <c r="F58" i="17"/>
  <c r="R57" i="17"/>
  <c r="Q57" i="17"/>
  <c r="G57" i="17"/>
  <c r="F57" i="17"/>
  <c r="R56" i="17"/>
  <c r="Q56" i="17"/>
  <c r="G56" i="17"/>
  <c r="F56" i="17"/>
  <c r="R55" i="17"/>
  <c r="Q55" i="17"/>
  <c r="G55" i="17"/>
  <c r="F55" i="17"/>
  <c r="R53" i="17"/>
  <c r="Q53" i="17"/>
  <c r="G54" i="17"/>
  <c r="F54" i="17"/>
  <c r="R54" i="17"/>
  <c r="Q54" i="17"/>
  <c r="G53" i="17"/>
  <c r="F53" i="17"/>
  <c r="T52" i="17"/>
  <c r="S52" i="17"/>
  <c r="R52" i="17"/>
  <c r="Q52" i="17"/>
  <c r="G52" i="17"/>
  <c r="F52" i="17"/>
  <c r="R51" i="17"/>
  <c r="Q51" i="17"/>
  <c r="I51" i="17"/>
  <c r="H51" i="17"/>
  <c r="G51" i="17"/>
  <c r="F51" i="17"/>
  <c r="R50" i="17"/>
  <c r="Q50" i="17"/>
  <c r="G50" i="17"/>
  <c r="F50" i="17"/>
  <c r="R49" i="17"/>
  <c r="Q49" i="17"/>
  <c r="G49" i="17"/>
  <c r="F49" i="17"/>
  <c r="R44" i="17"/>
  <c r="Q44" i="17"/>
  <c r="G48" i="17"/>
  <c r="F48" i="17"/>
  <c r="T45" i="17"/>
  <c r="S45" i="17"/>
  <c r="R45" i="17"/>
  <c r="Q45" i="17"/>
  <c r="G47" i="17"/>
  <c r="F47" i="17"/>
  <c r="R46" i="17"/>
  <c r="Q46" i="17"/>
  <c r="G46" i="17"/>
  <c r="F46" i="17"/>
  <c r="R47" i="17"/>
  <c r="Q47" i="17"/>
  <c r="G45" i="17"/>
  <c r="F45" i="17"/>
  <c r="R48" i="17"/>
  <c r="Q48" i="17"/>
  <c r="I44" i="17"/>
  <c r="H44" i="17"/>
  <c r="G44" i="17"/>
  <c r="F44" i="17"/>
  <c r="R43" i="17"/>
  <c r="Q43" i="17"/>
  <c r="G43" i="17"/>
  <c r="F43" i="17"/>
  <c r="R42" i="17"/>
  <c r="Q42" i="17"/>
  <c r="G42" i="17"/>
  <c r="F42" i="17"/>
  <c r="R41" i="17"/>
  <c r="Q41" i="17"/>
  <c r="G41" i="17"/>
  <c r="F41" i="17"/>
  <c r="R40" i="17"/>
  <c r="Q40" i="17"/>
  <c r="G40" i="17"/>
  <c r="F40" i="17"/>
  <c r="R39" i="17"/>
  <c r="Q39" i="17"/>
  <c r="G39" i="17"/>
  <c r="F39" i="17"/>
  <c r="R38" i="17"/>
  <c r="Q38" i="17"/>
  <c r="G38" i="17"/>
  <c r="F38" i="17"/>
  <c r="R37" i="17"/>
  <c r="Q37" i="17"/>
  <c r="G37" i="17"/>
  <c r="F37" i="17"/>
  <c r="R33" i="17"/>
  <c r="Q33" i="17"/>
  <c r="G36" i="17"/>
  <c r="F36" i="17"/>
  <c r="R34" i="17"/>
  <c r="Q34" i="17"/>
  <c r="G35" i="17"/>
  <c r="F35" i="17"/>
  <c r="R35" i="17"/>
  <c r="Q35" i="17"/>
  <c r="G34" i="17"/>
  <c r="F34" i="17"/>
  <c r="R36" i="17"/>
  <c r="Q36" i="17"/>
  <c r="G33" i="17"/>
  <c r="F33" i="17"/>
  <c r="R32" i="17"/>
  <c r="Q32" i="17"/>
  <c r="G32" i="17"/>
  <c r="F32" i="17"/>
  <c r="R31" i="17"/>
  <c r="Q31" i="17"/>
  <c r="G31" i="17"/>
  <c r="F31" i="17"/>
  <c r="R30" i="17"/>
  <c r="Q30" i="17"/>
  <c r="G30" i="17"/>
  <c r="F30" i="17"/>
  <c r="R29" i="17"/>
  <c r="Q29" i="17"/>
  <c r="G29" i="17"/>
  <c r="F29" i="17"/>
  <c r="R28" i="17"/>
  <c r="Q28" i="17"/>
  <c r="G28" i="17"/>
  <c r="F28" i="17"/>
  <c r="R27" i="17"/>
  <c r="Q27" i="17"/>
  <c r="G27" i="17"/>
  <c r="F27" i="17"/>
  <c r="R26" i="17"/>
  <c r="Q26" i="17"/>
  <c r="G26" i="17"/>
  <c r="F26" i="17"/>
  <c r="S25" i="17"/>
  <c r="R25" i="17"/>
  <c r="Q25" i="17"/>
  <c r="G25" i="17"/>
  <c r="F25" i="17"/>
  <c r="R24" i="17"/>
  <c r="Q24" i="17"/>
  <c r="H24" i="17"/>
  <c r="G24" i="17"/>
  <c r="F24" i="17"/>
  <c r="S23" i="17"/>
  <c r="R23" i="17"/>
  <c r="Q23" i="17"/>
  <c r="H23" i="17"/>
  <c r="G23" i="17"/>
  <c r="F23" i="17"/>
  <c r="R10" i="17"/>
  <c r="AA82" i="17" l="1"/>
  <c r="AA81" i="17" s="1"/>
  <c r="AA80" i="17" s="1"/>
  <c r="AA79" i="17" s="1"/>
  <c r="AA78" i="17" s="1"/>
  <c r="AA77" i="17" s="1"/>
  <c r="AA76" i="17" s="1"/>
  <c r="AA75" i="17" s="1"/>
  <c r="AA74" i="17" s="1"/>
  <c r="AA73" i="17" s="1"/>
  <c r="AA72" i="17" s="1"/>
  <c r="M82" i="17"/>
  <c r="M81" i="17" s="1"/>
  <c r="M80" i="17" s="1"/>
  <c r="M79" i="17" s="1"/>
  <c r="M78" i="17" s="1"/>
  <c r="M77" i="17" s="1"/>
  <c r="M76" i="17" s="1"/>
  <c r="M75" i="17" s="1"/>
  <c r="M74" i="17" s="1"/>
  <c r="M73" i="17" s="1"/>
  <c r="M72" i="17" s="1"/>
  <c r="AF52" i="16"/>
  <c r="J52" i="16"/>
  <c r="AR51" i="16"/>
  <c r="AR50" i="16" s="1"/>
  <c r="AR49" i="16" s="1"/>
  <c r="AR48" i="16" s="1"/>
  <c r="AR47" i="16" s="1"/>
  <c r="AR46" i="16" s="1"/>
  <c r="AR45" i="16" s="1"/>
  <c r="AR44" i="16" s="1"/>
  <c r="AR43" i="16" s="1"/>
  <c r="AR42" i="16" s="1"/>
  <c r="AR41" i="16" s="1"/>
  <c r="AR40" i="16" s="1"/>
  <c r="AR39" i="16" s="1"/>
  <c r="AR38" i="16" s="1"/>
  <c r="AR37" i="16" s="1"/>
  <c r="AR36" i="16" s="1"/>
  <c r="AR35" i="16" s="1"/>
  <c r="AR34" i="16" s="1"/>
  <c r="AR33" i="16" s="1"/>
  <c r="AR32" i="16" s="1"/>
  <c r="AR31" i="16" s="1"/>
  <c r="AR30" i="16" s="1"/>
  <c r="AR29" i="16" s="1"/>
  <c r="AR28" i="16" s="1"/>
  <c r="AR27" i="16" s="1"/>
  <c r="AR26" i="16" s="1"/>
  <c r="AR25" i="16" s="1"/>
  <c r="AR24" i="16" s="1"/>
  <c r="AR23" i="16" s="1"/>
  <c r="AR22" i="16" s="1"/>
  <c r="AR21" i="16" s="1"/>
  <c r="AR20" i="16" s="1"/>
  <c r="AR19" i="16" s="1"/>
  <c r="AR18" i="16" s="1"/>
  <c r="AR17" i="16" s="1"/>
  <c r="AR16" i="16" s="1"/>
  <c r="AR15" i="16" s="1"/>
  <c r="AR14" i="16" s="1"/>
  <c r="AR13" i="16" s="1"/>
  <c r="AR12" i="16" s="1"/>
  <c r="AR11" i="16" s="1"/>
  <c r="AR10" i="16" s="1"/>
  <c r="AR9" i="16" s="1"/>
  <c r="AR8" i="16" s="1"/>
  <c r="AR7" i="16" s="1"/>
  <c r="AR6" i="16" s="1"/>
  <c r="AR5" i="16" s="1"/>
  <c r="AR4" i="16" s="1"/>
  <c r="AR3" i="16" s="1"/>
  <c r="AM51" i="16"/>
  <c r="AF51" i="16"/>
  <c r="AF50" i="16" s="1"/>
  <c r="AF49" i="16" s="1"/>
  <c r="AF48" i="16" s="1"/>
  <c r="AF47" i="16" s="1"/>
  <c r="AF46" i="16" s="1"/>
  <c r="AF45" i="16" s="1"/>
  <c r="AF44" i="16" s="1"/>
  <c r="AF43" i="16" s="1"/>
  <c r="AF42" i="16" s="1"/>
  <c r="AF41" i="16" s="1"/>
  <c r="AF40" i="16" s="1"/>
  <c r="AF39" i="16" s="1"/>
  <c r="AF38" i="16" s="1"/>
  <c r="AF37" i="16" s="1"/>
  <c r="AF36" i="16" s="1"/>
  <c r="AF35" i="16" s="1"/>
  <c r="AF34" i="16" s="1"/>
  <c r="AF33" i="16" s="1"/>
  <c r="AF32" i="16" s="1"/>
  <c r="AF31" i="16" s="1"/>
  <c r="AF30" i="16" s="1"/>
  <c r="AF29" i="16" s="1"/>
  <c r="AF28" i="16" s="1"/>
  <c r="AF27" i="16" s="1"/>
  <c r="AF26" i="16" s="1"/>
  <c r="AF25" i="16" s="1"/>
  <c r="AF24" i="16" s="1"/>
  <c r="AF23" i="16" s="1"/>
  <c r="AF22" i="16" s="1"/>
  <c r="AF21" i="16" s="1"/>
  <c r="AF20" i="16" s="1"/>
  <c r="AF19" i="16" s="1"/>
  <c r="AF18" i="16" s="1"/>
  <c r="AF17" i="16" s="1"/>
  <c r="AF16" i="16" s="1"/>
  <c r="AF15" i="16" s="1"/>
  <c r="AF14" i="16" s="1"/>
  <c r="AF13" i="16" s="1"/>
  <c r="AF12" i="16" s="1"/>
  <c r="AF11" i="16" s="1"/>
  <c r="AF10" i="16" s="1"/>
  <c r="AF9" i="16" s="1"/>
  <c r="AF8" i="16" s="1"/>
  <c r="AF7" i="16" s="1"/>
  <c r="AF6" i="16" s="1"/>
  <c r="AF5" i="16" s="1"/>
  <c r="AF4" i="16" s="1"/>
  <c r="AF3" i="16" s="1"/>
  <c r="AA51" i="16"/>
  <c r="J51" i="16"/>
  <c r="AM50" i="16"/>
  <c r="AA50" i="16"/>
  <c r="J50" i="16"/>
  <c r="J49" i="16" s="1"/>
  <c r="J48" i="16" s="1"/>
  <c r="J47" i="16" s="1"/>
  <c r="J46" i="16" s="1"/>
  <c r="J45" i="16" s="1"/>
  <c r="J44" i="16" s="1"/>
  <c r="J43" i="16" s="1"/>
  <c r="J42" i="16" s="1"/>
  <c r="J41" i="16" s="1"/>
  <c r="J40" i="16" s="1"/>
  <c r="J39" i="16" s="1"/>
  <c r="J38" i="16" s="1"/>
  <c r="J37" i="16" s="1"/>
  <c r="J36" i="16" s="1"/>
  <c r="J35" i="16" s="1"/>
  <c r="J34" i="16" s="1"/>
  <c r="J33" i="16" s="1"/>
  <c r="J32" i="16" s="1"/>
  <c r="J31" i="16" s="1"/>
  <c r="J30" i="16" s="1"/>
  <c r="J29" i="16" s="1"/>
  <c r="J28" i="16" s="1"/>
  <c r="J27" i="16" s="1"/>
  <c r="J26" i="16" s="1"/>
  <c r="J25" i="16" s="1"/>
  <c r="J24" i="16" s="1"/>
  <c r="J23" i="16" s="1"/>
  <c r="J22" i="16" s="1"/>
  <c r="J21" i="16" s="1"/>
  <c r="J20" i="16" s="1"/>
  <c r="J19" i="16" s="1"/>
  <c r="J18" i="16" s="1"/>
  <c r="J17" i="16" s="1"/>
  <c r="J16" i="16" s="1"/>
  <c r="J15" i="16" s="1"/>
  <c r="J14" i="16" s="1"/>
  <c r="J13" i="16" s="1"/>
  <c r="J12" i="16" s="1"/>
  <c r="J11" i="16" s="1"/>
  <c r="J10" i="16" s="1"/>
  <c r="J9" i="16" s="1"/>
  <c r="J8" i="16" s="1"/>
  <c r="J7" i="16" s="1"/>
  <c r="J6" i="16" s="1"/>
  <c r="J5" i="16" s="1"/>
  <c r="J4" i="16" s="1"/>
  <c r="J3" i="16" s="1"/>
  <c r="AM49" i="16"/>
  <c r="AA49" i="16"/>
  <c r="AM48" i="16"/>
  <c r="AA48" i="16"/>
  <c r="AM47" i="16"/>
  <c r="AA47" i="16"/>
  <c r="AM46" i="16"/>
  <c r="AA46" i="16"/>
  <c r="AM45" i="16"/>
  <c r="AA45" i="16"/>
  <c r="AM44" i="16"/>
  <c r="AA44" i="16"/>
  <c r="AM43" i="16"/>
  <c r="AA43" i="16"/>
  <c r="AM42" i="16"/>
  <c r="AA42" i="16"/>
  <c r="AM41" i="16"/>
  <c r="AA41" i="16"/>
  <c r="AM40" i="16"/>
  <c r="AA40" i="16"/>
  <c r="AM39" i="16"/>
  <c r="AA39" i="16"/>
  <c r="AM38" i="16"/>
  <c r="AA38" i="16"/>
  <c r="AM37" i="16"/>
  <c r="AA37" i="16"/>
  <c r="AM36" i="16"/>
  <c r="AA36" i="16"/>
  <c r="AM35" i="16"/>
  <c r="AA35" i="16"/>
  <c r="AM34" i="16"/>
  <c r="AA34" i="16"/>
  <c r="AM33" i="16"/>
  <c r="AA33" i="16"/>
  <c r="AM32" i="16"/>
  <c r="AA32" i="16"/>
  <c r="AM31" i="16"/>
  <c r="AA31" i="16"/>
  <c r="AM30" i="16"/>
  <c r="AA30" i="16"/>
  <c r="AM29" i="16"/>
  <c r="AA29" i="16"/>
  <c r="AM28" i="16"/>
  <c r="AA28" i="16"/>
  <c r="AM27" i="16"/>
  <c r="AA27" i="16"/>
  <c r="AM26" i="16"/>
  <c r="AA26" i="16"/>
  <c r="AM25" i="16"/>
  <c r="AA25" i="16"/>
  <c r="AM24" i="16"/>
  <c r="AA24" i="16"/>
  <c r="AM23" i="16"/>
  <c r="AA23" i="16"/>
  <c r="AM22" i="16"/>
  <c r="AA22" i="16"/>
  <c r="AM21" i="16"/>
  <c r="AA21" i="16"/>
  <c r="AM20" i="16"/>
  <c r="AA20" i="16"/>
  <c r="AM19" i="16"/>
  <c r="AA19" i="16"/>
  <c r="AM18" i="16"/>
  <c r="AA18" i="16"/>
  <c r="AM17" i="16"/>
  <c r="AA17" i="16"/>
  <c r="AM16" i="16"/>
  <c r="AA16" i="16"/>
  <c r="AM15" i="16"/>
  <c r="AA15" i="16"/>
  <c r="AM14" i="16"/>
  <c r="AA14" i="16"/>
  <c r="AM13" i="16"/>
  <c r="AA13" i="16"/>
  <c r="AM12" i="16"/>
  <c r="AA12" i="16"/>
  <c r="AM11" i="16"/>
  <c r="AA11" i="16"/>
  <c r="AM10" i="16"/>
  <c r="AA10" i="16"/>
  <c r="AM9" i="16"/>
  <c r="AA9" i="16"/>
  <c r="AM8" i="16"/>
  <c r="AA8" i="16"/>
  <c r="AM7" i="16"/>
  <c r="AA7" i="16"/>
  <c r="AM6" i="16"/>
  <c r="AA6" i="16"/>
  <c r="AM5" i="16"/>
  <c r="AA5" i="16"/>
  <c r="AM4" i="16"/>
  <c r="AA4" i="16"/>
  <c r="AM3" i="16"/>
  <c r="AA3" i="16"/>
  <c r="C4" i="13" l="1"/>
  <c r="H8" i="13"/>
  <c r="H7" i="13" s="1"/>
  <c r="H6" i="13" s="1"/>
  <c r="H5" i="13" s="1"/>
  <c r="H4" i="13" s="1"/>
  <c r="H3" i="13" s="1"/>
  <c r="H18" i="13"/>
  <c r="H17" i="13" s="1"/>
  <c r="H16" i="13" s="1"/>
  <c r="H15" i="13" s="1"/>
  <c r="H14" i="13" s="1"/>
  <c r="H13" i="13" s="1"/>
  <c r="H12" i="13" s="1"/>
  <c r="H11" i="13" s="1"/>
  <c r="H10" i="13" s="1"/>
  <c r="H9" i="13" s="1"/>
  <c r="CO22" i="10" l="1"/>
  <c r="CO21" i="10" s="1"/>
  <c r="CO20" i="10" s="1"/>
  <c r="CO19" i="10" s="1"/>
  <c r="CO18" i="10" s="1"/>
  <c r="CO17" i="10" s="1"/>
  <c r="CO16" i="10" s="1"/>
  <c r="CO15" i="10" s="1"/>
  <c r="CO14" i="10" s="1"/>
  <c r="CO13" i="10" s="1"/>
  <c r="CO12" i="10" s="1"/>
  <c r="CO11" i="10" s="1"/>
  <c r="CO10" i="10" s="1"/>
  <c r="CO9" i="10" s="1"/>
  <c r="CO8" i="10" s="1"/>
  <c r="CO7" i="10" s="1"/>
  <c r="CO6" i="10" s="1"/>
  <c r="CO5" i="10" s="1"/>
  <c r="CO4" i="10" s="1"/>
  <c r="CO24" i="10"/>
  <c r="CF18" i="10"/>
  <c r="CE18" i="10"/>
  <c r="CM24" i="10"/>
  <c r="CF24" i="10"/>
  <c r="CE24" i="10"/>
  <c r="CO23" i="10"/>
  <c r="CM23" i="10"/>
  <c r="CF23" i="10"/>
  <c r="CE23" i="10"/>
  <c r="CF14" i="10"/>
  <c r="CE14" i="10"/>
  <c r="CM22" i="10"/>
  <c r="CF22" i="10"/>
  <c r="CE22" i="10"/>
  <c r="CF4" i="10"/>
  <c r="CE4" i="10"/>
  <c r="CF20" i="10"/>
  <c r="CE20" i="10"/>
  <c r="CM21" i="10"/>
  <c r="CM20" i="10" s="1"/>
  <c r="CM19" i="10" s="1"/>
  <c r="CM18" i="10" s="1"/>
  <c r="CM17" i="10" s="1"/>
  <c r="CM16" i="10" s="1"/>
  <c r="CM15" i="10" s="1"/>
  <c r="CM14" i="10" s="1"/>
  <c r="CM13" i="10" s="1"/>
  <c r="CM12" i="10" s="1"/>
  <c r="CM11" i="10" s="1"/>
  <c r="CM10" i="10" s="1"/>
  <c r="CM9" i="10" s="1"/>
  <c r="CM8" i="10" s="1"/>
  <c r="CM7" i="10" s="1"/>
  <c r="CM6" i="10" s="1"/>
  <c r="CM5" i="10" s="1"/>
  <c r="CM4" i="10" s="1"/>
  <c r="CF21" i="10"/>
  <c r="CE21" i="10"/>
  <c r="CF19" i="10"/>
  <c r="CE19" i="10"/>
  <c r="CF9" i="10"/>
  <c r="CE9" i="10"/>
  <c r="CF17" i="10"/>
  <c r="CE17" i="10"/>
  <c r="CF8" i="10"/>
  <c r="CE8" i="10"/>
  <c r="CF16" i="10"/>
  <c r="CE16" i="10"/>
  <c r="CF12" i="10"/>
  <c r="CE12" i="10"/>
  <c r="CF10" i="10"/>
  <c r="CE10" i="10"/>
  <c r="CF15" i="10"/>
  <c r="CE15" i="10"/>
  <c r="CF7" i="10"/>
  <c r="CE7" i="10"/>
  <c r="CF13" i="10"/>
  <c r="CE13" i="10"/>
  <c r="CF11" i="10"/>
  <c r="CE11" i="10"/>
  <c r="CF5" i="10"/>
  <c r="CE5" i="10"/>
  <c r="CF6" i="10"/>
  <c r="CE6" i="10"/>
  <c r="AJ23" i="10"/>
  <c r="AJ24" i="10"/>
  <c r="BE21" i="10"/>
  <c r="BE20" i="10" s="1"/>
  <c r="BE19" i="10" s="1"/>
  <c r="BE18" i="10" s="1"/>
  <c r="BE17" i="10" s="1"/>
  <c r="BE16" i="10" s="1"/>
  <c r="BE15" i="10" s="1"/>
  <c r="BE14" i="10" s="1"/>
  <c r="BE13" i="10" s="1"/>
  <c r="BE12" i="10" s="1"/>
  <c r="BE11" i="10" s="1"/>
  <c r="BE10" i="10" s="1"/>
  <c r="BE9" i="10" s="1"/>
  <c r="BE8" i="10" s="1"/>
  <c r="BE7" i="10" s="1"/>
  <c r="BE6" i="10" s="1"/>
  <c r="BE5" i="10" s="1"/>
  <c r="BE4" i="10" s="1"/>
  <c r="BE22" i="10"/>
  <c r="BE23" i="10"/>
  <c r="BE24" i="10"/>
  <c r="BX23" i="10"/>
  <c r="BX24" i="10"/>
  <c r="BX22" i="10"/>
  <c r="BX21" i="10"/>
  <c r="BX20" i="10" s="1"/>
  <c r="BX19" i="10" s="1"/>
  <c r="BX18" i="10" s="1"/>
  <c r="BX17" i="10" s="1"/>
  <c r="BX16" i="10" s="1"/>
  <c r="BX15" i="10" s="1"/>
  <c r="BX14" i="10" s="1"/>
  <c r="BX13" i="10" s="1"/>
  <c r="BX12" i="10" s="1"/>
  <c r="BX11" i="10" s="1"/>
  <c r="BX10" i="10" s="1"/>
  <c r="BX9" i="10" s="1"/>
  <c r="BX8" i="10" s="1"/>
  <c r="BX7" i="10" s="1"/>
  <c r="BX6" i="10" s="1"/>
  <c r="BX5" i="10" s="1"/>
  <c r="BX4" i="10" s="1"/>
  <c r="AJ22" i="10"/>
  <c r="R5" i="10"/>
  <c r="X37" i="13" l="1"/>
  <c r="X36" i="13" s="1"/>
  <c r="X35" i="13" s="1"/>
  <c r="X34" i="13" s="1"/>
  <c r="X33" i="13" s="1"/>
  <c r="X32" i="13" s="1"/>
  <c r="X31" i="13" s="1"/>
  <c r="X30" i="13" s="1"/>
  <c r="X29" i="13" s="1"/>
  <c r="X28" i="13" s="1"/>
  <c r="X27" i="13" s="1"/>
  <c r="X26" i="13" s="1"/>
  <c r="X25" i="13" s="1"/>
  <c r="X24" i="13" s="1"/>
  <c r="X23" i="13" s="1"/>
  <c r="X22" i="13" s="1"/>
  <c r="X21" i="13" s="1"/>
  <c r="X20" i="13" s="1"/>
  <c r="X19" i="13" s="1"/>
  <c r="X18" i="13" s="1"/>
  <c r="X17" i="13" s="1"/>
  <c r="X16" i="13" s="1"/>
  <c r="X15" i="13" s="1"/>
  <c r="X14" i="13" s="1"/>
  <c r="X13" i="13" s="1"/>
  <c r="X12" i="13" s="1"/>
  <c r="X11" i="13" s="1"/>
  <c r="X10" i="13" s="1"/>
  <c r="X9" i="13" s="1"/>
  <c r="X8" i="13" s="1"/>
  <c r="X7" i="13" s="1"/>
  <c r="X6" i="13" s="1"/>
  <c r="X5" i="13" s="1"/>
  <c r="X4" i="13" s="1"/>
  <c r="X3" i="13" s="1"/>
  <c r="X2" i="13" s="1"/>
  <c r="X38" i="13"/>
  <c r="U33" i="13"/>
  <c r="U16" i="13"/>
  <c r="P37" i="13"/>
  <c r="P36" i="13" s="1"/>
  <c r="P35" i="13" s="1"/>
  <c r="P34" i="13" s="1"/>
  <c r="P33" i="13" s="1"/>
  <c r="P32" i="13" s="1"/>
  <c r="P31" i="13" s="1"/>
  <c r="P30" i="13" s="1"/>
  <c r="P29" i="13" s="1"/>
  <c r="P28" i="13" s="1"/>
  <c r="P27" i="13" s="1"/>
  <c r="P26" i="13" s="1"/>
  <c r="P25" i="13" s="1"/>
  <c r="P24" i="13" s="1"/>
  <c r="P23" i="13" s="1"/>
  <c r="P22" i="13" s="1"/>
  <c r="P21" i="13" s="1"/>
  <c r="P20" i="13" s="1"/>
  <c r="P19" i="13" s="1"/>
  <c r="P18" i="13" s="1"/>
  <c r="P17" i="13" s="1"/>
  <c r="P16" i="13" s="1"/>
  <c r="P15" i="13" s="1"/>
  <c r="P14" i="13" s="1"/>
  <c r="P13" i="13" s="1"/>
  <c r="P12" i="13" s="1"/>
  <c r="P11" i="13" s="1"/>
  <c r="P10" i="13" s="1"/>
  <c r="P9" i="13" s="1"/>
  <c r="P8" i="13" s="1"/>
  <c r="P7" i="13" s="1"/>
  <c r="P6" i="13" s="1"/>
  <c r="P5" i="13" s="1"/>
  <c r="P4" i="13" s="1"/>
  <c r="P3" i="13" s="1"/>
  <c r="P2" i="13" s="1"/>
  <c r="P38" i="13"/>
  <c r="W39" i="13"/>
  <c r="S39" i="13"/>
  <c r="W40" i="13"/>
  <c r="T40" i="13"/>
  <c r="U40" i="13" s="1"/>
  <c r="W38" i="13"/>
  <c r="U38" i="13"/>
  <c r="T38" i="13"/>
  <c r="W37" i="13"/>
  <c r="S37" i="13"/>
  <c r="W36" i="13"/>
  <c r="U36" i="13"/>
  <c r="T36" i="13"/>
  <c r="W35" i="13"/>
  <c r="U35" i="13"/>
  <c r="T35" i="13"/>
  <c r="W31" i="13"/>
  <c r="S31" i="13"/>
  <c r="W30" i="13"/>
  <c r="S30" i="13"/>
  <c r="W29" i="13"/>
  <c r="S29" i="13"/>
  <c r="W32" i="13"/>
  <c r="S32" i="13"/>
  <c r="W34" i="13"/>
  <c r="T34" i="13"/>
  <c r="U34" i="13" s="1"/>
  <c r="W33" i="13"/>
  <c r="T33" i="13"/>
  <c r="W28" i="13"/>
  <c r="S28" i="13"/>
  <c r="W25" i="13"/>
  <c r="S25" i="13"/>
  <c r="W27" i="13"/>
  <c r="T27" i="13"/>
  <c r="U27" i="13" s="1"/>
  <c r="W26" i="13"/>
  <c r="T26" i="13"/>
  <c r="U26" i="13" s="1"/>
  <c r="W24" i="13"/>
  <c r="T24" i="13"/>
  <c r="U24" i="13" s="1"/>
  <c r="W23" i="13"/>
  <c r="T23" i="13"/>
  <c r="U23" i="13" s="1"/>
  <c r="W22" i="13"/>
  <c r="T22" i="13"/>
  <c r="U22" i="13" s="1"/>
  <c r="W21" i="13"/>
  <c r="T21" i="13"/>
  <c r="U21" i="13" s="1"/>
  <c r="W20" i="13"/>
  <c r="S20" i="13"/>
  <c r="W19" i="13"/>
  <c r="S19" i="13"/>
  <c r="W18" i="13"/>
  <c r="T18" i="13"/>
  <c r="U18" i="13" s="1"/>
  <c r="W17" i="13"/>
  <c r="T17" i="13"/>
  <c r="U17" i="13" s="1"/>
  <c r="W13" i="13"/>
  <c r="S13" i="13"/>
  <c r="W15" i="13"/>
  <c r="T15" i="13"/>
  <c r="U15" i="13" s="1"/>
  <c r="W14" i="13"/>
  <c r="T14" i="13"/>
  <c r="U14" i="13" s="1"/>
  <c r="W16" i="13"/>
  <c r="T16" i="13"/>
  <c r="W6" i="13"/>
  <c r="U6" i="13"/>
  <c r="T6" i="13"/>
  <c r="S6" i="13"/>
  <c r="W12" i="13"/>
  <c r="S12" i="13"/>
  <c r="W11" i="13"/>
  <c r="S11" i="13"/>
  <c r="W10" i="13"/>
  <c r="U10" i="13"/>
  <c r="T10" i="13"/>
  <c r="W9" i="13"/>
  <c r="U9" i="13"/>
  <c r="T9" i="13"/>
  <c r="W5" i="13"/>
  <c r="S5" i="13"/>
  <c r="W4" i="13"/>
  <c r="S4" i="13"/>
  <c r="W8" i="13"/>
  <c r="U8" i="13"/>
  <c r="T8" i="13"/>
  <c r="W7" i="13"/>
  <c r="U7" i="13"/>
  <c r="T7" i="13"/>
  <c r="W2" i="13"/>
  <c r="S2" i="13"/>
  <c r="W3" i="13"/>
  <c r="D25" i="13"/>
  <c r="E25" i="13" s="1"/>
  <c r="G25" i="13"/>
  <c r="K3" i="13"/>
  <c r="K6" i="13"/>
  <c r="K7" i="13"/>
  <c r="K10" i="13"/>
  <c r="K11" i="13"/>
  <c r="K16" i="13"/>
  <c r="K19" i="13"/>
  <c r="K20" i="13"/>
  <c r="K27" i="13"/>
  <c r="K28" i="13"/>
  <c r="K32" i="13"/>
  <c r="K31" i="13"/>
  <c r="K33" i="13"/>
  <c r="K34" i="13"/>
  <c r="K37" i="13"/>
  <c r="K40" i="13"/>
  <c r="O39" i="13"/>
  <c r="L39" i="13"/>
  <c r="M39" i="13" s="1"/>
  <c r="O40" i="13"/>
  <c r="O38" i="13"/>
  <c r="M38" i="13"/>
  <c r="L38" i="13"/>
  <c r="O37" i="13"/>
  <c r="O36" i="13"/>
  <c r="M36" i="13"/>
  <c r="L36" i="13"/>
  <c r="O35" i="13"/>
  <c r="M35" i="13"/>
  <c r="L35" i="13"/>
  <c r="O34" i="13"/>
  <c r="O33" i="13"/>
  <c r="O30" i="13"/>
  <c r="L30" i="13"/>
  <c r="O29" i="13"/>
  <c r="L29" i="13"/>
  <c r="O31" i="13"/>
  <c r="O32" i="13"/>
  <c r="O28" i="13"/>
  <c r="O27" i="13"/>
  <c r="O26" i="13"/>
  <c r="L26" i="13"/>
  <c r="M26" i="13" s="1"/>
  <c r="O25" i="13"/>
  <c r="L25" i="13"/>
  <c r="M25" i="13" s="1"/>
  <c r="O24" i="13"/>
  <c r="L24" i="13"/>
  <c r="M24" i="13" s="1"/>
  <c r="O23" i="13"/>
  <c r="L23" i="13"/>
  <c r="M23" i="13" s="1"/>
  <c r="O22" i="13"/>
  <c r="L22" i="13"/>
  <c r="M22" i="13" s="1"/>
  <c r="O21" i="13"/>
  <c r="L21" i="13"/>
  <c r="M21" i="13" s="1"/>
  <c r="O20" i="13"/>
  <c r="O19" i="13"/>
  <c r="O18" i="13"/>
  <c r="L18" i="13"/>
  <c r="M18" i="13" s="1"/>
  <c r="O17" i="13"/>
  <c r="L17" i="13"/>
  <c r="M17" i="13" s="1"/>
  <c r="O16" i="13"/>
  <c r="O15" i="13"/>
  <c r="L15" i="13"/>
  <c r="M15" i="13" s="1"/>
  <c r="O14" i="13"/>
  <c r="L14" i="13"/>
  <c r="M14" i="13" s="1"/>
  <c r="O13" i="13"/>
  <c r="L13" i="13"/>
  <c r="O11" i="13"/>
  <c r="O10" i="13"/>
  <c r="O12" i="13"/>
  <c r="M12" i="13"/>
  <c r="L12" i="13"/>
  <c r="O9" i="13"/>
  <c r="M9" i="13"/>
  <c r="L9" i="13"/>
  <c r="O8" i="13"/>
  <c r="M8" i="13"/>
  <c r="L8" i="13"/>
  <c r="O5" i="13"/>
  <c r="M5" i="13"/>
  <c r="L5" i="13"/>
  <c r="O4" i="13"/>
  <c r="M4" i="13"/>
  <c r="L4" i="13"/>
  <c r="O7" i="13"/>
  <c r="O6" i="13"/>
  <c r="O2" i="13"/>
  <c r="O3" i="13"/>
  <c r="D18" i="13"/>
  <c r="E18" i="13" s="1"/>
  <c r="D17" i="13"/>
  <c r="E17" i="13" s="1"/>
  <c r="D22" i="13"/>
  <c r="E22" i="13" s="1"/>
  <c r="D23" i="13"/>
  <c r="E23" i="13" s="1"/>
  <c r="D24" i="13"/>
  <c r="E24" i="13" s="1"/>
  <c r="D26" i="13"/>
  <c r="E26" i="13" s="1"/>
  <c r="D21" i="13"/>
  <c r="E21" i="13" s="1"/>
  <c r="D40" i="13"/>
  <c r="E40" i="13" s="1"/>
  <c r="D38" i="13"/>
  <c r="E38" i="13"/>
  <c r="E36" i="13"/>
  <c r="E35" i="13"/>
  <c r="D36" i="13"/>
  <c r="D35" i="13"/>
  <c r="D32" i="13"/>
  <c r="D31" i="13"/>
  <c r="P40" i="13" l="1"/>
  <c r="P39" i="13" s="1"/>
  <c r="K12" i="13"/>
  <c r="D14" i="13"/>
  <c r="E14" i="13" s="1"/>
  <c r="D15" i="13"/>
  <c r="E15" i="13" s="1"/>
  <c r="D13" i="13"/>
  <c r="E6" i="13"/>
  <c r="E7" i="13"/>
  <c r="E8" i="13"/>
  <c r="E9" i="13"/>
  <c r="D7" i="13"/>
  <c r="D8" i="13"/>
  <c r="D9" i="13"/>
  <c r="D6" i="13"/>
  <c r="G85" i="13"/>
  <c r="G84" i="13"/>
  <c r="C84" i="13"/>
  <c r="G83" i="13"/>
  <c r="G82" i="13"/>
  <c r="C82" i="13"/>
  <c r="G81" i="13"/>
  <c r="G80" i="13"/>
  <c r="G79" i="13"/>
  <c r="C79" i="13"/>
  <c r="G78" i="13"/>
  <c r="C78" i="13"/>
  <c r="G77" i="13"/>
  <c r="C77" i="13"/>
  <c r="G76" i="13"/>
  <c r="G75" i="13"/>
  <c r="G74" i="13"/>
  <c r="C74" i="13"/>
  <c r="G73" i="13"/>
  <c r="C73" i="13"/>
  <c r="G72" i="13"/>
  <c r="C72" i="13"/>
  <c r="G71" i="13"/>
  <c r="G69" i="13"/>
  <c r="G68" i="13"/>
  <c r="G67" i="13"/>
  <c r="G66" i="13"/>
  <c r="G65" i="13"/>
  <c r="G64" i="13"/>
  <c r="C64" i="13"/>
  <c r="G63" i="13"/>
  <c r="C63" i="13"/>
  <c r="G62" i="13"/>
  <c r="G61" i="13"/>
  <c r="G60" i="13"/>
  <c r="C60" i="13"/>
  <c r="G59" i="13"/>
  <c r="G58" i="13"/>
  <c r="G57" i="13"/>
  <c r="G56" i="13"/>
  <c r="C56" i="13"/>
  <c r="G55" i="13"/>
  <c r="C55" i="13"/>
  <c r="G54" i="13"/>
  <c r="E54" i="13"/>
  <c r="D54" i="13"/>
  <c r="G53" i="13"/>
  <c r="G52" i="13"/>
  <c r="G51" i="13"/>
  <c r="G50" i="13"/>
  <c r="G49" i="13"/>
  <c r="C49" i="13"/>
  <c r="G48" i="13"/>
  <c r="C48" i="13"/>
  <c r="G47" i="13"/>
  <c r="C47" i="13"/>
  <c r="G46" i="13"/>
  <c r="AG33" i="13"/>
  <c r="AH33" i="13"/>
  <c r="AR33" i="13"/>
  <c r="AS33" i="13"/>
  <c r="AG20" i="13"/>
  <c r="AH20" i="13"/>
  <c r="G40" i="13"/>
  <c r="H40" i="13" s="1"/>
  <c r="G39" i="13"/>
  <c r="C39" i="13"/>
  <c r="G38" i="13"/>
  <c r="G37" i="13"/>
  <c r="C37" i="13"/>
  <c r="G36" i="13"/>
  <c r="G35" i="13"/>
  <c r="G34" i="13"/>
  <c r="C34" i="13"/>
  <c r="G33" i="13"/>
  <c r="C33" i="13"/>
  <c r="G29" i="13"/>
  <c r="C29" i="13"/>
  <c r="G32" i="13"/>
  <c r="G31" i="13"/>
  <c r="G30" i="13"/>
  <c r="C30" i="13"/>
  <c r="G28" i="13"/>
  <c r="C28" i="13"/>
  <c r="G27" i="13"/>
  <c r="C27" i="13"/>
  <c r="G26" i="13"/>
  <c r="G24" i="13"/>
  <c r="G23" i="13"/>
  <c r="G22" i="13"/>
  <c r="G21" i="13"/>
  <c r="G20" i="13"/>
  <c r="C20" i="13"/>
  <c r="G19" i="13"/>
  <c r="C19" i="13"/>
  <c r="G18" i="13"/>
  <c r="G17" i="13"/>
  <c r="G16" i="13"/>
  <c r="C16" i="13"/>
  <c r="G15" i="13"/>
  <c r="G14" i="13"/>
  <c r="G13" i="13"/>
  <c r="G12" i="13"/>
  <c r="C12" i="13"/>
  <c r="G11" i="13"/>
  <c r="C11" i="13"/>
  <c r="G10" i="13"/>
  <c r="E10" i="13"/>
  <c r="D10" i="13"/>
  <c r="G9" i="13"/>
  <c r="G7" i="13"/>
  <c r="G8" i="13"/>
  <c r="G6" i="13"/>
  <c r="G5" i="13"/>
  <c r="C5" i="13"/>
  <c r="G4" i="13"/>
  <c r="G2" i="13"/>
  <c r="C2" i="13"/>
  <c r="G3" i="13"/>
  <c r="C3" i="14"/>
  <c r="C4" i="14"/>
  <c r="C5" i="14"/>
  <c r="C12" i="14"/>
  <c r="C14" i="14"/>
  <c r="C15" i="14"/>
  <c r="C18" i="14"/>
  <c r="C22" i="14"/>
  <c r="C23" i="14"/>
  <c r="C26" i="14"/>
  <c r="C28" i="14"/>
  <c r="C29" i="14"/>
  <c r="C38" i="14"/>
  <c r="C40" i="14"/>
  <c r="C41" i="14"/>
  <c r="C42" i="14"/>
  <c r="C45" i="14"/>
  <c r="C46" i="14"/>
  <c r="C47" i="14"/>
  <c r="E41" i="14"/>
  <c r="D41" i="14"/>
  <c r="E14" i="14"/>
  <c r="D14" i="14"/>
  <c r="C48" i="14"/>
  <c r="C52" i="14"/>
  <c r="G56" i="14"/>
  <c r="C53" i="14"/>
  <c r="C55" i="14"/>
  <c r="C57" i="14"/>
  <c r="G3" i="14"/>
  <c r="G4" i="14"/>
  <c r="G5" i="14"/>
  <c r="G6" i="14"/>
  <c r="G8" i="14"/>
  <c r="G10" i="14"/>
  <c r="G13" i="14"/>
  <c r="G14" i="14"/>
  <c r="G15" i="14"/>
  <c r="G18" i="14"/>
  <c r="G19" i="14"/>
  <c r="G20" i="14"/>
  <c r="G21" i="14"/>
  <c r="G22" i="14"/>
  <c r="G24" i="14"/>
  <c r="G25" i="14"/>
  <c r="G26" i="14"/>
  <c r="G29" i="14"/>
  <c r="G30" i="14"/>
  <c r="G32" i="14"/>
  <c r="G33" i="14"/>
  <c r="G34" i="14"/>
  <c r="G35" i="14"/>
  <c r="G37" i="14"/>
  <c r="G38" i="14"/>
  <c r="G40" i="14"/>
  <c r="G42" i="14"/>
  <c r="G43" i="14"/>
  <c r="G44" i="14"/>
  <c r="G46" i="14"/>
  <c r="G47" i="14"/>
  <c r="G48" i="14"/>
  <c r="G50" i="14"/>
  <c r="G51" i="14"/>
  <c r="G52" i="14"/>
  <c r="G54" i="14"/>
  <c r="G55" i="14"/>
  <c r="G2" i="14"/>
  <c r="C54" i="13" l="1"/>
  <c r="H39" i="13"/>
  <c r="H38" i="13" s="1"/>
  <c r="H37" i="13" s="1"/>
  <c r="H36" i="13" s="1"/>
  <c r="H35" i="13" s="1"/>
  <c r="H34" i="13" s="1"/>
  <c r="H33" i="13" s="1"/>
  <c r="H32" i="13" s="1"/>
  <c r="H31" i="13" s="1"/>
  <c r="H30" i="13" s="1"/>
  <c r="H29" i="13" s="1"/>
  <c r="H28" i="13" s="1"/>
  <c r="H27" i="13" s="1"/>
  <c r="H26" i="13" s="1"/>
  <c r="H25" i="13" s="1"/>
  <c r="H24" i="13" s="1"/>
  <c r="H23" i="13" s="1"/>
  <c r="H22" i="13" s="1"/>
  <c r="H21" i="13" s="1"/>
  <c r="H20" i="13" s="1"/>
  <c r="H19" i="13" s="1"/>
  <c r="H2" i="13" s="1"/>
  <c r="C10" i="13"/>
  <c r="AT44" i="13"/>
  <c r="AT43" i="13" s="1"/>
  <c r="AT42" i="13" s="1"/>
  <c r="AT41" i="13" s="1"/>
  <c r="AT52" i="13" s="1"/>
  <c r="AT39" i="13" s="1"/>
  <c r="AT53" i="13" s="1"/>
  <c r="AT37" i="13" s="1"/>
  <c r="AT36" i="13" s="1"/>
  <c r="AT35" i="13" s="1"/>
  <c r="AT34" i="13" s="1"/>
  <c r="AS44" i="13"/>
  <c r="AR44" i="13"/>
  <c r="AI44" i="13"/>
  <c r="AI43" i="13" s="1"/>
  <c r="AI42" i="13" s="1"/>
  <c r="AI41" i="13" s="1"/>
  <c r="AI52" i="13" s="1"/>
  <c r="AI39" i="13" s="1"/>
  <c r="AI53" i="13" s="1"/>
  <c r="AI37" i="13" s="1"/>
  <c r="AI36" i="13" s="1"/>
  <c r="AI35" i="13" s="1"/>
  <c r="AI34" i="13" s="1"/>
  <c r="AH44" i="13"/>
  <c r="AG44" i="13"/>
  <c r="AS43" i="13"/>
  <c r="AR43" i="13"/>
  <c r="AH43" i="13"/>
  <c r="AG43" i="13"/>
  <c r="AS42" i="13"/>
  <c r="AR42" i="13"/>
  <c r="AH42" i="13"/>
  <c r="AG42" i="13"/>
  <c r="AS41" i="13"/>
  <c r="AR41" i="13"/>
  <c r="AH41" i="13"/>
  <c r="AG41" i="13"/>
  <c r="AS52" i="13"/>
  <c r="AR52" i="13"/>
  <c r="AH52" i="13"/>
  <c r="AG52" i="13"/>
  <c r="AS39" i="13"/>
  <c r="AR39" i="13"/>
  <c r="AH39" i="13"/>
  <c r="AG39" i="13"/>
  <c r="AS53" i="13"/>
  <c r="AR53" i="13"/>
  <c r="AH53" i="13"/>
  <c r="AG53" i="13"/>
  <c r="AS37" i="13"/>
  <c r="AR37" i="13"/>
  <c r="AH37" i="13"/>
  <c r="AG37" i="13"/>
  <c r="AS36" i="13"/>
  <c r="AR36" i="13"/>
  <c r="AH36" i="13"/>
  <c r="AG36" i="13"/>
  <c r="AS35" i="13"/>
  <c r="AR35" i="13"/>
  <c r="AH35" i="13"/>
  <c r="AG35" i="13"/>
  <c r="AS34" i="13"/>
  <c r="AR34" i="13"/>
  <c r="AH34" i="13"/>
  <c r="AG34" i="13"/>
  <c r="AS32" i="13"/>
  <c r="AR32" i="13"/>
  <c r="AH32" i="13"/>
  <c r="AG32" i="13"/>
  <c r="AS31" i="13"/>
  <c r="AR31" i="13"/>
  <c r="AH31" i="13"/>
  <c r="AG31" i="13"/>
  <c r="AS30" i="13"/>
  <c r="AR30" i="13"/>
  <c r="AH30" i="13"/>
  <c r="AG30" i="13"/>
  <c r="AS29" i="13"/>
  <c r="AR29" i="13"/>
  <c r="AH29" i="13"/>
  <c r="AG29" i="13"/>
  <c r="AS28" i="13"/>
  <c r="AR28" i="13"/>
  <c r="AH28" i="13"/>
  <c r="AG28" i="13"/>
  <c r="AI23" i="13"/>
  <c r="AI22" i="13" s="1"/>
  <c r="AI21" i="13" s="1"/>
  <c r="AH23" i="13"/>
  <c r="AG23" i="13"/>
  <c r="AH22" i="13"/>
  <c r="AG22" i="13"/>
  <c r="AH21" i="13"/>
  <c r="AG21" i="13"/>
  <c r="AH19" i="13"/>
  <c r="AG19" i="13"/>
  <c r="AH18" i="13"/>
  <c r="AG18" i="13"/>
  <c r="AH17" i="13"/>
  <c r="AG17" i="13"/>
  <c r="AH16" i="13"/>
  <c r="AG16" i="13"/>
  <c r="AH15" i="13"/>
  <c r="AG15" i="13"/>
  <c r="AH14" i="13"/>
  <c r="AG14" i="13"/>
  <c r="AH13" i="13"/>
  <c r="AG13" i="13"/>
  <c r="AH12" i="13"/>
  <c r="AG12" i="13"/>
  <c r="AH11" i="13"/>
  <c r="AG11" i="13"/>
  <c r="AH10" i="13"/>
  <c r="AG10" i="13"/>
  <c r="AH9" i="13"/>
  <c r="AG9" i="13"/>
  <c r="AH8" i="13"/>
  <c r="AG8" i="13"/>
  <c r="AH7" i="13"/>
  <c r="AG7" i="13"/>
  <c r="AT33" i="13" l="1"/>
  <c r="AT32" i="13" s="1"/>
  <c r="AT31" i="13" s="1"/>
  <c r="AT30" i="13" s="1"/>
  <c r="AT29" i="13" s="1"/>
  <c r="AT28" i="13" s="1"/>
  <c r="AI33" i="13"/>
  <c r="AI32" i="13" s="1"/>
  <c r="AI31" i="13" s="1"/>
  <c r="AI30" i="13" s="1"/>
  <c r="AI29" i="13" s="1"/>
  <c r="AI28" i="13" s="1"/>
  <c r="AI20" i="13"/>
  <c r="AI19" i="13" s="1"/>
  <c r="AI18" i="13" s="1"/>
  <c r="AI17" i="13" s="1"/>
  <c r="AI16" i="13" s="1"/>
  <c r="AI15" i="13" s="1"/>
  <c r="AI14" i="13" s="1"/>
  <c r="AI13" i="13" s="1"/>
  <c r="AI12" i="13" s="1"/>
  <c r="AI11" i="13" s="1"/>
  <c r="AI10" i="13" s="1"/>
  <c r="AI9" i="13" s="1"/>
  <c r="AI8" i="13" s="1"/>
  <c r="AI7" i="13" s="1"/>
  <c r="H35" i="11" l="1"/>
  <c r="H10" i="11"/>
  <c r="I10" i="11"/>
  <c r="D10" i="11"/>
  <c r="I13" i="11"/>
  <c r="H13" i="11"/>
  <c r="J13" i="11"/>
  <c r="D13" i="11"/>
  <c r="I3" i="11"/>
  <c r="H3" i="11"/>
  <c r="H18" i="11"/>
  <c r="I18" i="11"/>
  <c r="I34" i="11"/>
  <c r="H34" i="11"/>
  <c r="E22" i="11"/>
  <c r="E25" i="11"/>
  <c r="E15" i="11"/>
  <c r="E19" i="11"/>
  <c r="E23" i="11"/>
  <c r="E17" i="11"/>
  <c r="E24" i="11"/>
  <c r="E14" i="11"/>
  <c r="E16" i="11"/>
  <c r="E21" i="11"/>
  <c r="E18" i="11"/>
  <c r="E11" i="11"/>
  <c r="I35" i="11"/>
  <c r="I17" i="11"/>
  <c r="H17" i="11"/>
  <c r="I6" i="11"/>
  <c r="I5" i="11"/>
  <c r="I33" i="11"/>
  <c r="H33" i="11"/>
  <c r="E34" i="11"/>
  <c r="E20" i="11" l="1"/>
  <c r="D9" i="11"/>
  <c r="D35" i="11"/>
  <c r="D4" i="11"/>
  <c r="E7" i="11"/>
  <c r="D7" i="11"/>
  <c r="E8" i="11"/>
  <c r="D8" i="11"/>
  <c r="D6" i="11"/>
  <c r="BV24" i="10"/>
  <c r="BV23" i="10" s="1"/>
  <c r="BV22" i="10" s="1"/>
  <c r="BV21" i="10" s="1"/>
  <c r="BV20" i="10" s="1"/>
  <c r="BV19" i="10" s="1"/>
  <c r="BV18" i="10" s="1"/>
  <c r="BV17" i="10" s="1"/>
  <c r="BV16" i="10" s="1"/>
  <c r="BV15" i="10" s="1"/>
  <c r="BV14" i="10" s="1"/>
  <c r="BV13" i="10" s="1"/>
  <c r="BV12" i="10" s="1"/>
  <c r="BV11" i="10" s="1"/>
  <c r="BV10" i="10" s="1"/>
  <c r="BV9" i="10" s="1"/>
  <c r="BV8" i="10" s="1"/>
  <c r="BV7" i="10" s="1"/>
  <c r="BV6" i="10" s="1"/>
  <c r="BV5" i="10" s="1"/>
  <c r="BV4" i="10" s="1"/>
  <c r="BO24" i="10"/>
  <c r="BN24" i="10"/>
  <c r="BO23" i="10"/>
  <c r="BN23" i="10"/>
  <c r="BO22" i="10"/>
  <c r="BN22" i="10"/>
  <c r="BO21" i="10"/>
  <c r="BN21" i="10"/>
  <c r="BO20" i="10"/>
  <c r="BN20" i="10"/>
  <c r="BO19" i="10"/>
  <c r="BN19" i="10"/>
  <c r="BO18" i="10"/>
  <c r="BN18" i="10"/>
  <c r="BO17" i="10"/>
  <c r="BN17" i="10"/>
  <c r="BO16" i="10"/>
  <c r="BN16" i="10"/>
  <c r="BO15" i="10"/>
  <c r="BN15" i="10"/>
  <c r="BO14" i="10"/>
  <c r="BN14" i="10"/>
  <c r="BO13" i="10"/>
  <c r="BN13" i="10"/>
  <c r="BO12" i="10"/>
  <c r="BN12" i="10"/>
  <c r="BO11" i="10"/>
  <c r="BN11" i="10"/>
  <c r="BO10" i="10"/>
  <c r="BN10" i="10"/>
  <c r="BO9" i="10"/>
  <c r="BN9" i="10"/>
  <c r="BO8" i="10"/>
  <c r="BN8" i="10"/>
  <c r="BO7" i="10"/>
  <c r="BN7" i="10"/>
  <c r="BO6" i="10"/>
  <c r="BN6" i="10"/>
  <c r="BO5" i="10"/>
  <c r="BN5" i="10"/>
  <c r="BO4" i="10"/>
  <c r="BN4" i="10"/>
  <c r="S25" i="10"/>
  <c r="R25" i="10"/>
  <c r="G25" i="10"/>
  <c r="F25" i="10"/>
  <c r="BC23" i="10"/>
  <c r="AV23" i="10"/>
  <c r="AR23" i="10"/>
  <c r="AH23" i="10"/>
  <c r="AA23" i="10"/>
  <c r="Z23" i="10"/>
  <c r="S24" i="10"/>
  <c r="R24" i="10"/>
  <c r="G24" i="10"/>
  <c r="F24" i="10"/>
  <c r="AV10" i="10"/>
  <c r="AR10" i="10"/>
  <c r="AH22" i="10"/>
  <c r="AA22" i="10"/>
  <c r="Z22" i="10"/>
  <c r="S23" i="10"/>
  <c r="R23" i="10"/>
  <c r="G23" i="10"/>
  <c r="F23" i="10"/>
  <c r="AV22" i="10"/>
  <c r="AR22" i="10"/>
  <c r="AA20" i="10"/>
  <c r="Z20" i="10"/>
  <c r="S22" i="10"/>
  <c r="R22" i="10"/>
  <c r="G22" i="10"/>
  <c r="F22" i="10"/>
  <c r="AV9" i="10"/>
  <c r="AR9" i="10"/>
  <c r="AA24" i="10"/>
  <c r="Z24" i="10"/>
  <c r="S21" i="10"/>
  <c r="R21" i="10"/>
  <c r="G21" i="10"/>
  <c r="F21" i="10"/>
  <c r="AV5" i="10"/>
  <c r="AR5" i="10"/>
  <c r="AA21" i="10"/>
  <c r="Z21" i="10"/>
  <c r="S20" i="10"/>
  <c r="R20" i="10"/>
  <c r="G20" i="10"/>
  <c r="F20" i="10"/>
  <c r="AV17" i="10"/>
  <c r="AR17" i="10"/>
  <c r="AA19" i="10"/>
  <c r="Z19" i="10"/>
  <c r="S19" i="10"/>
  <c r="R19" i="10"/>
  <c r="G19" i="10"/>
  <c r="F19" i="10"/>
  <c r="AV24" i="10"/>
  <c r="AR24" i="10"/>
  <c r="AA18" i="10"/>
  <c r="Z18" i="10"/>
  <c r="S18" i="10"/>
  <c r="R18" i="10"/>
  <c r="G18" i="10"/>
  <c r="F18" i="10"/>
  <c r="AV20" i="10"/>
  <c r="AR20" i="10"/>
  <c r="AA17" i="10"/>
  <c r="Z17" i="10"/>
  <c r="S17" i="10"/>
  <c r="R17" i="10"/>
  <c r="G17" i="10"/>
  <c r="F17" i="10"/>
  <c r="AV8" i="10"/>
  <c r="AR8" i="10"/>
  <c r="AA16" i="10"/>
  <c r="Z16" i="10"/>
  <c r="S16" i="10"/>
  <c r="R16" i="10"/>
  <c r="G16" i="10"/>
  <c r="F16" i="10"/>
  <c r="AV4" i="10"/>
  <c r="AR4" i="10"/>
  <c r="AA15" i="10"/>
  <c r="Z15" i="10"/>
  <c r="S15" i="10"/>
  <c r="R15" i="10"/>
  <c r="G15" i="10"/>
  <c r="F15" i="10"/>
  <c r="AV11" i="10"/>
  <c r="AR11" i="10"/>
  <c r="AA14" i="10"/>
  <c r="Z14" i="10"/>
  <c r="S14" i="10"/>
  <c r="R14" i="10"/>
  <c r="G14" i="10"/>
  <c r="F14" i="10"/>
  <c r="AV19" i="10"/>
  <c r="AR19" i="10"/>
  <c r="AA13" i="10"/>
  <c r="Z13" i="10"/>
  <c r="S13" i="10"/>
  <c r="R13" i="10"/>
  <c r="G13" i="10"/>
  <c r="F13" i="10"/>
  <c r="AV6" i="10"/>
  <c r="AR6" i="10"/>
  <c r="AA12" i="10"/>
  <c r="Z12" i="10"/>
  <c r="S12" i="10"/>
  <c r="R12" i="10"/>
  <c r="G12" i="10"/>
  <c r="F12" i="10"/>
  <c r="AV12" i="10"/>
  <c r="AR12" i="10"/>
  <c r="AA11" i="10"/>
  <c r="Z11" i="10"/>
  <c r="S11" i="10"/>
  <c r="R11" i="10"/>
  <c r="G11" i="10"/>
  <c r="F11" i="10"/>
  <c r="AV7" i="10"/>
  <c r="AR7" i="10"/>
  <c r="AA10" i="10"/>
  <c r="Z10" i="10"/>
  <c r="S10" i="10"/>
  <c r="R10" i="10"/>
  <c r="G10" i="10"/>
  <c r="F10" i="10"/>
  <c r="AV14" i="10"/>
  <c r="AR14" i="10"/>
  <c r="AA9" i="10"/>
  <c r="Z9" i="10"/>
  <c r="S9" i="10"/>
  <c r="R9" i="10"/>
  <c r="G9" i="10"/>
  <c r="F9" i="10"/>
  <c r="AV21" i="10"/>
  <c r="AR21" i="10"/>
  <c r="AA8" i="10"/>
  <c r="Z8" i="10"/>
  <c r="S8" i="10"/>
  <c r="R8" i="10"/>
  <c r="G8" i="10"/>
  <c r="F8" i="10"/>
  <c r="AV18" i="10"/>
  <c r="AR18" i="10"/>
  <c r="AA7" i="10"/>
  <c r="Z7" i="10"/>
  <c r="S7" i="10"/>
  <c r="R7" i="10"/>
  <c r="G7" i="10"/>
  <c r="F7" i="10"/>
  <c r="AV13" i="10"/>
  <c r="AR13" i="10"/>
  <c r="AA6" i="10"/>
  <c r="Z6" i="10"/>
  <c r="S6" i="10"/>
  <c r="R6" i="10"/>
  <c r="G6" i="10"/>
  <c r="F6" i="10"/>
  <c r="AV16" i="10"/>
  <c r="AR16" i="10"/>
  <c r="AA5" i="10"/>
  <c r="Z5" i="10"/>
  <c r="S5" i="10"/>
  <c r="G5" i="10"/>
  <c r="F5" i="10"/>
  <c r="AV15" i="10"/>
  <c r="AR15" i="10"/>
  <c r="AA4" i="10"/>
  <c r="Z4" i="10"/>
  <c r="G8" i="4" l="1"/>
  <c r="G7" i="4" s="1"/>
  <c r="G6" i="4" s="1"/>
  <c r="G5" i="4" s="1"/>
  <c r="G4" i="4" s="1"/>
  <c r="G3" i="4" s="1"/>
  <c r="G2" i="4" s="1"/>
  <c r="G9" i="4"/>
  <c r="C9" i="4"/>
  <c r="C8" i="4" s="1"/>
  <c r="C7" i="4" s="1"/>
  <c r="C6" i="4" s="1"/>
  <c r="C5" i="4" s="1"/>
  <c r="C4" i="4" s="1"/>
  <c r="C3" i="4" s="1"/>
  <c r="C2" i="4" s="1"/>
  <c r="G14" i="3"/>
  <c r="G13" i="3" s="1"/>
  <c r="G12" i="3" s="1"/>
  <c r="G11" i="3" s="1"/>
  <c r="G10" i="3" s="1"/>
  <c r="G9" i="3" s="1"/>
  <c r="G8" i="3" s="1"/>
  <c r="G7" i="3" s="1"/>
  <c r="G6" i="3" s="1"/>
  <c r="G5" i="3" s="1"/>
  <c r="G4" i="3" s="1"/>
  <c r="G3" i="3" s="1"/>
  <c r="G2" i="3" s="1"/>
  <c r="C15" i="3"/>
  <c r="C14" i="3" s="1"/>
  <c r="C13" i="3" s="1"/>
  <c r="C12" i="3" s="1"/>
  <c r="C11" i="3" s="1"/>
  <c r="C10" i="3" s="1"/>
  <c r="C9" i="3" s="1"/>
  <c r="C8" i="3" s="1"/>
  <c r="C7" i="3" s="1"/>
  <c r="C6" i="3" s="1"/>
  <c r="C5" i="3" s="1"/>
  <c r="C4" i="3" s="1"/>
  <c r="C3" i="3" s="1"/>
  <c r="X40" i="13" l="1"/>
  <c r="X39" i="13"/>
  <c r="BC22" i="10"/>
  <c r="BC21" i="10"/>
  <c r="BC20" i="10"/>
  <c r="BC19" i="10"/>
  <c r="BC18" i="10"/>
  <c r="BC17" i="10"/>
  <c r="BC16" i="10"/>
  <c r="BC15" i="10"/>
  <c r="BC14" i="10"/>
  <c r="BC13" i="10"/>
  <c r="BC12" i="10"/>
  <c r="BC11" i="10"/>
  <c r="BC10" i="10"/>
  <c r="BC9" i="10"/>
  <c r="BC8" i="10"/>
  <c r="BC7" i="10"/>
  <c r="BC6" i="10"/>
  <c r="BC5" i="10"/>
  <c r="BC24" i="10"/>
  <c r="BC4" i="10"/>
  <c r="AH24" i="10"/>
  <c r="AH21" i="10"/>
  <c r="AH20" i="10"/>
  <c r="AH19" i="10"/>
  <c r="AH18" i="10"/>
  <c r="AH17" i="10"/>
  <c r="AH16" i="10"/>
  <c r="AH15" i="10"/>
  <c r="AH14" i="10"/>
  <c r="AH13" i="10"/>
  <c r="AH12" i="10"/>
  <c r="AH11" i="10"/>
  <c r="AH10" i="10"/>
  <c r="AH9" i="10"/>
  <c r="AH8" i="10"/>
  <c r="AH7" i="10"/>
  <c r="AH6" i="10"/>
  <c r="AH5" i="10"/>
  <c r="AH4" i="10"/>
  <c r="AJ21" i="10"/>
  <c r="AJ20" i="10" s="1"/>
  <c r="AJ19" i="10" s="1"/>
  <c r="AJ18" i="10" s="1"/>
  <c r="AJ17" i="10" s="1"/>
  <c r="AJ16" i="10" s="1"/>
  <c r="AJ15" i="10" s="1"/>
  <c r="AJ14" i="10" s="1"/>
  <c r="AJ13" i="10" s="1"/>
  <c r="AJ12" i="10" s="1"/>
  <c r="AJ11" i="10" s="1"/>
  <c r="AJ10" i="10" s="1"/>
  <c r="AJ9" i="10" s="1"/>
  <c r="AJ8" i="10" s="1"/>
  <c r="AJ7" i="10" s="1"/>
  <c r="AJ6" i="10" s="1"/>
  <c r="AJ5" i="10" s="1"/>
  <c r="AJ4" i="10" s="1"/>
  <c r="U57" i="17"/>
  <c r="U56" i="17" s="1"/>
  <c r="U55" i="17" s="1"/>
  <c r="U54" i="17" s="1"/>
  <c r="U53" i="17" s="1"/>
  <c r="U52" i="17" s="1"/>
  <c r="U51" i="17" s="1"/>
  <c r="U50" i="17" s="1"/>
  <c r="U49" i="17" s="1"/>
  <c r="U48" i="17" s="1"/>
  <c r="U47" i="17" s="1"/>
  <c r="U46" i="17" s="1"/>
  <c r="U45" i="17" s="1"/>
  <c r="U44" i="17" s="1"/>
  <c r="U43" i="17" s="1"/>
  <c r="U42" i="17" s="1"/>
  <c r="U41" i="17" s="1"/>
  <c r="U40" i="17" s="1"/>
  <c r="U39" i="17" s="1"/>
  <c r="U38" i="17" s="1"/>
  <c r="U37" i="17" s="1"/>
  <c r="U36" i="17" s="1"/>
  <c r="U35" i="17" s="1"/>
  <c r="U34" i="17" s="1"/>
  <c r="U33" i="17" s="1"/>
  <c r="U32" i="17" s="1"/>
  <c r="U31" i="17" s="1"/>
  <c r="U30" i="17" s="1"/>
  <c r="U29" i="17" s="1"/>
  <c r="U28" i="17" s="1"/>
  <c r="U27" i="17" s="1"/>
  <c r="U26" i="17" s="1"/>
  <c r="U25" i="17" s="1"/>
  <c r="U24" i="17" s="1"/>
  <c r="U23" i="17" s="1"/>
  <c r="U22" i="17" s="1"/>
  <c r="U21" i="17" s="1"/>
  <c r="U20" i="17" s="1"/>
  <c r="U19" i="17" s="1"/>
  <c r="U18" i="17" s="1"/>
  <c r="U17" i="17" s="1"/>
  <c r="U16" i="17" s="1"/>
  <c r="U15" i="17" s="1"/>
  <c r="U14" i="17" s="1"/>
  <c r="U13" i="17" s="1"/>
  <c r="U12" i="17" s="1"/>
  <c r="U11" i="17" s="1"/>
  <c r="U10" i="17" s="1"/>
  <c r="U9" i="17" s="1"/>
  <c r="U8" i="17" s="1"/>
  <c r="U7" i="17" s="1"/>
  <c r="U6" i="17" s="1"/>
  <c r="U5" i="17" s="1"/>
  <c r="U4" i="17" s="1"/>
  <c r="U3" i="17" s="1"/>
  <c r="V57" i="17"/>
  <c r="V56" i="17" s="1"/>
  <c r="V55" i="17" s="1"/>
  <c r="V54" i="17" s="1"/>
  <c r="V53" i="17" s="1"/>
  <c r="V52" i="17" s="1"/>
  <c r="V51" i="17" s="1"/>
  <c r="V50" i="17" s="1"/>
  <c r="V49" i="17" s="1"/>
  <c r="V48" i="17" s="1"/>
  <c r="V47" i="17" s="1"/>
  <c r="V46" i="17" s="1"/>
  <c r="V45" i="17" s="1"/>
  <c r="V44" i="17" s="1"/>
  <c r="V43" i="17" s="1"/>
  <c r="V42" i="17" s="1"/>
  <c r="V41" i="17" s="1"/>
  <c r="V40" i="17" s="1"/>
  <c r="V39" i="17" s="1"/>
  <c r="V38" i="17" s="1"/>
  <c r="V37" i="17" s="1"/>
  <c r="V36" i="17" s="1"/>
  <c r="V35" i="17" s="1"/>
  <c r="V34" i="17" s="1"/>
  <c r="V33" i="17" s="1"/>
  <c r="V32" i="17" s="1"/>
  <c r="V31" i="17" s="1"/>
  <c r="V30" i="17" s="1"/>
  <c r="V29" i="17" s="1"/>
  <c r="V28" i="17" s="1"/>
  <c r="V27" i="17" s="1"/>
  <c r="V26" i="17" s="1"/>
  <c r="V25" i="17" s="1"/>
  <c r="V24" i="17" s="1"/>
  <c r="V23" i="17" s="1"/>
  <c r="V22" i="17" s="1"/>
  <c r="V21" i="17" s="1"/>
  <c r="V20" i="17" s="1"/>
  <c r="V19" i="17" s="1"/>
  <c r="V18" i="17" s="1"/>
  <c r="V17" i="17" s="1"/>
  <c r="V16" i="17" s="1"/>
  <c r="V15" i="17" s="1"/>
  <c r="V14" i="17" s="1"/>
  <c r="V13" i="17" s="1"/>
  <c r="V12" i="17" s="1"/>
  <c r="V11" i="17" s="1"/>
  <c r="V10" i="17" s="1"/>
  <c r="V9" i="17" s="1"/>
  <c r="V8" i="17" s="1"/>
  <c r="V7" i="17" s="1"/>
  <c r="V6" i="17" s="1"/>
  <c r="V5" i="17" s="1"/>
  <c r="V4" i="17" s="1"/>
  <c r="V3" i="17" s="1"/>
  <c r="V58" i="17"/>
  <c r="AG58" i="17"/>
  <c r="AG57" i="17"/>
  <c r="AG56" i="17" s="1"/>
  <c r="AG55" i="17" s="1"/>
  <c r="AG54" i="17" s="1"/>
  <c r="AG53" i="17" s="1"/>
  <c r="AG52" i="17" s="1"/>
  <c r="AG51" i="17" s="1"/>
  <c r="AG50" i="17" s="1"/>
  <c r="AG49" i="17" s="1"/>
  <c r="AG48" i="17" s="1"/>
  <c r="AG47" i="17" s="1"/>
  <c r="AG46" i="17" s="1"/>
  <c r="AG45" i="17" s="1"/>
  <c r="AG44" i="17" s="1"/>
  <c r="AG43" i="17" s="1"/>
  <c r="AG42" i="17" s="1"/>
  <c r="AG41" i="17" s="1"/>
  <c r="AG40" i="17" s="1"/>
  <c r="AG39" i="17" s="1"/>
  <c r="AG38" i="17" s="1"/>
  <c r="AG37" i="17" s="1"/>
  <c r="AG36" i="17" s="1"/>
  <c r="AG35" i="17" s="1"/>
  <c r="AG34" i="17" s="1"/>
  <c r="AG33" i="17" s="1"/>
  <c r="AG32" i="17" s="1"/>
  <c r="AG31" i="17" s="1"/>
  <c r="AG30" i="17" s="1"/>
  <c r="AG29" i="17" s="1"/>
  <c r="AG28" i="17" s="1"/>
  <c r="AG27" i="17" s="1"/>
  <c r="AG26" i="17" s="1"/>
  <c r="AG25" i="17" s="1"/>
  <c r="AG24" i="17" s="1"/>
  <c r="AG23" i="17" s="1"/>
  <c r="AG22" i="17" s="1"/>
  <c r="AG21" i="17" s="1"/>
  <c r="AG20" i="17" s="1"/>
  <c r="AG19" i="17" s="1"/>
  <c r="AG18" i="17" s="1"/>
  <c r="AG17" i="17" s="1"/>
  <c r="AG16" i="17" s="1"/>
  <c r="AG15" i="17" s="1"/>
  <c r="AG14" i="17" s="1"/>
  <c r="AG13" i="17" s="1"/>
  <c r="AG12" i="17" s="1"/>
  <c r="AG11" i="17" s="1"/>
  <c r="AG10" i="17" s="1"/>
  <c r="AG9" i="17" s="1"/>
  <c r="AG8" i="17" s="1"/>
  <c r="AG7" i="17" s="1"/>
  <c r="AG6" i="17" s="1"/>
  <c r="AG5" i="17" s="1"/>
  <c r="AG4" i="17" s="1"/>
  <c r="AG3" i="17" s="1"/>
  <c r="AF58" i="17"/>
  <c r="AF57" i="17" s="1"/>
  <c r="AF56" i="17" s="1"/>
  <c r="AF55" i="17" s="1"/>
  <c r="AF54" i="17" s="1"/>
  <c r="AF53" i="17" s="1"/>
  <c r="AF52" i="17" s="1"/>
  <c r="AF51" i="17" s="1"/>
  <c r="AF50" i="17" s="1"/>
  <c r="AF49" i="17" s="1"/>
  <c r="AF48" i="17" s="1"/>
  <c r="AF47" i="17" s="1"/>
  <c r="AF46" i="17" s="1"/>
  <c r="AF45" i="17" s="1"/>
  <c r="AF44" i="17" s="1"/>
  <c r="AF43" i="17" s="1"/>
  <c r="AF42" i="17" s="1"/>
  <c r="AF41" i="17" s="1"/>
  <c r="AF40" i="17" s="1"/>
  <c r="AF39" i="17" s="1"/>
  <c r="AF38" i="17" s="1"/>
  <c r="AF37" i="17" s="1"/>
  <c r="AF36" i="17" s="1"/>
  <c r="AF35" i="17" s="1"/>
  <c r="AF34" i="17" s="1"/>
  <c r="AF33" i="17" s="1"/>
  <c r="AF32" i="17" s="1"/>
  <c r="AF31" i="17" s="1"/>
  <c r="AF30" i="17" s="1"/>
  <c r="AF29" i="17" s="1"/>
  <c r="AF28" i="17" s="1"/>
  <c r="AF27" i="17" s="1"/>
  <c r="AF26" i="17" s="1"/>
  <c r="AF25" i="17" s="1"/>
  <c r="AF24" i="17" s="1"/>
  <c r="AF23" i="17" s="1"/>
  <c r="AF22" i="17" s="1"/>
  <c r="AF21" i="17" s="1"/>
  <c r="AF20" i="17" s="1"/>
  <c r="AF19" i="17" s="1"/>
  <c r="AF18" i="17" s="1"/>
  <c r="AF17" i="17" s="1"/>
  <c r="AF16" i="17" s="1"/>
  <c r="AF15" i="17" s="1"/>
  <c r="AF14" i="17" s="1"/>
  <c r="AF13" i="17" s="1"/>
  <c r="AF12" i="17" s="1"/>
  <c r="AF11" i="17" s="1"/>
  <c r="AF10" i="17" s="1"/>
  <c r="AF9" i="17" s="1"/>
  <c r="AF8" i="17" s="1"/>
  <c r="AF7" i="17" s="1"/>
  <c r="AF6" i="17" s="1"/>
  <c r="AF5" i="17" s="1"/>
  <c r="AF4" i="17" s="1"/>
  <c r="AF3" i="17" s="1"/>
  <c r="L89" i="17"/>
  <c r="L88" i="17" s="1"/>
  <c r="L87" i="17" s="1"/>
  <c r="L86" i="17" s="1"/>
  <c r="L85" i="17" s="1"/>
  <c r="L84" i="17" s="1"/>
  <c r="L83" i="17" s="1"/>
  <c r="L82" i="17" s="1"/>
  <c r="L81" i="17" s="1"/>
  <c r="L80" i="17" s="1"/>
  <c r="L79" i="17" s="1"/>
  <c r="L78" i="17" s="1"/>
  <c r="L77" i="17" s="1"/>
  <c r="L76" i="17" s="1"/>
  <c r="L75" i="17" s="1"/>
  <c r="L74" i="17" s="1"/>
  <c r="L73" i="17" s="1"/>
  <c r="L72" i="17" s="1"/>
  <c r="Z94" i="17"/>
  <c r="Z93" i="17" s="1"/>
  <c r="Z92" i="17" s="1"/>
  <c r="Z91" i="17" s="1"/>
  <c r="Z90" i="17" s="1"/>
  <c r="Z89" i="17" s="1"/>
  <c r="Z88" i="17" s="1"/>
  <c r="Z87" i="17" s="1"/>
  <c r="Z86" i="17" s="1"/>
  <c r="Z85" i="17" s="1"/>
  <c r="Z84" i="17" s="1"/>
  <c r="Z83" i="17" s="1"/>
  <c r="Z82" i="17" s="1"/>
  <c r="Z81" i="17" s="1"/>
  <c r="Z80" i="17" s="1"/>
  <c r="Z79" i="17" s="1"/>
  <c r="Z78" i="17" s="1"/>
  <c r="Z77" i="17" s="1"/>
  <c r="Z76" i="17" s="1"/>
  <c r="Z75" i="17" s="1"/>
  <c r="Z74" i="17" s="1"/>
  <c r="Z73" i="17" s="1"/>
  <c r="Z72" i="17" s="1"/>
</calcChain>
</file>

<file path=xl/sharedStrings.xml><?xml version="1.0" encoding="utf-8"?>
<sst xmlns="http://schemas.openxmlformats.org/spreadsheetml/2006/main" count="2099" uniqueCount="710">
  <si>
    <t>Supplemental Table 2. Juvenile Crust in Orogens</t>
  </si>
  <si>
    <t>Md = median</t>
  </si>
  <si>
    <t>Orogen</t>
  </si>
  <si>
    <t xml:space="preserve">Orogen phase </t>
  </si>
  <si>
    <t xml:space="preserve">No of analyses </t>
  </si>
  <si>
    <t>Onset deformation or acccretion (Ma)</t>
  </si>
  <si>
    <t>End deformation or accretion (Ma)*</t>
  </si>
  <si>
    <t>Duration (Myr)</t>
  </si>
  <si>
    <t>orogen length (km)</t>
  </si>
  <si>
    <t xml:space="preserve">Juvenile Md sample based </t>
  </si>
  <si>
    <t>Juvenile Md length based (km)</t>
  </si>
  <si>
    <t>ac</t>
  </si>
  <si>
    <t>Trans-Hudson</t>
  </si>
  <si>
    <t xml:space="preserve">Penokean </t>
  </si>
  <si>
    <t>Mt Isa</t>
  </si>
  <si>
    <t>Ubendian, E Africa</t>
  </si>
  <si>
    <t>Svecofennian</t>
  </si>
  <si>
    <t>Torngat</t>
  </si>
  <si>
    <t>Nagssugtoqidian</t>
  </si>
  <si>
    <t xml:space="preserve">Lapland-Kola </t>
  </si>
  <si>
    <t>Central Russian</t>
  </si>
  <si>
    <t>Magondi-Kheis</t>
  </si>
  <si>
    <t>Birimian-Transamazonian accretionary</t>
  </si>
  <si>
    <t>Trans-North China</t>
  </si>
  <si>
    <t>Wopmay extension</t>
  </si>
  <si>
    <t>co</t>
  </si>
  <si>
    <t>Vulcan British Columbia</t>
  </si>
  <si>
    <t>Cathaysia</t>
  </si>
  <si>
    <t>Halls Creek, NW Australia</t>
  </si>
  <si>
    <t>Akitkan, Siberia</t>
  </si>
  <si>
    <t>Sutam, Aldan shield</t>
  </si>
  <si>
    <t>West Congo</t>
  </si>
  <si>
    <t>Laurentia</t>
  </si>
  <si>
    <t>Australia</t>
  </si>
  <si>
    <t>Kalahari</t>
  </si>
  <si>
    <t>Proto-baltica</t>
  </si>
  <si>
    <t xml:space="preserve">Labrador </t>
  </si>
  <si>
    <t>Greenland</t>
  </si>
  <si>
    <t>± 1 s</t>
  </si>
  <si>
    <t>Siberia</t>
  </si>
  <si>
    <t>Taltson-Thalon, W Canada</t>
  </si>
  <si>
    <t>Rae Hearne</t>
  </si>
  <si>
    <t xml:space="preserve">1, Khondalite Belt; </t>
  </si>
  <si>
    <t>2, Jiao-Liao-Ji Belt;</t>
  </si>
  <si>
    <t xml:space="preserve"> 4, Central Indian tectonic zone; </t>
  </si>
  <si>
    <t xml:space="preserve">5, Limpopo Belt; </t>
  </si>
  <si>
    <t xml:space="preserve">6, Capricorn Orogen; </t>
  </si>
  <si>
    <t>8, Transantarctic Orogen;</t>
  </si>
  <si>
    <t xml:space="preserve">14, Ungava Orogen; </t>
  </si>
  <si>
    <t>15, New Quebec Orogen;</t>
  </si>
  <si>
    <t xml:space="preserve">19, Volhyn-Central Russian Orogen; </t>
  </si>
  <si>
    <t xml:space="preserve">20, –Pachelma Orogen; </t>
  </si>
  <si>
    <t>22, Eburnean Orogen</t>
  </si>
  <si>
    <t>North China</t>
  </si>
  <si>
    <t>India</t>
  </si>
  <si>
    <t>South Africa</t>
  </si>
  <si>
    <t>Austraila</t>
  </si>
  <si>
    <t>East Antarctica</t>
  </si>
  <si>
    <t>Cape Smith belt</t>
  </si>
  <si>
    <t>Labrador Trough</t>
  </si>
  <si>
    <t>Baltica-Russia</t>
  </si>
  <si>
    <t>South America-west africa</t>
  </si>
  <si>
    <t>Median Felsic Age (Ma) (onset subduction?)</t>
  </si>
  <si>
    <t>China</t>
  </si>
  <si>
    <t>West Australia</t>
  </si>
  <si>
    <t xml:space="preserve">Glenburgh </t>
  </si>
  <si>
    <t>South China</t>
  </si>
  <si>
    <t>length</t>
  </si>
  <si>
    <t>Median Felsic age</t>
  </si>
  <si>
    <t>Onset age</t>
  </si>
  <si>
    <t>Cumulative length</t>
  </si>
  <si>
    <t>Cumulative area</t>
  </si>
  <si>
    <r>
      <t>Median</t>
    </r>
    <r>
      <rPr>
        <sz val="14"/>
        <color rgb="FF000000"/>
        <rFont val="Calibri"/>
        <family val="2"/>
        <scheme val="minor"/>
      </rPr>
      <t xml:space="preserve"> e</t>
    </r>
    <r>
      <rPr>
        <sz val="12"/>
        <color rgb="FF000000"/>
        <rFont val="Calibri"/>
        <family val="2"/>
        <scheme val="minor"/>
      </rPr>
      <t>Nd(t)</t>
    </r>
  </si>
  <si>
    <t>Maximum age</t>
  </si>
  <si>
    <t>Minimum age</t>
  </si>
  <si>
    <t>Maximum length</t>
  </si>
  <si>
    <t>Minimum length</t>
  </si>
  <si>
    <t>Cumulative min length</t>
  </si>
  <si>
    <t>Cumulative max length</t>
  </si>
  <si>
    <t>Name/group</t>
  </si>
  <si>
    <t>Formation</t>
  </si>
  <si>
    <t>Age</t>
  </si>
  <si>
    <t>Region</t>
  </si>
  <si>
    <t>gtons (1 kg =0.001 tons)</t>
  </si>
  <si>
    <t>Estimated IF (Gtons) from Bekker et al</t>
  </si>
  <si>
    <t>cummulative size Bekker</t>
  </si>
  <si>
    <t>Alwar Fm</t>
  </si>
  <si>
    <t>Lake Superior Region</t>
  </si>
  <si>
    <t>Gunflint Iron Formation</t>
  </si>
  <si>
    <t>Biwabik Iron Formation</t>
  </si>
  <si>
    <t>took all AREA +max. thickness</t>
  </si>
  <si>
    <t>Sokomon Iron Formation</t>
  </si>
  <si>
    <t>Belcher Islands</t>
  </si>
  <si>
    <t>Kipalu Formation</t>
  </si>
  <si>
    <t>South Dakota</t>
  </si>
  <si>
    <t>Rochford Fm</t>
  </si>
  <si>
    <t>Northwest Territories, Canada</t>
  </si>
  <si>
    <t>Gibraltar Formation</t>
  </si>
  <si>
    <t>South Dakota, USA</t>
  </si>
  <si>
    <t>Ironwood Iron Formation</t>
  </si>
  <si>
    <t>Frere Fm</t>
  </si>
  <si>
    <t>Negaunee/Riverton Iron Formation</t>
  </si>
  <si>
    <t>Basile Formation</t>
  </si>
  <si>
    <t>Liaoning Province, China</t>
  </si>
  <si>
    <t>Liaohe Group</t>
  </si>
  <si>
    <t>Bahia State, Brazil</t>
  </si>
  <si>
    <t>Caldeira˜o belt</t>
  </si>
  <si>
    <t>Estes Formation</t>
  </si>
  <si>
    <t>Central Finland</t>
  </si>
  <si>
    <t>Pa¨a¨kko Iron Formation</t>
  </si>
  <si>
    <t>Minnesota, USA</t>
  </si>
  <si>
    <t>Glen Township Formation</t>
  </si>
  <si>
    <t>Northern and southern parts of West-Nigeria</t>
  </si>
  <si>
    <t>Malumfashi, Maru, Birnin Gwari, Kushaka, Muro, Egbe-Isanlu, and Obajana schist belts</t>
  </si>
  <si>
    <t>Northern Zimbabwe</t>
  </si>
  <si>
    <t>Lomagundi Group</t>
  </si>
  <si>
    <t>Northern Cape Province, South Africa</t>
  </si>
  <si>
    <t>Hotazel Iron Formation</t>
  </si>
  <si>
    <t>Western Mauritania</t>
  </si>
  <si>
    <t>Ijil Group</t>
  </si>
  <si>
    <t>Gauteng and North West Provinces, South Africa</t>
  </si>
  <si>
    <t>Timeball Hill Formation</t>
  </si>
  <si>
    <t>Liberia, West Africa</t>
  </si>
  <si>
    <t>Nimba Itabirite</t>
  </si>
  <si>
    <t>uncertainty</t>
  </si>
  <si>
    <t>Min age</t>
  </si>
  <si>
    <t>max age</t>
  </si>
  <si>
    <t>Minimum and maximum size of superplume eras and events</t>
  </si>
  <si>
    <t>Name</t>
  </si>
  <si>
    <t>Age,</t>
  </si>
  <si>
    <t>Error</t>
  </si>
  <si>
    <t>Area,</t>
  </si>
  <si>
    <t>Event</t>
  </si>
  <si>
    <t>Min. area,</t>
  </si>
  <si>
    <t>Max. area,</t>
  </si>
  <si>
    <t>Ma</t>
  </si>
  <si>
    <r>
      <t>km</t>
    </r>
    <r>
      <rPr>
        <vertAlign val="superscript"/>
        <sz val="11.5"/>
        <color theme="1"/>
        <rFont val="Arial"/>
        <family val="2"/>
      </rPr>
      <t>2</t>
    </r>
  </si>
  <si>
    <t>no</t>
  </si>
  <si>
    <t>Dharmapuri dikes</t>
  </si>
  <si>
    <t>NI:(17)</t>
  </si>
  <si>
    <t>Cuthbert Dikes (younger Molson)</t>
  </si>
  <si>
    <t>Avayalik dikes</t>
  </si>
  <si>
    <t>Onega plateau flows</t>
  </si>
  <si>
    <t>NI:19a</t>
  </si>
  <si>
    <t>Kennedy dikes</t>
  </si>
  <si>
    <t>NI:19b</t>
  </si>
  <si>
    <t>Lac de Gras dikes</t>
  </si>
  <si>
    <t>NI:19c</t>
  </si>
  <si>
    <t>Kangamuit younger dikes</t>
  </si>
  <si>
    <t>Ft. Frances dikes</t>
  </si>
  <si>
    <t>NI:20a</t>
  </si>
  <si>
    <t>Kovero-Koli dikes</t>
  </si>
  <si>
    <t>Marathon dikes</t>
  </si>
  <si>
    <t>Kenora-Kabetogama dikes</t>
  </si>
  <si>
    <t>NI(21)</t>
  </si>
  <si>
    <t>Pippolanmaki-Kutsu dikes</t>
  </si>
  <si>
    <t>Cauchon (older Molson) dikes</t>
  </si>
  <si>
    <t>NI(22)</t>
  </si>
  <si>
    <t>Biscotasing dikes</t>
  </si>
  <si>
    <t>Birrimian flows</t>
  </si>
  <si>
    <t>NI:22a</t>
  </si>
  <si>
    <t>Wyoming Bighorn II dikes</t>
  </si>
  <si>
    <t>NI:(23)</t>
  </si>
  <si>
    <t>Klotz basic dikes</t>
  </si>
  <si>
    <t>Age min</t>
  </si>
  <si>
    <t>Age max</t>
  </si>
  <si>
    <t>Griquatown Iron Formation</t>
  </si>
  <si>
    <t>Hamersley Basin</t>
  </si>
  <si>
    <t>Western Australia, Australia</t>
  </si>
  <si>
    <t>Boolgeeda Iron Formation</t>
  </si>
  <si>
    <t>Weeli Wolli Formation</t>
  </si>
  <si>
    <t>Kursk Supergroup</t>
  </si>
  <si>
    <t>Western Russia</t>
  </si>
  <si>
    <t>Transvaal Province</t>
  </si>
  <si>
    <t>Caueˆ Formation</t>
  </si>
  <si>
    <t>Minas Gerais State, Brazil</t>
  </si>
  <si>
    <t>Krivoy Rog Supergroup</t>
  </si>
  <si>
    <t>Eastern Ukraine</t>
  </si>
  <si>
    <t>Brockman Iron Formation (Joffre Mbr)</t>
  </si>
  <si>
    <t>Kuruman Iron Formation</t>
  </si>
  <si>
    <t>Ruker Series</t>
  </si>
  <si>
    <t>Prince Charles Mountains, East Antarctica</t>
  </si>
  <si>
    <t>Penge Iron Formation</t>
  </si>
  <si>
    <t>North West Province, South Africa</t>
  </si>
  <si>
    <t>Brockman Iron Formation (Dales Gorge Mbr)</t>
  </si>
  <si>
    <t>Hutchison Group (Middleback Ranges)</t>
  </si>
  <si>
    <t>Cleve domain, South Australia,</t>
  </si>
  <si>
    <t>Benchmark Iron Formation</t>
  </si>
  <si>
    <t>Mt. Sylvia Formation</t>
  </si>
  <si>
    <t>Marra Mamba Iron Formation</t>
  </si>
  <si>
    <t>Indian Creek Metamorphic Suite</t>
  </si>
  <si>
    <t>Montana, USA</t>
  </si>
  <si>
    <t>Chitradurga Group</t>
  </si>
  <si>
    <t>Karnataka Province, southern India</t>
  </si>
  <si>
    <t>Anshan Iron Formation</t>
  </si>
  <si>
    <t>Nemo Iron Formation</t>
  </si>
  <si>
    <t>Beardmore-Geraldton assemblage</t>
  </si>
  <si>
    <t>Ontario, Canada</t>
  </si>
  <si>
    <t>Bababudan Group</t>
  </si>
  <si>
    <t>Caraja´s Formation</t>
  </si>
  <si>
    <t>Para´ State, Brazil</t>
  </si>
  <si>
    <t>Manjeri Iron Formation</t>
  </si>
  <si>
    <t>Southern Zimbabwe</t>
  </si>
  <si>
    <t>Central Slave Cover Group</t>
  </si>
  <si>
    <t>Nunavut, Canada</t>
  </si>
  <si>
    <t>Pongola Supergroup</t>
  </si>
  <si>
    <t>KwaZulu-Natal Province, South Africa</t>
  </si>
  <si>
    <t>West Rand Group</t>
  </si>
  <si>
    <t>Gauteng Province, South Africa</t>
  </si>
  <si>
    <t>Jack Hills belt</t>
  </si>
  <si>
    <t>Moodies Group</t>
  </si>
  <si>
    <t>Barberton, South Africa</t>
  </si>
  <si>
    <t>Isua</t>
  </si>
  <si>
    <t>Beertooth Mtns</t>
  </si>
  <si>
    <t>Montana</t>
  </si>
  <si>
    <t>Michipipteten</t>
  </si>
  <si>
    <t>Ontario</t>
  </si>
  <si>
    <t>Yilgarn Block greenstone</t>
  </si>
  <si>
    <t>Table 7-ISLEY</t>
  </si>
  <si>
    <t>stratigraphic height of age</t>
  </si>
  <si>
    <t>https://cdnsciencepub.com/doi/10.1139/e90-052</t>
  </si>
  <si>
    <t>Caldeirao belt</t>
  </si>
  <si>
    <t>https://pubs.usgs.gov/bul/0962c/report.pdf</t>
  </si>
  <si>
    <t>https://www.researchgate.net/publication/223007435_Reconnaissance_U-Pb_geochronology_of_Precambrian_quartzites_from_the_Caldeirao_belt_and_their_basement_NE_Sao_Francisco_Craton_Bahia_Brazil_Implications_for_the_early_evolution_of_the_Paleoproterozoic/link/5bd10aa492851cabf265b99d/download</t>
  </si>
  <si>
    <t>https://www.sciencedirect.com/science/article/abs/pii/S0301926817304448</t>
  </si>
  <si>
    <t>https://pubs.usgs.gov/sim/2777/downloads/2777_pamphlet_508.pdf</t>
  </si>
  <si>
    <t>https://www.nrc.gov/docs/ML1203/ML120310024.pdf</t>
  </si>
  <si>
    <t>https://pubs.usgs.gov/sim/2777/downloads/</t>
  </si>
  <si>
    <t>Paakko Iron Formation</t>
  </si>
  <si>
    <t>https://pubs.usgs.gov/bul/1580/report.pdf</t>
  </si>
  <si>
    <t>Thickness  (m)</t>
  </si>
  <si>
    <t>Area (m^2)</t>
  </si>
  <si>
    <t>thickness is irregular but is locally as much as 300 ft, iron-formation is about 10-60 ft thick (Fantone, 1983)</t>
  </si>
  <si>
    <t>https://conservancy.umn.edu/bitstream/handle/11299/60441/2/mgs-241.pdf</t>
  </si>
  <si>
    <t>As judged from drilling data, beds of banded iron-formation and chert are scattered throughout the formation as thin, len- ticular bodies that do not appear to persist for any great distance along strike. However, several iron-rich units have been traced for distances of a few kilometers (pl. 1) along strike by drilling.</t>
  </si>
  <si>
    <t>https://kipdf.com/preliminary-description-and-interpretation-of-the-hattenberger-deep-test-well-ca_5ab25f3c1723dd349c8117cc.html</t>
  </si>
  <si>
    <t>Age references</t>
  </si>
  <si>
    <t xml:space="preserve">O. Catuneanu, P.G. Eriksson / Sedimentary Geology 147 (2002) 71–88 </t>
  </si>
  <si>
    <t>Duck Creek</t>
  </si>
  <si>
    <t>Western Australia</t>
  </si>
  <si>
    <t>Thus, the 1795 ± 7 Ma age reported here provides direct confirmation that ferruginous waters persisted in the Ashburton foreland basin until ca. 1800 Ma or later, a min- imum of tens of millions of years after they disappeared in North America.Wilson et al., 2010.</t>
  </si>
  <si>
    <t>Frei R, Dahl PS, Duke EF, et al. (2008) Trace element and isotopic characterization of Neoarchean and Paleoproterozoic iron formations in the Black Hills (South Dakota, USA): Assessment of chemical change during 2.9–1.9 Ga deposition bracketing the 2.4–2.2 Ga first rise of atmospheric oxygen. Precambrian Research 162: 441–474.</t>
  </si>
  <si>
    <t>Bowring SA, Van Schmus WR, and Hoffman PF (1984) U–Pb zircon ages from Athapuscow aulacogen, East Arm of Great Slave Lake, N.W.T. Canadian Journal of Earth Sciences 21: 1315–1324.</t>
  </si>
  <si>
    <t>Roscoe SM, Gandhi SS, Charbonneau BW, Maurice YT, and Gibb RA (1987) Mineral resource assessment of the area in the East Arc (Great Slave Lake) and Artillery Lake region, N.W.T., proposed as a national park (NTS 75 J,K, L, N, O). Geological Survey of Canada, Open File 1434, 92 p.</t>
  </si>
  <si>
    <t>Glen Township Formation/Randall Fm-same as biwabik area?</t>
  </si>
  <si>
    <t xml:space="preserve">estimate 5km wide belt-estimate whole width from map It is up to 2m thick, extending for 1.5km along strike The Rusere example is a silicate-facies iron formation, up to 50 m thick and traceable for at least 750 m along strike. </t>
  </si>
  <si>
    <t>"Beds of grey sandstone and subordinate pelitic siltstone form the90-100 mthickironstonemember" Map 12km long, 20m wide</t>
  </si>
  <si>
    <r>
      <t>The geochronological data indicate a Palaeoproterozoic evolution for this belt, between 2170 Ma and 2080 Ma (</t>
    </r>
    <r>
      <rPr>
        <sz val="8"/>
        <color rgb="FF0000FF"/>
        <rFont val="AdvTT5235d5a9"/>
      </rPr>
      <t>Silva et al., 2001; Mello et al., 2006; Rios et al., 2009; Oliveira et al., 2010</t>
    </r>
    <r>
      <rPr>
        <sz val="8"/>
        <color theme="1"/>
        <rFont val="AdvTT5235d5a9"/>
      </rPr>
      <t xml:space="preserve">). </t>
    </r>
  </si>
  <si>
    <t>~50m thick from Laajoki paper figure, 75m wide, and 3.5km long</t>
  </si>
  <si>
    <t>"he Nimba Rangehasa total lengthof 45 km", commonly 350-450m thick, range has 5km width map" Berge et al paper</t>
  </si>
  <si>
    <t xml:space="preserve">20 foot basal +6 ft upper pisolith layer --H. SCHWEIGART---took area of whole transvaal system,  "olitic ironstones are developed over an area of more than 100 000 km" Doorland thesis, </t>
  </si>
  <si>
    <t>Hotazel Iron Formation-area of tranvaal</t>
  </si>
  <si>
    <t>40 to 45 lB in the areanorthof the Mamatwa Tiscokos, 60 from Vafeas et al 2018</t>
  </si>
  <si>
    <t xml:space="preserve"> New age constraints of 2.4 Ga for the volcanic Ongeluk Formation, which conformably underlies the Hotazel succession, question the previous postGOE interpretatin. 2426 ± 3 Ma Ongeluk Formation (Gumsley et al., 2017). An event at 2393 ± 17 Ma, recorded by the PbPb whole-rock systematics of carbonates from the Mooidraai Formation (Bau et al., 1999; Fairey et al., 2013),</t>
  </si>
  <si>
    <t>Rasmussen B, Bekker A, Fletcher IR (2013) Correlation of Paleoproterozoic glaciations based on U-Pb zircon ages for tuff beds in the Transvaal and Huronian Supergroups. Earth Planet Sci Lett 382:173–180.</t>
  </si>
  <si>
    <t>Zircons in two tuff layers from the upper Timeball Hill Forma- tion (drill-hole EBA1, 709.5 m and 711.6 m depth) gave weighted mean 207Pb/206Pb ages of 2256 ± 6 Ma (MSWD = 1.0; n = 24; Fig. 5A) and 2266 ± 4 Ma (MSWD = 1.1; n = 62; Fig. 5B), respec- tively, which are interpreted as the ages for deposition. Zircons in a tuffaceous bed from the lower Timeball Hill Formation (drill- hole UD49, 711.85 m) gave a weighted mean 207Pb/206Pb age of 2310±9 Ma (MSWD = 0.7; n=13) (Figs. 5C, 5D). Most of the analyses for this sample, however, are affected by recent Pb loss</t>
  </si>
  <si>
    <t>min-max</t>
  </si>
  <si>
    <t>The Lüliang area is located in the western part of Shanxi Province, where large amounts of banded iron formation are exposed, including the Jianshan, Hugushan, and Yuanjiacun BIFs</t>
  </si>
  <si>
    <t>The Yuanjiacun BIF is distributed in a north-northeast– northeast-east orientation, extending 20.5 km in length and 5.8 km in width, estimate stratigraphic thickness as 450 m from cross section figure</t>
  </si>
  <si>
    <t>Alwar "relatively immature sandstone with preponderance of siliceous-ferruginous cement " (North Delhi Fold Belt (modified from Singh, 1982)). ALSO "Con-
glomerates are chiefly composed of banded iron-formation (25-85%), granite
(5-50%), marble (5-50%) and quartzite (5-35%) (Table II). "</t>
  </si>
  <si>
    <t>Group</t>
  </si>
  <si>
    <t>Mcheka Formation-Sandy Argillite Member  (uppermost)</t>
  </si>
  <si>
    <t xml:space="preserve">Yuanjiacun Formation- </t>
  </si>
  <si>
    <t>Lüliang Group (Replacing "Liaoning Province, China Liaohe Group" of bekker)</t>
  </si>
  <si>
    <t xml:space="preserve">Pretoria Group </t>
  </si>
  <si>
    <t>wilson island group</t>
  </si>
  <si>
    <t>Kahochella Gp</t>
  </si>
  <si>
    <t>Labrador Trough took all AREA +max. thickness</t>
  </si>
  <si>
    <t>Lake Superior Region Cuyna Range</t>
  </si>
  <si>
    <t>Lomagundi Group dolomites have been dated using the 207Pb/206Pb technique at 2150 ± 50 Ma (Schidlowski and Todt, 1998) ATUALLY UNPUBLICHED ABSTRACT, Underlying Deweras Gp 2216+22 Ma</t>
  </si>
  <si>
    <t>Ijil Iron Formation</t>
  </si>
  <si>
    <t>Estes Formation, Homestake Iron Formation</t>
  </si>
  <si>
    <t xml:space="preserve">2.02 and 1.97 Ga (Homestake Iron Formation and equivalents) , In contrast, a tuffaceous layer within the Ellison Formation overlying the Homestake Formation has been dated at 1974 ± 8 Ma (Redden et al., 1990) </t>
  </si>
  <si>
    <t xml:space="preserve">Where not thickened or thinned by folding, the formations range from 20 to 200 ft thick; the Rochford Formation can be traced along strike for more than 15 mi, the Montana Mine Formation for about 6 mi.  </t>
  </si>
  <si>
    <t>Dahl, P.S., et al., 2006. 2480 Ma mafic magmatism in the northern Black Hills, South Dakota: a new link connecting the Wyoming and Superior cratons. Can. J. Earth Sci. 43, 1579–1600.  Dahl, P.S., Holm, D.K., Gardner, E.T., Hubacher, F.A., Foland, K.A., 1999. New constraints on the timing of Early Proterozoic tectonism in the Black Hills (South Dakota), with implications for docking of the Wyoming province with Laurentia. Geol. Soc. Am. Bull. 111, 1335–1349.</t>
  </si>
  <si>
    <t xml:space="preserve">Redden, J.A., Peterman, Z.E., Zartman, R.E., DeWitt, E., 1990. U–Th–Pb  geochronology and preliminary interpretation of Precambrian tectonic events in the Black Hills, South Dakota. In: Lewry, J.F., Stauffer, M.R. (Eds.), The Early Proterozoic Trans-Hudson orogen of North America. Geological Association of Canada Special Paper. Geological Association of Canada Special Paper, pp. 229–251. </t>
  </si>
  <si>
    <t>Mille Lacs Group</t>
  </si>
  <si>
    <t>Trommald Formation, Rabbit Lake, Mahnomen, Cuyuna-area same as animikie</t>
  </si>
  <si>
    <t xml:space="preserve">They yield a Sm-Nd isochron age of emplacement of volcanics, approximately the same age as 2197+-39 Ma and metamorphic Rb-Sr isochron age of 1746 +- 86 Ma (Beck, 1988). </t>
  </si>
  <si>
    <t>metamoprhosed Rb-Sr whole rock isochron age of 1870 Ma (Peterman 1966)</t>
  </si>
  <si>
    <t>North Range and South Range Group/Emily district</t>
  </si>
  <si>
    <t xml:space="preserve">older than 1878.5+-0.8 Ma Houwse lake intrusion </t>
  </si>
  <si>
    <t xml:space="preserve">min </t>
  </si>
  <si>
    <t>--</t>
  </si>
  <si>
    <t>min</t>
  </si>
  <si>
    <t>intrusion age Baddeleyite</t>
  </si>
  <si>
    <t>This paper</t>
  </si>
  <si>
    <t>Liu et al., 2012; Lui et al., 2014; Wang et al., 2015</t>
  </si>
  <si>
    <t>As defined, the formation ranges in thickness from 14 m to more than 150 m on the so-called "North range," from 3 m to 180 m in the Emily district, and aver- ages about 90 m in the so-called "South range" (Marsden, 1972)., 3-182 m in the Bayely and James 1973</t>
  </si>
  <si>
    <t>Lake Superior Region-Amasa</t>
  </si>
  <si>
    <t xml:space="preserve">Amasa fm/Fence River (30 m overly hemlock), Mansfield member -interbedded/below volcanics (152m), Bird member 61 m. </t>
  </si>
  <si>
    <t xml:space="preserve">Lake Superior Region-Menominee/Iron river </t>
  </si>
  <si>
    <t>Riverton/Vulcan iron formatino -same area as Negaunee?</t>
  </si>
  <si>
    <t>stratigraphic height from paper</t>
  </si>
  <si>
    <t>1874 ± 9 Ma,  SHRIMP 1sigma</t>
  </si>
  <si>
    <t>No volcanics so older than the Schnieder age?</t>
  </si>
  <si>
    <t>"Tuff beds were identified in the basal Frere Formation in diamond drill-core from drill hole TDH26 (Supplementary Fig. 1) in the Earaheedy Basin, Australia (see Figure 1) at depths of 386.38–386.46 m, 374.45–374.55 m and 343.47–343.53 m. The basal tuff bed was collected from immediately above the first bed of granular iron formation, which occurs between 387.5 m and 387.3 m (Supplementary Fig. 1). "</t>
  </si>
  <si>
    <t>basal tuff May have Lead Loss...."Tuff beds were identified in the basal Frere Formation in diamond drill-core from drill hole TDH26 (Supplementary Fig. 1) in the Earaheedy Basin, Australia (see Figure 1) at depths of 386.38–386.46 m, 374.45–374.55 m and 343.47–343.53 m. The basal tuff bed was collected from immediately above the first bed of granular iron formation, which occurs between 387.5 m and 387.3 m (Supplementary Fig. 1). "</t>
  </si>
  <si>
    <t>Australia-option 1</t>
  </si>
  <si>
    <t>Australia-option 2</t>
  </si>
  <si>
    <t xml:space="preserve">Deformed during Birimian orogeny (2100–2000 Ma), Massive Ijil Iron Formation is suggested to be B 2.2 Ga (Bronner and Chauvel, 1979).  Although all attempts to directly date the Ijil Complex have failed, the shallow marine platformal nature of the associated sedimentary rocks, contrasting nature of the jasper-rich BIF of the Ijil Complex with the magnetite quartzite BIF of the Tiris Complex, and geologic relationships with other directly dated rock units, collectively suggest that the Ijil Com- plex is Paleoproterozoic. </t>
  </si>
  <si>
    <t>2080 ± 45 Ma, whole rock Pb-Pb age, 39-69 m depth</t>
  </si>
  <si>
    <t>1880–1840</t>
  </si>
  <si>
    <t>1885–1870</t>
  </si>
  <si>
    <t>1890–1870</t>
  </si>
  <si>
    <t>—</t>
  </si>
  <si>
    <t>ca. 1900</t>
  </si>
  <si>
    <t>ca. 1920</t>
  </si>
  <si>
    <t>1930–1910</t>
  </si>
  <si>
    <t>1960–1930</t>
  </si>
  <si>
    <t>1980–1960</t>
  </si>
  <si>
    <t>1985–1975</t>
  </si>
  <si>
    <t>2027–2023</t>
  </si>
  <si>
    <t>2045–2035</t>
  </si>
  <si>
    <t>2050–2030</t>
  </si>
  <si>
    <t>2090 &amp; 2070</t>
  </si>
  <si>
    <t>2100–2080</t>
  </si>
  <si>
    <t>ca. 2100</t>
  </si>
  <si>
    <t>2116–2111</t>
  </si>
  <si>
    <t>2115–2100</t>
  </si>
  <si>
    <t>2120–2100</t>
  </si>
  <si>
    <t>2126–2108</t>
  </si>
  <si>
    <t>2140–2110</t>
  </si>
  <si>
    <t>2172–2167</t>
  </si>
  <si>
    <t>2170 &amp; 2155</t>
  </si>
  <si>
    <t>2193–2180</t>
  </si>
  <si>
    <t>2250–2000</t>
  </si>
  <si>
    <t>C Kalaro-Nimnyrsky-Malozadoiskii [s Siberian craton]</t>
  </si>
  <si>
    <t>C Black Hills-Soutpansberg [Kalahari craton] (Olsson et al., 2016)</t>
  </si>
  <si>
    <t>C Circum-Superior (Chukotat, Labrador, Molson-Thompson, Pickle Crow portions) [Superior craton]</t>
  </si>
  <si>
    <t>C Ghost-Mara River- Morel [Slave craton]</t>
  </si>
  <si>
    <t>C Mashonaland [Kalahari craton]</t>
  </si>
  <si>
    <t>C Ramah Group [Nain portion, North Atlantic craton] (Sahin &amp; Hamilton, 2019)</t>
  </si>
  <si>
    <t>C Bastanar-Hampi [Indian craton] (Samal et al., 2019)</t>
  </si>
  <si>
    <t>C Boonadgin [Yilgarn craton] (Stark et al., 2019)</t>
  </si>
  <si>
    <t>S Uatuma [Amazonia] (Teixeira et al., 2019b)</t>
  </si>
  <si>
    <t>C Maria-Carajas-Tucumã [Amazonia] (Teixeira et al., 2019a,b)</t>
  </si>
  <si>
    <t>Oa Flin Flon (Churchill Province) (Stern et al., 1995; Doucet et al., 2020)</t>
  </si>
  <si>
    <t>C Hearne [Slave craton]</t>
  </si>
  <si>
    <t>C Frobisher Suite M-UM event [Meta-Incognito block] (Liikane et al., 2017)</t>
  </si>
  <si>
    <t>C Hartley (Tsineng, Moshaneng) [Kalahari craton] (Semami Alebouyeh et al., 2016)</t>
  </si>
  <si>
    <t>C Angaul [Siberian craton] (Donsakaya et al., 2018)</t>
  </si>
  <si>
    <t>C Mugford [Nain portion, North Atlantic craton]</t>
  </si>
  <si>
    <t>C Xuwujia [North China craton] (Peng, 2015)</t>
  </si>
  <si>
    <t>C Khajuraho (Jhansi) [Bundelkhand craton] (Samal et al., 2019)</t>
  </si>
  <si>
    <t>C Pechenga-Onega [Karelian craton] (Lubnina et al., 2016;  Davey, 2019)</t>
  </si>
  <si>
    <t>C Xiwangshan [North China craton] (Peng, 2015)</t>
  </si>
  <si>
    <t>S Orocaima [Amazonia] (Teixeira et al., 2019b)</t>
  </si>
  <si>
    <t>C Moi Moi–Charlie-Lucie [Amazonia] (Teixeira et al., 2019b; Klaver et al., 2016)</t>
  </si>
  <si>
    <t>C, O Minto-Povungnituk-Eskimo [Superior craton] (Kastek et al., 2018; Hamilton et al., 2016)</t>
  </si>
  <si>
    <t>C Kennedy [Wyoming craton]</t>
  </si>
  <si>
    <t>C Lac de Gras-Booth River Igneous Complex (BRIC) [Slave craton]</t>
  </si>
  <si>
    <t>C Cheela Springs [West Australian craton] (Muller et al., 2005; Bekker et al., 2016)</t>
  </si>
  <si>
    <t>C Union Island-McKee [Slave craton] (Sheen et al., 2019)</t>
  </si>
  <si>
    <t>C Kangamuit-MD3 [North Atlantic craton]</t>
  </si>
  <si>
    <t>C Bushveld [Kaapvaal craton]</t>
  </si>
  <si>
    <t>C Keivitsa–Kuetsjärvi-Umba [Karelia-Kola craton]</t>
  </si>
  <si>
    <t>C Yixingzhai [North China craton] (Peng, 2015)</t>
  </si>
  <si>
    <t>C Lac Esprit [Superior craton]</t>
  </si>
  <si>
    <t>C Voronezh [Sarmatia]</t>
  </si>
  <si>
    <t>C Fort Frances [Superior craton]</t>
  </si>
  <si>
    <t>C Palomaa [Karelian craton] (Davey, 2019; Davey et al., 2020)</t>
  </si>
  <si>
    <t>C Devarabanda [Dharwar craton] (Söderlund et al., 2019)</t>
  </si>
  <si>
    <t>C Cauchon [Superior craton]</t>
  </si>
  <si>
    <t>C Zanhuang-Menglianggu [North China craton] (Peng, 2015; Yang et al., 2019)</t>
  </si>
  <si>
    <t>C Snowy Pass [Wyoming craton]</t>
  </si>
  <si>
    <t>Oa Narracoota [West Australian craton] (Pirajno &amp; Hoatson, 2012)</t>
  </si>
  <si>
    <t>C Griffin-Kazan-Chipman [Hearne &amp; Rae cratons] (Regan et al., 2017; Buchan &amp; Ernst, 2020)</t>
  </si>
  <si>
    <t>C Bear Mountain [Wyoming craton]</t>
  </si>
  <si>
    <t>C Tommajarvi-Pirtguba [Karelian craton] (Davey, 2019; Davey et al., 2020)</t>
  </si>
  <si>
    <t>C Haicheng-Xiliu [North China craton] (Wang et al., 2016; Yang et al., 2019)</t>
  </si>
  <si>
    <t>C Marathon [Superior craton]</t>
  </si>
  <si>
    <t>C Indin [Slave craton]</t>
  </si>
  <si>
    <t>C Tikkigatsiagak-Avakutak [North Atlantic craton] (Sahin &amp; Hamilton, 2019)</t>
  </si>
  <si>
    <t>C Hengling [North China craton] (Peng, 2015)</t>
  </si>
  <si>
    <t>C Rantavaara [Karelia-Kola craton] (Davey, 2019)</t>
  </si>
  <si>
    <t>C Riviere du Gue [Superior craton]</t>
  </si>
  <si>
    <t>C Biscotasing-Payne River [Superior craton] (Hamilton et al., 2017)</t>
  </si>
  <si>
    <t>C Wind River &amp; Rabbit Creek – Powder River (Wyoming craton) (Kilian et al., 2016)</t>
  </si>
  <si>
    <t>C Mahbubngour-Dandeli [Dharwar craton] (Söderlund et al., 2019)</t>
  </si>
  <si>
    <t>C SW Slave Magmaatic Province (Dogrib) [Slave craton]</t>
  </si>
  <si>
    <t>C Tulemalu-MacQuoid [Rae craton]</t>
  </si>
  <si>
    <t>Oa Man-Leo (Lompo, 2010; Doucet et al., 2020)</t>
  </si>
  <si>
    <t>Max age</t>
  </si>
  <si>
    <t>M ean</t>
  </si>
  <si>
    <t>Age from Ernst</t>
  </si>
  <si>
    <t>Name from Ernst</t>
  </si>
  <si>
    <t>Size (Mkm2</t>
  </si>
  <si>
    <t>Size Km2</t>
  </si>
  <si>
    <t>if ca, use +- 50 Ma as error</t>
  </si>
  <si>
    <t xml:space="preserve">The Rajasthan and Haryana Formations; Biju-Sekhar et al. (2003) say between 1800-1700 Ma </t>
  </si>
  <si>
    <t>Note: Luo et al. (2004): between 2050 and 1930 Ma</t>
  </si>
  <si>
    <r>
      <t xml:space="preserve">250 </t>
    </r>
    <r>
      <rPr>
        <i/>
        <sz val="8"/>
        <color theme="1"/>
        <rFont val="TimesNRMT"/>
      </rPr>
      <t>K</t>
    </r>
    <r>
      <rPr>
        <sz val="8"/>
        <color theme="1"/>
        <rFont val="TimesNRMT"/>
      </rPr>
      <t>.</t>
    </r>
    <r>
      <rPr>
        <i/>
        <sz val="8"/>
        <color theme="1"/>
        <rFont val="TimesNRMT"/>
      </rPr>
      <t>C</t>
    </r>
    <r>
      <rPr>
        <sz val="8"/>
        <color theme="1"/>
        <rFont val="TimesNRMT"/>
      </rPr>
      <t xml:space="preserve">. </t>
    </r>
    <r>
      <rPr>
        <i/>
        <sz val="8"/>
        <color theme="1"/>
        <rFont val="TimesNRMT"/>
      </rPr>
      <t>Condie et al</t>
    </r>
    <r>
      <rPr>
        <sz val="8"/>
        <color theme="1"/>
        <rFont val="TimesNRMT"/>
      </rPr>
      <t>.</t>
    </r>
    <r>
      <rPr>
        <sz val="8"/>
        <color theme="1"/>
        <rFont val="BMathOne"/>
      </rPr>
      <t>/</t>
    </r>
    <r>
      <rPr>
        <i/>
        <sz val="8"/>
        <color theme="1"/>
        <rFont val="TimesNRMT"/>
      </rPr>
      <t>Precambrian Research</t>
    </r>
    <r>
      <rPr>
        <sz val="8"/>
        <color theme="1"/>
        <rFont val="TimesNRMT"/>
      </rPr>
      <t xml:space="preserve">106 (2001) 239–260 </t>
    </r>
  </si>
  <si>
    <t>Geologic unit</t>
  </si>
  <si>
    <t>Reference</t>
  </si>
  <si>
    <t>Age (Ma)</t>
  </si>
  <si>
    <t>uncetainty</t>
  </si>
  <si>
    <t>Thickness Total (m)</t>
  </si>
  <si>
    <t>Black Shale (m)</t>
  </si>
  <si>
    <t>Shale (Black/Total)</t>
  </si>
  <si>
    <t>Shale (%)</t>
  </si>
  <si>
    <t>Carbonate (m)</t>
  </si>
  <si>
    <t>Cumulative</t>
  </si>
  <si>
    <t>Neoproterozoic, Central Spain, Mid and Upper series</t>
  </si>
  <si>
    <t>Ugidos et al. 1997</t>
  </si>
  <si>
    <t>Pocatello Forma-tion and Brigham Group, Idaho</t>
  </si>
  <si>
    <t>Paul Link, 1998</t>
  </si>
  <si>
    <t>Malokaroi Group N Tien Shan</t>
  </si>
  <si>
    <t>Andrei Khudo-ley, 1998</t>
  </si>
  <si>
    <t>Tungusic Group Yenisey Ridge, Siberia</t>
  </si>
  <si>
    <t>V. A. Vernikovsky, 1998</t>
  </si>
  <si>
    <t>Andree Land Group East Greenland</t>
  </si>
  <si>
    <t>Kasper Fred-eriksen, 1997</t>
  </si>
  <si>
    <t>Zhdanov Group Taimyr, Siberia</t>
  </si>
  <si>
    <t>Kharitonov Group V. A. Taimyr, Siberia</t>
  </si>
  <si>
    <t>Chuar Group, Arizona</t>
  </si>
  <si>
    <t>Carol Dehler, 1998</t>
  </si>
  <si>
    <t>Bleida-Tachdamt, Morocco</t>
  </si>
  <si>
    <t>Leblan and Moussine-Pouchkine, 1994</t>
  </si>
  <si>
    <t>Changcheng Series, Jixian, Hebei, China</t>
  </si>
  <si>
    <t>Gao Shan, 1998</t>
  </si>
  <si>
    <t>Qingbaikou Series, Huailei, Hebei, China</t>
  </si>
  <si>
    <t>Upper Vindhyan Supergp Central India</t>
  </si>
  <si>
    <t>Bose et al. (1997) Rajat Mazumber 1998 Kale and Phansalkar -1991</t>
  </si>
  <si>
    <t>Shaler Supergroup NW Territories, canada</t>
  </si>
  <si>
    <t>Young (1981); Rainbird et al. 1996</t>
  </si>
  <si>
    <t>Roan/Mwashia Groups Zambia</t>
  </si>
  <si>
    <t>Richard Han-son, 1998</t>
  </si>
  <si>
    <t>Lower Vindhyan Supergp Central India</t>
  </si>
  <si>
    <t>Bose et al. (1997) Rajat Mazumber 1998</t>
  </si>
  <si>
    <t>San Ignacio, Subgroup Bolivia</t>
  </si>
  <si>
    <t>Litherland et. al. (1986)</t>
  </si>
  <si>
    <t>Belt Supergroup Montana</t>
  </si>
  <si>
    <t>Winston (1990)</t>
  </si>
  <si>
    <t>Roraima Group Guiana</t>
  </si>
  <si>
    <t>Gibbs and Barron (1993)</t>
  </si>
  <si>
    <t xml:space="preserve">Roper Group Northern Australia </t>
  </si>
  <si>
    <t>Donnelly and Crick (1988) Jackson andRaiswell (1991)</t>
  </si>
  <si>
    <t>Willyama Super-group Broken Hill,Australia</t>
  </si>
  <si>
    <t>Willis et al.-1983</t>
  </si>
  <si>
    <t>Earaheedy Group, Western Australia</t>
  </si>
  <si>
    <t>B. Krapez, 1998, Krapez and Martin (1999)</t>
  </si>
  <si>
    <t>Bresnahan Group, Western Australia</t>
  </si>
  <si>
    <t>B. Krapez, 1998; Krapez (1999)</t>
  </si>
  <si>
    <t>Mt Blair-Mt, Minnie Gp, Western Australia</t>
  </si>
  <si>
    <t>Cane River-Pin-gandy Gp, Western Australia</t>
  </si>
  <si>
    <t>Whitewater Group, Ontario, Canada</t>
  </si>
  <si>
    <t>Chris Fedo, 1998</t>
  </si>
  <si>
    <t>South Alligator Group Northern Australia</t>
  </si>
  <si>
    <t>Stewart Need-ham, 1998</t>
  </si>
  <si>
    <t>Biscay Formation, Kimberley, Western Australia</t>
  </si>
  <si>
    <t>David Blake, 1998</t>
  </si>
  <si>
    <t>Thomson Formation Minnesota</t>
  </si>
  <si>
    <t>Dick Ojakan- gas, 1998</t>
  </si>
  <si>
    <t>Ramah Group, Labrador</t>
  </si>
  <si>
    <t>Hayashi et al.1997</t>
  </si>
  <si>
    <t>Wandarry Group, Western Australia</t>
  </si>
  <si>
    <t>B. Krapez, 1998</t>
  </si>
  <si>
    <t>Robinson Range Group, Western Australia</t>
  </si>
  <si>
    <t>Rove Formation Minnesota</t>
  </si>
  <si>
    <t>Mininer Group, Western Australia</t>
  </si>
  <si>
    <t>Padbury Group, Western Australia</t>
  </si>
  <si>
    <t>Onega basin, Kolar-Karelia</t>
  </si>
  <si>
    <t>A. Slabunov, 1998, Puchtel et al.. 1998</t>
  </si>
  <si>
    <t>Horseshoe Group, Western Australia</t>
  </si>
  <si>
    <t>B. Krapez,1998 Krapez and Martin (1999)</t>
  </si>
  <si>
    <t>Piriwiri Group Zimbabwe</t>
  </si>
  <si>
    <t>Master (1991)</t>
  </si>
  <si>
    <t>Neds Creek Group, Western Australia</t>
  </si>
  <si>
    <t>Wyloo Group, Western Australia</t>
  </si>
  <si>
    <t>Namoona Group, Northern Australia</t>
  </si>
  <si>
    <t>Lomagundi Group Zimbabwe</t>
  </si>
  <si>
    <t>Mt Partridge Group Northern Australia</t>
  </si>
  <si>
    <t>Silverton Forma-tion South Africa</t>
  </si>
  <si>
    <t>Eriksson (1994; 1998)</t>
  </si>
  <si>
    <t>Chaibasa Forma-tion E India</t>
  </si>
  <si>
    <t>Bose et al. (1997); Rajat Mazumber 1998</t>
  </si>
  <si>
    <t>Huronian Supergroup Southern Canada</t>
  </si>
  <si>
    <t>Bennett et al. 1991</t>
  </si>
  <si>
    <t>Snowy Pass Super- Karlstrom et SE Wyoming</t>
  </si>
  <si>
    <t>al. (1983)</t>
  </si>
  <si>
    <t>Hamersley Super-group, Western Australia</t>
  </si>
  <si>
    <t>Barley et al.-1997, Mark Barley, 1998</t>
  </si>
  <si>
    <t>Campbelland Subgroup, Ghaap Group, Prieska, South Africa</t>
  </si>
  <si>
    <t>Altermann and Siegfried (1997); W. Altermann 1997</t>
  </si>
  <si>
    <t>Schmidtsdrif, Subgroup Ghaap Group Prieska, South Aftica</t>
  </si>
  <si>
    <t>Woodburn Lake, Group, Canada (Baffin Isl)</t>
  </si>
  <si>
    <t>Eva Zaleski, 1998</t>
  </si>
  <si>
    <t>Sukhopit Group Yenisey Ridge, Siberia</t>
  </si>
  <si>
    <t>700-550</t>
  </si>
  <si>
    <t>MAXIMUM AGE Cumulative size new</t>
  </si>
  <si>
    <t>MINIMUM Cumulative size new</t>
  </si>
  <si>
    <t>SORTED MINIMUM AGE</t>
  </si>
  <si>
    <t>SORTED MAXIMUM AGE</t>
  </si>
  <si>
    <t>Average AGE</t>
  </si>
  <si>
    <t>MINIMUM</t>
  </si>
  <si>
    <t>Summative</t>
  </si>
  <si>
    <t>MIN AGE</t>
  </si>
  <si>
    <t>MAX AGE</t>
  </si>
  <si>
    <t>AREA</t>
  </si>
  <si>
    <t>Summative AREA</t>
  </si>
  <si>
    <t>Summative thickness</t>
  </si>
  <si>
    <t>THICKNESS</t>
  </si>
  <si>
    <t>Negaunee Iron Formation</t>
  </si>
  <si>
    <t>Wompay orogen</t>
  </si>
  <si>
    <t>Hoffman et al. 2011 Can. J. Earth Sci. 48, 281−293</t>
  </si>
  <si>
    <t>Coronation Supergroup</t>
  </si>
  <si>
    <t>correlation with just above upper cherty</t>
  </si>
  <si>
    <t>tuff in black shale (Fontano Fm) conformably overlying ferrugenous sandstone of the upper Tree River Fm ( Hoffman et al. 2011).</t>
  </si>
  <si>
    <t xml:space="preserve"> Tree River Fm-ferrugenous sandstone so exlcuded</t>
  </si>
  <si>
    <t>Excluded:</t>
  </si>
  <si>
    <t>Liaohe may not actually be iron formation?   Couldn't find any papers…ONLY ARCHEAN IF See: Li, Z., Chen, B., &amp; Yan, X. (2018). The Liaohe Group: An insight into the Paleoproterozoic tectonic evolution of the Jiao–Liao–Ji Belt, North China Craton. Precambrian Research. doi:10.1016/j.precamres.2018.01.009  87. Luo Y, Sun M, Zhao G-C, Li S-Z, Xu P, Ye K, and Xia X-P (2004) LA-ICP-MS U–Pb zircon ages of the Liaohe Group in the eastern block of the North China craton: Constraints on....  searched for paleoproterozoic ironformations china, and found the: Lüliang Group iron formation</t>
  </si>
  <si>
    <t>Based on age of 1885.8±1.9(2.0)[2.8]</t>
  </si>
  <si>
    <t>Dahl, P.S., Holm, D.K., Gardner, E.T., Hubacher, F.A., Foland, K.A., 1999. New constraints on the timing of Early Proterozoic tectonism in the Black Hills (South Dakota), with implications for docking of the Wyoming province with Laurentia. Geol. Soc. Am. Bull. 111, 1335–1349.</t>
  </si>
  <si>
    <t>Findlay, J.M., Parrish, R.R., Birkett, T.C. and Watanabe, D.H., 1995. U–Pb ages from the Nimish Formation and Montagnais glomeroporphyritic gabbro of the central New Québec Orogen, Canada. Canadian Journal of Earth Sciences, 32(8), pp.1208-1220.</t>
  </si>
  <si>
    <t>Fralick, P., Davis, D.W. and Kissin, S.A., 2002. The age of the Gunflint Formation, Ontario, Canada: single zircon U-Pb age determinations from reworked volcanic ash. Canadian Journal of Earth Sciences, 39(7), pp.1085-1091.</t>
  </si>
  <si>
    <t>Hodgskiss, M.S., Dagnaud, O.M., Frost, J.L., Halverson, G.P., Schmitz, M.D., Swanson-Hysell, N.L. and Sperling, E.A., 2019. New insights on the Orosirian carbon cycle, early Cyanobacteria, and the assembly of Laurentia from the Paleoproterozoic Belcher Group. Earth and Planetary Science Letters, 520, pp.141-152.</t>
  </si>
  <si>
    <t xml:space="preserve">Laajoki K and Saikkonen R (1977) On the geology and geochemistry of the Precambrian iron formations in Va ̈yryla ̈nkyla ̈, South Puolanka area, Finland. Bulletin of the Geological Survey of Finland 292: 137. </t>
  </si>
  <si>
    <t xml:space="preserve">Mapeo RBM, Armstrong RA, and Kampunzu AB (2001) SHRIMP U–Pb zircon geochronology of gneisses from the Gweta borehole, northeast Botswana: Implications for the Palaeoproterozoic Magondi belt in southern Africa. Geological Magazine 138: 299–308. </t>
  </si>
  <si>
    <t>Pietrzak-Renaud, N. and Davis, D., 2014. U–Pb geochronology of baddeleyite from the Belleview metadiabase: Age and geotectonic implications for the Negaunee Iron Formation, Michigan. Precambrian research, 250, pp.1-5.</t>
  </si>
  <si>
    <t>Rasmussen, B., Fletcher, I.R., Bekker, A., Muhling, J.R., Gregory, C.J. and Thorne, A.M., 2012. Deposition of 1.88-billion-year-old iron formations as a consequence of rapid crustal growth. Nature, 484(7395), pp.498-501.</t>
  </si>
  <si>
    <t>Schneider, D.A., Bickford, M.E., Cannon, W.F., Schulz, K.J. and Hamilton, M.A., 2002. Age of volcanic rocks and syndepositional iron formations, Marquette Range Supergroup: implications for the tectonic setting of Paleoproterozoic iron formations of the Lake Superior region. Canadian Journal of Earth Sciences, 39(6), pp.999-1012.</t>
  </si>
  <si>
    <t xml:space="preserve">Tsikos H, Beukes NJ, Moore JM, and Harris C (2003) Deposition, diagenesis, and secondary enrichment of metals in the Paleproterozoic Hotazel Iron Formation, Kalahari manganese field, South Africa. Economic Geology 98: 1449–1462. </t>
  </si>
  <si>
    <t>Mukhopadhyay, J., Gutzmer, J., Beukes, N.J. and Bhattacharya, H.N., 2008. Geology and genesis of the major banded iron formation-hosted high-grade iron ore deposits of India.</t>
  </si>
  <si>
    <t>Oliveira, E.P., Mello, E.F. and McNaughton, N., 2002. Reconnaissance U–Pb geochronology of Precambrian quartzites from the Caldeirão belt and their basement, NE São Francisco Craton, Bahia, Brazil: implications for the early evolution of the Paleoproterozoic Itabuna–Salvador–Curaçá orogen. Journal of South American Earth Sciences, 15(3), pp.349-362.</t>
  </si>
  <si>
    <t>Southwick, D.L., Morey, G.B., Christopher, J.M., McSwiggen, P.L. and Boerboom, T.J., 2005. RI-63 Preliminary description and interpretation of the" Hattenberger" deep test well, Carlton County, Minnesota.</t>
  </si>
  <si>
    <t xml:space="preserve">Tsikos H and Moore JM (1997) Petrography and geochemistry of the Paleoproterozoic Hotazel Iron-Formation, Kalahari manganese field, South Africa: Implications for Precambrian manganese metallogenesis. Economic Geology 92: 87–97. </t>
  </si>
  <si>
    <t xml:space="preserve">Berge JW, Johansson K, and Jack J (1977) Geology and origin of the hematite ores of the Nimba Range, Liberia. Economic Geology 72: 582–607. </t>
  </si>
  <si>
    <t xml:space="preserve"> Master S (1991) Stratigraphy, tectonic setting, and mineralization of the Early Proterozoic Magondi Supergroup, Zimbabwe: A review. Economic Geology Research Unit Information Circular 238, 75 p. Johannesburg: University of Witwatersrand. </t>
  </si>
  <si>
    <t xml:space="preserve">Mucke A (2005) The Nigerian manganese-rich iron-formations and their host rocks – From sedimentation to metamorphism. Journal of African Earth Sciences 41: 407–436. </t>
  </si>
  <si>
    <t>Sakko M and Laajoki K (1975) Whole rock Pb–Pb isochron age for the Pa ̈a ̈kko ̈ iron formation in Va ̈yryla ̈nkyla ̈, South Puolanka area, Finland. Bulletin of the Geological Society of Finland 47: 113–116.</t>
  </si>
  <si>
    <t xml:space="preserve"> "Appear to have been deposited during brief quiesent periods of volcanism, and thus more in common with algoman type than superior". Bayley and James </t>
  </si>
  <si>
    <t xml:space="preserve">"The Riverton Iron 'Formation,the principaliron-bearingunit,isabout150to600feetthick (Bayley and James), "The Vulcan iron formatino varies in thickness from about 300" to 750 feet. </t>
  </si>
  <si>
    <t xml:space="preserve">The SHRIMP weighted age calculated for 7 grains was 2148 ± 9 Ma Pb-Pb, unclear relationship to iron formation based on other ages and deformation K-Ar, estimate 2170-2080 Ma. The geochronological data indicate a Palaeoproterozoic evolution for this belt, between 2170 Ma and 2080 Ma (Oliveira et al., 2002;Oliveira et al., 2010;Oliveira et al., 2011). </t>
  </si>
  <si>
    <t xml:space="preserve"> Laajoki K and Saikkonen R (1977) On the geology and geochemistry of the Precambrian iron formations in Va ̈yryla ̈nkyla ̈, South Puolanka area, Finland. Bulletin of the Geological Survey of Finland 292: 137. </t>
  </si>
  <si>
    <t>150 km long by 7km wide, "minor banded iron formation) were deposited onto a continental shelf"</t>
  </si>
  <si>
    <t xml:space="preserve">The iron-formation is relatively thin (max. 15 m) (annor et al 1997) "extends ridges over a distance of about 6 km", wifth is 500m from map." schist belts occupy a N/S trending area being more than 400 km broad and more than 1000 km long (Mucke) In the latter schist belt, a considerable thickness of the silicate facies of at least 60 m was pene- trated by a borehole during an exploration drilling for iron in 1972 (Adekoya, 1988). </t>
  </si>
  <si>
    <t>Billa M., Feybesse, J.L., Bronner, G., Lerouge, C., Mile ́si, J.P., Traore ́, S., Diaby, S., 1999. Les formations a` quartzites rubane ́s ferrugineux des Monts Nimba et du Simandou: des unite ́s empile ́es tectoniquement, sur un «soubassement» plutonique Arche ́en (craton de Ke ́ne ́ma-Man), lors de l oroge`ne eburne ́en. Comptes Rendus Acade ́mie Sciences, Paris Sciences Terre Plane`tes 329: 287–294.</t>
  </si>
  <si>
    <t>Thought to be equivalent of the 2.3 Ga Birimian Sequence, and reactivated by ~2 Ga (annor, 1997; Ferre et al 1996)</t>
  </si>
  <si>
    <t xml:space="preserve">As presented in Bowring et al 1984. Gibraltar Fm constrained between 1882 ± 1 Ma (Hoffman et al., 2011) and 1865 ± 15 Ma (Bowring et al., 1984)" Bowring SA, Van Schmus WR, and Hoffman PF (1984) U–Pb zircon ages from Athapuscow aulacogen, East Arm of Great Slave Lake, N.W.T. Canadian Journal of Earth Sciences 21: 1315–1324. </t>
  </si>
  <si>
    <t>As currently mapped , outcrop of the Kediat Ijil covers approximately 170 km2.  (Taylor et al 2016)</t>
  </si>
  <si>
    <t>In addition, based on detailed geochronological studies of the overlying metavolcanic rocks and interbedded clastic metasedimentary rocks (Liu et al., 2012;  Wang et al., 2015), the depositional age of the Yuanjiacun BIF can be constrained to ~2.38 to 2.21 Ga, which contrasts with the general paucity of giant BIF deposition worldwide during the time interval of 2.4 to 2.0 Ga</t>
  </si>
  <si>
    <t>Beck, J.W., 1988, Implications for early Proterozoic tectonics and the origin of continental flood basalts, based on combined trace element and neodymium/strontium isotopic studies of mafic igneous rocks of the Penokean Lake Superior belt, Minnesota, Wisconsin and Michigan: Minneapolis, Minn., University of Minnesota, Ph.D. dissertation, 262 p.</t>
  </si>
  <si>
    <t>Oliveira et al., 2011</t>
  </si>
  <si>
    <t>Johnson BJ (1990) Stratigraphy and structure of the Early Proterozoic Wilson Island Group, East Arm thrust-fold belt, N.W.T. Canadian Journal of Earth Sciences 27: 552–569.</t>
  </si>
  <si>
    <t xml:space="preserve">Bronner G, Chauvel J-J, and Triboulet C (1992) Les formations ferrife`res du Pre ́cambrien de Mauritanie: Origine et evolution des quartzites ferrugineux. Chronique de la Re ́cherche Minie`re 508: 3–27. </t>
  </si>
  <si>
    <t>Cornell DH, Schu ̈tte SS, and Eglington BL (1996) The Ongeluk basaltic andesite formation in Griqualand West, South Africa: Submarine alteration in a 2222 Ma Proterozoic sea. Precambrian Research 79: 101–123.</t>
  </si>
  <si>
    <t xml:space="preserve">Dorland HC (1999) Paleoproterozoic Laterites, Red Beds and Ironstones of the Pretoria Group with Reference to the History of Atmospheric Oxygen. Unpublished MSc Thesis, Rand Afrikaans University, South Africa, 147 p. </t>
  </si>
  <si>
    <t xml:space="preserve">Morey GB and Southwick DL (1995) Allostratigraphic relationships of Early Proterozoic iron-formations in the Lake Superior region. Economic Geology 90: 1983–1993. </t>
  </si>
  <si>
    <t>Wang;, Kurt O. Konhauser; Lianchang Zhang, Depositional Environment of the Paleoproterozoic Yuanjiacun Banded Iron Formation in Shanxi Province, China Economic Geology (2015) 110 (6): 1515–1539. https://doi.org/10.2113/econgeo.110.6.1515</t>
  </si>
  <si>
    <t xml:space="preserve">Jordan VH (1972) Die Minas-Gruppe in Nordost-Bahia, Brasilien. Geologische Rundschau 61: 441–469. </t>
  </si>
  <si>
    <t>REFERENCES</t>
  </si>
  <si>
    <t xml:space="preserve">Force, E., 1983. Geology of Nimba County Liberia. U.S. Geol. Surv. Bull. 1540: 27p        </t>
  </si>
  <si>
    <t>Peterman 1966, Morey and Southwick 1993</t>
  </si>
  <si>
    <t>1:500 000 State interpreted bedrock geology of Western Australia, 2016: Unique ID: 118E6B1C-12B7-481A-9804-DD32F0F194B2</t>
  </si>
  <si>
    <t>Garrity, C.P., 2009. Database of the geologic map of North America-adapted from the map by JC reed, Jr. and others (2005).</t>
  </si>
  <si>
    <t>Reed, R.C. and Daniels, J., 1987. Bedrock geology of Northern Michigan: Michigan Department of Natural Resources. Geological Survey Division, scale, 1(500,000).</t>
  </si>
  <si>
    <t xml:space="preserve">Schweigart H (1965) Genesis of the iron ores of the Pretoria Series, South Africa. Economic Geology 60: 269  298. </t>
  </si>
  <si>
    <t xml:space="preserve"> Billa M, Feybesse J-L, Bronner G, et al. (1999) Les formations a` quartzites rubane ́s ferrugineux des Monts Nimba et du Simandou: Des unite ́s empile ́es tectoniquement, sur un “soubassement” plutonique Arche ́en (craton de Ke ́ne ́ma-Man), lors de l’oroge`ne E ́burne ́en. Comptes Rendus de l’Acade ́mie des Sciences, Series IIA 329: 287–294. </t>
  </si>
  <si>
    <t xml:space="preserve">Bronner G and Chauvel J-J (1979) Precambrian banded iron-formations of the Ijil Group (Kediat Ijil, Reguibat Shield Mauritania). Economic Geology 74: 77–94. </t>
  </si>
  <si>
    <t xml:space="preserve">Luo Y, Sun M, Zhao G-C, Li S-Z, Xu P, Ye K, and Xia X-P (2004) LA-ICP-MS U–Pb zircon ages of the Liaohe Group in the eastern block of the North China craton: Constraints on </t>
  </si>
  <si>
    <t xml:space="preserve"> Oliveira EP, Mello EF, and McNaughton N (2002) Reconnaissance U–Pb geochronology of Precambrian quartzites from the Caldeira ̃o belt and their basement, NE Sa ̃o Francisco craton, Bahia, Brazil: Implications for the early evolution of the Paleoproterozoic Itabuna-Salvador-Curac ̧a ́ orogen. Journal of South American Earth Sciences 15: 349–362. </t>
  </si>
  <si>
    <t xml:space="preserve">Hannah JL, BekkerA, Stein HJ, Markey RJ, and Holland HD (2004) Primitive Os and 2316 Ma age for marine shale: Implications for Paleoproterozoic </t>
  </si>
  <si>
    <t xml:space="preserve"> Dorland HC (2004) Provenance Ages and Timing of Sedimentation of Selected Neoarchean and Paleoproterozoic Successions on the Kaapvaal Craton. Unpublished PhD Thesis, </t>
  </si>
  <si>
    <t>Cannon, W.F., LaBerge, G.L., Klasner, J.S. and Schulz, K.J., 2008. The Gogebic iron range—A sample of the northern margin of the Penokean fold and thrust belt (No. 1730). US Geological Survey.</t>
  </si>
  <si>
    <t xml:space="preserve">Hotchkiss (1919). Geology of the Gogebic range and its relation to recent mining developments. Engineering and Mining Journal, 108, 443–452. </t>
  </si>
  <si>
    <t xml:space="preserve">Laybourn, D. P. (1979). The geology and metamorphism of the Ironwood iron-formation, Gogebic range, Wisconsin. (Doctoral dissertation). University of Minnesota. </t>
  </si>
  <si>
    <t>Prinz, W. C. (1981). Geologic map of the Gogebic range-Watersmeet area, Gogebic and Ontonagon Counties. (No. 1365).</t>
  </si>
  <si>
    <t xml:space="preserve">Pufahl, P. K., &amp; Fralick, P. W. (2004). Depositional controls on Palaeoproterozoic iron formation accumulation, Gogebic range, Lake Supe- rior region, USA. Sedimentology, 51(4), 791–808. https://doi.org/10.1111/j.1365-3091.2004.00651.x </t>
  </si>
  <si>
    <t xml:space="preserve">Schmidt, R. G. (1980). The Marquette range Supergroup in the Gogebic iron district, Michigan and Wisconsin; B; 1460. U.S. Govt. Print. Off. </t>
  </si>
  <si>
    <t xml:space="preserve">Sims, P. K., Peterman, Z. E., Prinz, W. C., &amp; Benedict, F. C. (1984). Geology, geochemistry, and age of Archean and Early Proterozoic rocks in the Marinesco-Watersmeet area, northern Michigan. (Paper, 1292-A, A1–A41). US Geol. Surv. Prof. </t>
  </si>
  <si>
    <t>Trent, V. A. (1973). Geologic map of the Marenisco and Wakefield NE quadrangles Gogebic County. (No. 73-280).</t>
  </si>
  <si>
    <t>Fralick, P., Planavsky, N., Burton, J., Jarvis, I., Addison, W.D., Barrett, T.J. and Brumpton, G.R., 2017. Geochemistry of Paleoproterozoic Gunflint Formation carbonate: Implications for hydrosphere-atmosphere evolution. Precambrian Research, 290, pp.126-146.</t>
  </si>
  <si>
    <t xml:space="preserve">Hemming, S. R., McLennan, S. M., &amp; Hanson, G. N. (1995). Geochemical and Nd/Pb isotopic evidence for the provenance of the Early Proterozoic Virginia Formation, MN: Implications for the tectonic setting of the Animikie Basin. The Journal of Geology, 103, 147–168. https://doi.org/10.1086/629733 </t>
  </si>
  <si>
    <t>Duncanson, S., Brengman, L., Johnson, J., Eyster, A., Fournelle, J., Moy, A., 2024. Reconstructing diagenetic mineral reactions from silicified horizons of the Paleoproterozoic Biwabik Iron Formation, Minnesota. American Mineralogist.</t>
  </si>
  <si>
    <t xml:space="preserve">Hamilton, M.A., Buchan, K.L., Ernst. R.E., Stott, G.M., 2009. Widespread and short- lived 1870 Ma mafic magmatism along the northern Superior craton margin. 2009 Joint Assembly (AGU, CGU, GS, GAC, IAH–CNC, MAC, MSA, SEG), 24–27 May 2009, Toronto, Ont., Canada [Abstract]. </t>
  </si>
  <si>
    <t>Chevé, S.R. and Machado, N., 1988. Reinvestigation of the Castignon Lake carbonatite complex, Labrador Trough, New Quebec. Réunion annuelle, Programme et résumés. Association géologique du Canada-Association minéralogique du Canada, 14, p.A119.</t>
  </si>
  <si>
    <t>Conliffe, J., 2017. Geology and geochemistry of the Sokoman Formation in the Gabbro Lake area, eastern Labrador trough. Newfoundland and Labrador Department of Natural Resources Geological Survey, Report, 17, pp.147-168.</t>
  </si>
  <si>
    <t>Dressler, B. 1979. RCgion de la Fosse du Labrador (56'30' - 57' 15'). Ministkre des Richesses Naturelles du QuCbec, RG-195</t>
  </si>
  <si>
    <t>Edwards, C.T., Pufahl, P.K., Hiatt, E.E. and Kyser, T.K., 2012. Paleoenvironmental and taphonomic controls on the occurrence of Paleoproterozoic microbial communities in the 1.88 Ga Ferriman Group, Labrador Trough, Canada. Precambrian Research, 212, pp.91-106.</t>
  </si>
  <si>
    <t>Findlay, J.M., Fowler, T.D. and Birkett, T.C. 1990: Geology of the Howse Lake area,western Labrador. Geological Survey of Canada, Open File 2204, 70 pages.</t>
  </si>
  <si>
    <t>Machado, N., Clark, T., David, J. and Goulet, N., 1997. U–Pb ages for magmatism and deformation in the New Quebec Orogen. Canadian Journal of Earth Sciences, 34(5), pp.716-723.</t>
  </si>
  <si>
    <t xml:space="preserve">Machado, N., Perreault, S., &amp; Hynes, A. (1988). Timing of continental collision in the northern Labrador Trough: Evidence from U - Pb geochronology. Geological Association of Canada-Mineralogical Association of Canada, Program and Abstracts, 13, A76. </t>
  </si>
  <si>
    <t xml:space="preserve">Wardle, R.J., 1982. Geology of the eastern margin of the Labrador Trough Newfound- land Mineral Development Division Map 82-5. St. John’s, Newfoundland, Scale 1:100,000. </t>
  </si>
  <si>
    <t>Gair, J. E., &amp; Wier, K. L. (1956). Geology of the Kiernan quad. Iron Co. U.S. Geological Survey.</t>
  </si>
  <si>
    <t>Gair, J.E. and Han, T.M., 1975. Bedrock geology and ore deposits of the Palmer Quadrangle, Marquette County, Michigan, with a section on the Empire Mine (No. 769). US Govt. Print. Off.,.</t>
  </si>
  <si>
    <t xml:space="preserve">Rasmussen, B., Fletcher, I. R., Bekker, A., Muhling, J. R., Gregory, C. J., &amp; Thorne, A. M. (2012). Deposition of 1.88-billion-year-old iron formations as a consequence of rapid crustal growth. Nature, 484(7395), 498–501. https://doi.org/10.1038/nature11021 </t>
  </si>
  <si>
    <t>Bayley, R.W. and James, H.T., 1973. Precambrian iron-formations of the United States. Economic Geology, 68(7), pp.934-959.</t>
  </si>
  <si>
    <t>James HL, Dutton CE, Pettijohn FJ, and Wier KL (1968) Geology and ore deposits of the Iron River-Crystal Falls district, Iron County, Michigan. U.S. Geological Survey Professional Paper 570, 134 p.</t>
  </si>
  <si>
    <t xml:space="preserve">Cannon, W. F., &amp; Klasner, J. S. (1976). Geological map and geophysical interpretation of the Witch Lake Quadrangle, Marquette, Iron, and Baraga counties (No. 987). </t>
  </si>
  <si>
    <t>Bayley, R.W., 1959. Geology of the Lake Mary Quadrangle, Iron County, Michigan (No. 1077). US Government Printing Office.</t>
  </si>
  <si>
    <t xml:space="preserve">Gair, J.E., and Wier, K.L. 1956. Geology of the Kiernan quad., Iron Co., MI. U.S. Geological Survey, Bulletin 1044. </t>
  </si>
  <si>
    <t>Schulz, K. J., &amp; Cannon, W. F. (2007). The Penokean orogeny in the Lake Superior region. Precambrian Research, 157, 4–25.</t>
  </si>
  <si>
    <t>James HL (1983) Distribution of banded iron-formations in space and time. In: Trendall AF and Morris RC (eds.) Iron-formation: Facts and problems. Developments in Precambrian Geology, vol. 6, pp. 471–490. Amsterdam: Elsevier.</t>
  </si>
  <si>
    <t>Addison, W.D., Brumpton, G.R., Vallini, D.A., McNaughton, N.J., Davis, D.W., Kissin, S.A., Fralick, P.W. and Hammond, A.L., 2005. Discovery of distal ejecta from the 1850 Ma Sudbury impact event. Geology, 33(3), pp.193-196.</t>
  </si>
  <si>
    <t>Adekoya, J.A., 1988. Precambrian Iron Formation of Northwestern Nigeria. Precambrian Geology of Nigeria, GSN Publication, Kaduna, Nigeria, pp.195-210.</t>
  </si>
  <si>
    <t>Aftabi, A., Atapour, H., Mohseni, S. and Babaki, A., 2021. Geochemical discrimination among different types of banded iron formations (BIFs): A comparative review. Ore Geology Reviews, 136, p.104244.</t>
  </si>
  <si>
    <t>Annor, A.E., Olobaniyi, S.B. and Mücke, A., 1997. Silicate facies iron-formation of the Egbe-Isanlu Palaeoproterozoic schist belt, southwest Nigeria. Journal of African Earth Sciences, 24(1-2), pp.39-50.</t>
  </si>
  <si>
    <t>Bau, M., Romer, R.L., Lüders, V. and Beukes, N.J., 1999. Pb, O, and C isotopes in silicified Mooidraai dolomite (Transvaal Supergroup, South Africa): implications for the composition of Paleoproterozoic seawater and ‘dating’the increase of oxygen in the Precambrian atmosphere. Earth and Planetary Science Letters, 174(1-2), pp.43-57.</t>
  </si>
  <si>
    <t>Bekker, A., Krapež, B. and Karhu, J.A., 2020. Correlation of the stratigraphic cover of the Pilbara and Kaapvaal cratons recording the lead up to Paleoproterozoic Icehouse and the GOE. Earth-Science Reviews, 211, p.103389.</t>
  </si>
  <si>
    <t>Bekker, A., Master, S., Karhu, J.A. and Verhagen, B.T., 2001, May. Chemostratigraphy of the Paleoproterozoic Magondi Supergroup, Zimbabwe. In Eleventh Annual VM Goldschmidt Conference (p. 3772).</t>
  </si>
  <si>
    <t>Berge, J.W., Johansson, K. and Jack, J., 1977. Geology and origin of the hematite ores of the Nimba Range, Liberia. Economic Geology, 72(4), pp.582-607.</t>
  </si>
  <si>
    <t>Bodenlos, A.J., 1950. Magnesite deposits of central Ceará, Brazil (No. 962-C). US Govt. Print. Off.,.</t>
  </si>
  <si>
    <t>Bowring, S.A., Schmus, W.V. and Hoffman, P.F., 1984. U–Pb zircon ages from Athapuscow aulacogen, east arm of Great Slave Lake, NWT, Canada. Canadian Journal of Earth Sciences, 21(11), pp.1315-1324.</t>
  </si>
  <si>
    <t>Bronner G, Chauvel J-J, and Triboulet C (1992) Les formations ferrife`res du Pre ́cambrien de Mauritanie: Origine et evolution des quartzites ferrugineux. Chronique de la Re ́cherche Minie`re 508: 3–27.</t>
  </si>
  <si>
    <t>Bronner, G. and Chauvel, J.J., 1979. Precambrian banded iron-formations of the Ijil Group (Kediat Ijil, Reguibat Shield, Mauritania). Economic Geology, 74(1), pp.77-94.</t>
  </si>
  <si>
    <t>Bunting, J. A. (1986). Geology of the eastern part of the Nabberu Basin Western Australia. Geological Survey of Western Australia Bulletin,</t>
  </si>
  <si>
    <t>Cannon, W. F., &amp; Klasner, J. S. (1976). Geological map and geophysical interpretation of the Witch Lake Quadrangle, Marquette, Iron, and Baraga counties (No. 987).</t>
  </si>
  <si>
    <t>Catuneanu, O. and Eriksson, P.G., 2002. Sequence stratigraphy of the Precambrian Rooihoogte–Timeball Hill rift succession, Transvaal Basin, South Africa. Sedimentary Geology, 147(1-2), pp.71-88.</t>
  </si>
  <si>
    <t>Chevé, S., 1993. Cadre géologique du complexe carbonatitique du lac Castignon, fosse du Labrador. Le Secteur, Ministere de l'energie et des ressources.</t>
  </si>
  <si>
    <t>Dahl, P.S., et al., 2006. 2480 Ma mafic magmatism in the northern Black Hills, South Dakota: a new link connecting the Wyoming and Superior cratons. Can. J. Earth Sci. 43, 1579–1600.</t>
  </si>
  <si>
    <t>DeWitt, E., Redden, J.A., Wilson, A.B., Buscher, D. and Dersch, J.S., 1986. Mineral resource potential and geology of the Black Hills National Forest, South Dakota and Wyoming with a section on salable commodities (No. 1580). US Geological Survey.</t>
  </si>
  <si>
    <t>Dong, Y., Bi, J.H., Xing, D.H., Ge, W.C., Yang, H., Hao, Y.J., Ji, Z. and Jing, Y., 2019. Geochronology and geochemistry of Liaohe Group and Liaoji granitoid in the Jiao-Liao-Ji Belt, North China Craton: Implications for petrogenesis and tectonic evolution. Precambrian Research, 332, p.105399.</t>
  </si>
  <si>
    <t>Dorland HC (1999) Paleoproterozoic Laterites, Red Beds and Ironstones of the Pretoria Group with Reference to the History of Atmospheric Oxygen. Unpublished MSc Thesis, Rand Afrikaans University, South Africa, 147 p.</t>
  </si>
  <si>
    <t>Dorland HC (2004) Provenance Ages and Timing of Sedimentation of Selected Neoarchean and Paleoproterozoic Successions on the Kaapvaal Craton. Unpublished PhD Thesis,</t>
  </si>
  <si>
    <t>Dorland, H.C., 2012. Paleoproterozoic laterites, red beds and ironstones of the Pretoria Group with reference to the history of atmospheric oxygen. University of Johannesburg (South Africa).</t>
  </si>
  <si>
    <t>Evans, J.L., 1978. GEOLOGICAL MAPPING OF THE DYKE LAKE-ASTRAY LAKE AREA. Report of Activities, 78(1), p.16.</t>
  </si>
  <si>
    <t>Fairey, B., Tsikos, H., Corfu, F. and Polteau, S., 2013. U–Pb systematics in carbonates of the Postmasburg Group, Transvaal Supergroup, South Africa: primary versus metasomatic controls. Precambrian Research, 231, pp.194-205.</t>
  </si>
  <si>
    <t>Fantone, K., 1983. Gcochemistry and petrology of the carbonate iron-formations and ferruginous cherts of the northcastern Black Hills, South Dakota: Rapid City, S. Dak., South Dakota School of Mines and Technology MS thesis.</t>
  </si>
  <si>
    <t>Ferré, E., Déléris, J., Bouchez, J.L., Lar, A.U. and Peucat, J.J., 1996. The Pan-African reactivation of Eburnean and Archaean provinces in Nigeria: structural and isotopic data. Journal of the Geological Society, 153(5), pp.719-728.</t>
  </si>
  <si>
    <t>Frei, R., Dahl, P.S., Duke, E.F., Frei, K.M., Hansen, T.R., Frandsson, M.M. and Jensen, L.A., 2008. Trace element and isotopic characterization of Neoarchean and Paleoproterozoic iron formations in the Black Hills (South Dakota, USA): assessment of chemical change during 2.9–1.9 Ga deposition bracketing the 2.4–2.2 Ga first rise of atmospheric oxygen. Precambrian Research, 162(3-4), pp.441-474.</t>
  </si>
  <si>
    <t>Gair, J.E., and Wier, K.L. 1956. Geology of the Kiernan quad., Iron Co., MI. U.S. Geological Survey, Bulletin 1044.</t>
  </si>
  <si>
    <t>Gong, Z. and Evans, D.A., 2021. Constraints on the Precambrian paleogeography of West African Craton. Ancient Supercontinents and the Paleogeography of Earth, pp.423-443.</t>
  </si>
  <si>
    <t>Goode ADT, Hall WDM, and Bunting JA (1983) The Nabberu basin of Western Australia. In: Trendall AF and Morris RC (eds.) Iron-Formation: Facts and Problems. Developments in Precambrian Geology, vol. 6, pp. 295–323. Amsterdam: Elsevier.</t>
  </si>
  <si>
    <t xml:space="preserve">  Rasmussen B and Fletcher IR (2002) Indirect dating of mafic intrusions by SHRIMP U–Pb analysis of monazite in contact metamorphosed shale: An example from the Palaeoproterozoic Capricorn orogen, Western Australia. Earth and Planetary Science Letters 197: 287–299.</t>
  </si>
  <si>
    <t xml:space="preserve"> Pirajno F, Hocking RM, Reddy SM, and Jones AJ (2009) A review of the geology and geodynamic evolution of the Palaeoproterozoic Earaheedy Basin, Western Australia. Earth- Science Reviews 94: 39–77  </t>
  </si>
  <si>
    <t>Gumsley, A.P., Chamberlain, K.R., Bleeker, W., Söderlund, U., De Kock, M.O., Larsson, E.R. and Bekker, A., 2017. Timing and tempo of the Great Oxidation Event. Proceedings of the National Academy of Sciences, 114(8), pp.1811-1816.</t>
  </si>
  <si>
    <t>Hamilton, M.A., Buchan, K.L., Ernst. R.E., Stott, G.M., 2009. Widespread and short- lived 1870 Ma mafic magmatism along the northern Superior craton margin. 2009 Joint Assembly, 24–27 May 2009, Toronto, Ont., Canada [Abstract].</t>
  </si>
  <si>
    <t>Hannah, J.L., Bekker, A., Stein, H.J., Markey, R.J. and Holland, H.D., 2004. Primitive Os and 2316 Ma age for marine shale: implications for Paleoproterozoic glacial events and the rise of atmospheric oxygen. Earth and Planetary Science Letters, 225(1-2), pp.43-52.</t>
  </si>
  <si>
    <t>Hemming, S. R., McLennan, S. M., &amp; Hanson, G. N. (1995). Geochemical and Nd/Pb isotopic evidence for the provenance of the Early Proterozoic Virginia Formation, MN: Implications for the tectonic setting of the Animikie Basin. The Journal of Geology, 103, 147–168. https://doi.org/10.1086/629733</t>
  </si>
  <si>
    <t>Hodgskiss, M.S.W. and Sperling, E.A., 2019. Stratigraphy and shale geochemistry of the Belcher Group, Belcher Islands, southern Nunavut. Summary of Activities, pp.65-78.</t>
  </si>
  <si>
    <t>Hotchkiss (1919). Geology of the Gogebic range and its relation to recent mining developments. Engineering and Mining Journal, 108, 443–452.</t>
  </si>
  <si>
    <t>James, H. L. (1954). Sedimentary facies of iron-formation. Economic Geology, 49(3), 235–293. https://doi.org/10.2113/gsecongeo.49.3.235</t>
  </si>
  <si>
    <t>Johnson, B.J., 1990. Stratigraphy and structure of the Early Proterozoic Wilson Island Group, East Arm thrust-fold belt, NWT. Canadian Journal of Earth Sciences, 27(4), pp.552-569.</t>
  </si>
  <si>
    <t>Jordan VH (1972) Die Minas-Gruppe in Nordost-Bahia, Brasilien. Geologische Rundschau 61: 441–469.</t>
  </si>
  <si>
    <t>Khan, I., Sahoo, P.R. and Rai, D.K., 2014. Proterozoic felsic volcanics in Alwar Basin of North Delhi Fold Belt, Rajasthan: implication for copper mineralization. Current Science, 106(1), pp.27-28.</t>
  </si>
  <si>
    <t>Kunzmann, M., Gutzmer, J., Beukes, N.J. and Halverson, G.P., 2014. Depositional environment and lithostratigraphy of the Paleoproterozoic Mooidraai Formation, Kalahari manganese field, South Africa. South African Journal of Geology, 117(2), pp.173-192.</t>
  </si>
  <si>
    <t>Kusky, T.M., 1991. Structural development of an Archean orogen, western Point Lake, northwest territories. Tectonics, 10(4), pp.820-841.</t>
  </si>
  <si>
    <t>Laajoki K and Saikkonen R (1977) On the geology and geochemistry of the Precambrian iron formations in Va ̈yryla ̈nkyla ̈, South Puolanka area, Finland. Bulletin of the Geological Survey of Finland 292: 137.</t>
  </si>
  <si>
    <t>LAAJOKI, KAUKO 1975: Rare-earth elements in Precambrian iron formations in Väyrylänkylä, South Puolanka area, Finland. Bull. Geol. Soc. Finland 47, 93—107.</t>
  </si>
  <si>
    <t>Laybourn, D. P. (1979). The geology and metamorphism of the Ironwood iron-formation, Gogebic range, Wisconsin. (Doctoral dissertation). University of Minnesota.</t>
  </si>
  <si>
    <t>Lenhardt, N., Eriksson, P.G., Catuneanu, O. and Bumby, A.J., 2012. Nature of and controls on volcanism in the ca. 2.32–2.06 Ga Pretoria Group, Transvaal Supergroup, Kaapvaal craton, South Africa. Precambrian Research, 214, pp.106-123.</t>
  </si>
  <si>
    <t>Li, Z., Chen, B. and Yan, X., 2019. The Liaohe Group: An insight into the Paleoproterozoic tectonic evolution of the Jiao–Liao–Ji Belt, North China Craton. Precambrian Research, 326, pp.174-195.</t>
  </si>
  <si>
    <t>Liu, S., Zhang, J., Li, Q., Zhang, L., Wang, W. and Yang, P., 2012. Geochemistry and U–Pb zircon ages of metamorphic volcanic rocks of the Paleoproterozoic Lüliang Complex and constraints on the evolution of the Trans-North China Orogen, North China Craton. Precambrian Research, 222, pp.173-190.</t>
  </si>
  <si>
    <t>Luo, Y., Sun, M., Zhao, G., Li, S., Xu, P., Ye, K. and Xia, X., 2004. LA-ICP-MS U–Pb zircon ages of the Liaohe Group in the Eastern Block of the North China Craton: constraints on the evolution of the Jiao-Liao-Ji Belt. Precambrian Research, 134(3-4), pp.349-371.</t>
  </si>
  <si>
    <t>Machado, N., Perreault, S., &amp; Hynes, A. (1988). Timing of continental collision in the northern Labrador Trough: Evidence from U - Pb geochronology. Geological Association of Canada-Mineralogical Association of Canada, Program and Abstracts, 13, A76.</t>
  </si>
  <si>
    <t>Manyeruke, T.D., Blenkinsop, T.G., Buchholz, P., Love, D., Oberthür, T., Vetter, U.K. and Davis, D.W., 2004. The age and petrology of the Chimbadzi Hill Intrusion, NW Zimbabwe: first evidence for early Paleoproterozoic magmatism in Zimbabwe. Journal of African Earth Sciences, 40(5), pp.281-292.</t>
  </si>
  <si>
    <t>Mapeo RBM, Armstrong RA, and Kampunzu AB (2001) SHRIMP U–Pb zircon geochronology of gneisses from the Gweta borehole, northeast Botswana: Implications for the Palaeoproterozoic Magondi belt in southern Africa. Geological Magazine 138: 299–308.</t>
  </si>
  <si>
    <t>Marsden, R.W., 1972. Cuyuna district. Geology of Minnesota: A Centennial Volume. Minnesota Geological Survey, St. Paul, pp.227-239.</t>
  </si>
  <si>
    <t>Master S (1991) Stratigraphy, tectonic setting, and mineralization of the Early Proterozoic Magondi Supergroup, Zimbabwe: A review. Economic Geology Research Unit Information Circular 238, 75 p. Johannesburg: University of Witwatersrand.</t>
  </si>
  <si>
    <t>Master, S., Bekker, A. and Hofmann, A., 2010. A review of the stratigraphy and geological setting of the Palaeoproterozoic Magondi Supergroup, Zimbabwe–Type locality for the Lomagundi carbon isotope excursion. Precambrian Research, 182(4), pp.254-273.</t>
  </si>
  <si>
    <t>Mehdi, M., Kumar, S. and Pant, N.C., 2015. Low grade metamorphism in the Lalsot-Bayana sub-basin of the North Delhi Fold Belt and its tectonic implication. Journal of the Geological Society of India, 85, pp.397-410.</t>
  </si>
  <si>
    <t>Morey GB and Southwick DL (1995) Allostratigraphic relationships of Early Proterozoic iron-formations in the Lake Superior region. Economic Geology 90: 1983–1993.</t>
  </si>
  <si>
    <t>Morey, G.B. and Southwick, D.L., 1993. Stratigraphic and sedimentological factors controlling the distribution of epigenetic manganese deposits in iron-formation of the Emily District, Cuyuna Iron Range, East-Central Minnesota. Economic geology, 88(1), pp.104-122.</t>
  </si>
  <si>
    <t>Morey, G.B., 1978. Lower and middle Precambrian stratigraphic nomenclature for east-central Minnesota, Minnesota Geological Survey. Report of Investigations, 21.</t>
  </si>
  <si>
    <t>Mücke, A., 2005. The Nigerian manganese-rich iron-formations and their host rocks—from sedimentation to metamorphism. Journal of African Earth Sciences, 41(5), pp.407-436.</t>
  </si>
  <si>
    <t>Ojakangas, R. W., Morey, G. B., &amp; Southwick, D. L. (2001). Paleoproterozoic basin development and sedimentation in the Lake Superior region, North America. Sedimentary Geology, 141–142, 319–341.</t>
  </si>
  <si>
    <t>Oliveira, E.P., Souza, Z.S., McNaughton, N.J., Lafon, J.M., Costa, F.G. and Figueiredo, A.M., 2011. The Rio Capim volcanic–plutonic–sedimentary belt, São Francisco Craton, Brazil: Geological, geochemical and isotopic evidence for oceanic arc accretion during Palaeoproterozoic continental collision. Gondwana Research, 19(3), pp.735-750.</t>
  </si>
  <si>
    <t>Oluyede, K., Ibrahim, G., Danbatta, U., Ogunleye, P. and Klötzli, U., 2021. Geochemistry and Petrogenetic Features of Metasediments in Northern Part of Kushaka and Birnin Gwari Schist Belts NW Nigeria. Geochemistry, 11(16).</t>
  </si>
  <si>
    <t>Peterman, Z.E., 1966. Rb-Sr dating of Middle Precambrian metasedimentary rocks of Minnesota. Geological Society of America Bulletin, 77(10), pp.1031-1044.</t>
  </si>
  <si>
    <t>Pufahl, P. K., &amp; Fralick, P. W. (2004). Depositional controls on Palaeoproterozoic iron formation accumulation, Gogebic range, Lake Supe- rior region, USA. Sedimentology, 51(4), 791–808. https://doi.org/10.1111/j.1365-3091.2004.00651.x</t>
  </si>
  <si>
    <t>Pufahl, P.K., 1996. Stratigraphic architecture of a Paleoproterozoic iron formation depositional system: the Gunflint, Mesabi and Cuyuna iron ranges (Doctoral dissertation).</t>
  </si>
  <si>
    <t>Pufahl, P.K., Anderson, S.L. and Hiatt, E.E., 2014. Dynamic sedimentation of Paleoproterozoic continental margin iron formation, Labrador Trough, Canada: Paleoenvironments and sequence stratigraphy. Sedimentary Geology, 309, pp.48-65.</t>
  </si>
  <si>
    <t>Rasmussen, B., Bekker, A. and Fletcher, I.R., 2013. Correlation of Paleoproterozoic glaciations based on U–Pb zircon ages for tuff beds in the Transvaal and Huronian Supergroups. Earth and Planetary Science Letters, 382, pp.173-180.</t>
  </si>
  <si>
    <t>Redden, J.A. and DeWitt, E., 2008. Maps Showing Geology Structure and Geophysics of the Central Black Hills South Dakota (Vol. 2777, pp. 44-p). US Geological Survey.</t>
  </si>
  <si>
    <t>Redden, J.A., Peterman, Z.E., Zartman, R.E., DeWitt, E., 1990. U–Th–Pb  geochronology and preliminary interpretation of Precambrian tectonic events in the Black Hills, South Dakota. In: Lewry, J.F., Stauffer, M.R. (Eds.), The Early Proterozoic Trans-Hudson orogen of North America. Geological Association of Canada Special Paper. Geological Association of Canada Special Paper, pp. 229–251.</t>
  </si>
  <si>
    <t>SAKKO,M. and LAAJOKI,K., 1975. Whole rock Pb-Pb isochron age for the Pääkkö iron formation in Väyrylänkylä, South Puolanka area, Finland. Bull. Geol. Soc. Finland, 47, pp.113-116.</t>
  </si>
  <si>
    <t>Sawada, H., Mugandani, E.T., Sato, T., Sawaki, Y., Sakata, S., Isozaki, Y. and Maruyama, S., 2019. Age constraints on the Palaeoproterozoic Lomagundi–Jatuli Event in Zimbabwe: Zircon geochronology of the Magondi Supergroup. Terra Nova, 31(5), pp.438-444.</t>
  </si>
  <si>
    <t>Schmidt, R. G. (1980). The Marquette range Supergroup in the Gogebic iron district, Michigan and Wisconsin; B; 1460. U.S. Govt. Print. Off.</t>
  </si>
  <si>
    <t>Schweigart, H., 1965. Genesis of the iron ores of the Pretoria Series, South Africa. Economic Geology, 60(2), pp.269-298.</t>
  </si>
  <si>
    <t>Severson, Mark J; Heine, John J; Patelke, Marsha Meinders. (2009). Geologic and Stratigraphic Controls of the Biwabik Iron Formation and the Aggregate Potential of the Mesabi Iron Range, Minnesota. University of Minnesota Duluth. Retrieved from the University of Minnesota Digital Conservancy, https://hdl.handle.net/11299/187163.</t>
  </si>
  <si>
    <t>Siahi, M., Tsikos, H., Rafuza, S., Oonk, P.B., Mhlanga, X.R., van Niekerk, D., Mason, P.R. and Harris, C., 2020. Insights into the processes and controls on the absolute abundance and distribution of manganese in Precambrian iron formations. Precambrian Research, 350, p.105878.</t>
  </si>
  <si>
    <t>Sims, P. K., Peterman, Z. E., Prinz, W. C., &amp; Benedict, F. C. (1984). Geology, geochemistry, and age of Archean and Early Proterozoic rocks in the Marinesco-Watersmeet area, northern Michigan. (Paper, 1292-A, A1–A41). US Geol. Surv. Prof.</t>
  </si>
  <si>
    <t>Singh, S.P., 1984. Fluvial sedimentation of the Proterozoic Alwar group in the Lalgarh graben, Northwestern India. Sedimentary Geology, 39(1-2), pp.95-119.</t>
  </si>
  <si>
    <t>Taylor, C.D., Finn, C.A., Anderson, E.D., Bradley, D.C., Joud, M.Y., Taleb Mohamed, A. and Horton, J.D., 2016. The F’derik-Zouérate iron district: Mesoarchean and Paleoproterozoic iron formation of the Tiris Complex, Islamic Republic of Mauritania. Mineral Deposits of North Africa, pp.529-573.</t>
  </si>
  <si>
    <t>Tsikos H, Beukes NJ, Moore JM, and Harris C (2003) Deposition, diagenesis, and secondary enrichment of metals in the Paleproterozoic Hotazel Iron Formation, Kalahari manganese field, South Africa. Economic Geology 98: 1449–1462.</t>
  </si>
  <si>
    <t>Tsikos, H. and Moore, J.M., 1997. Petrography and geochemistry of the Paleoproterozoic Hotazel Iron-Formation, Kalahari manganese field, South Africa; implications for Precambrian manganese metallogenesis. Economic Geology, 92(1), pp.87-97.</t>
  </si>
  <si>
    <t>Tsikos, H., 1999. Petrographic and geochemical constraints on the origin and post-depositional history of the Hotazel iron-manganese deposits, Kalahari Manganese Field, South Africa (Doctoral dissertation, Rhodes University).</t>
  </si>
  <si>
    <t>Vafeas, N.A., Blignaut, L.C., Viljoen, K.S. and Meffre, S., 2018. New evidence for the early onset of supergene alteration along the Kalahari unconformity. South African Journal of Geology, 121(2), pp.157-170.</t>
  </si>
  <si>
    <t>Wang, C., Zhang, L., Dai, Y. and Lan, C., 2015. Geochronological and geochemical constraints on the origin of clastic meta-sedimentary rocks associated with the Yuanjiacun BIF from the Lüliang Complex, North China. Lithos, 212, pp.231-246.</t>
  </si>
  <si>
    <t>Wang, Kurt O. Konhauser; Lianchang Zhang, Depositional Environment of the Paleoproterozoic Yuanjiacun Banded Iron Formation in Shanxi Province, China Economic Geology (2015) 110 (6): 1515–1539. https://doi.org/10.2113/econgeo.110.6.1515</t>
  </si>
  <si>
    <t>Wardle, R.J., 1982. Geology of the eastern margin of the Labrador Trough Newfound- land Mineral Development Division Map 82-5. St. John’s, Newfoundland, Scale 1:100,000.</t>
  </si>
  <si>
    <t>Zaleski, E., van Breemen, O. and Peterson, V.L., 1999. Geological evolution of the Manitouwadge greenstone belt and Wawa-Quetico subprovince boundary, Superior Province, Ontario, constrained by U-Pb zircon dates of supracrustal and plutonic rocks. Canadian Journal of Earth Sciences, 36(6), pp.945-966.</t>
  </si>
  <si>
    <t>Zhu, J., Zhang, F. and Xu, K., 1988. Depositional environment and metamorphism of Early Proterozoic iron formation in the Lüliangshan region, Shanxi Province, China. Precambrian Research, 39(1-2), pp.39-50.</t>
  </si>
  <si>
    <t>Zajac, I. S. (1974). The stratigraphy and mineralogy of the Sokoman Formation in the Knob Lane Area, geological Survey of Canada Bulletin, 220, 159.</t>
  </si>
  <si>
    <t xml:space="preserve"> The Belcher islands has been the focus of several unpublished geochron studies. Iron formation is overlain by Flaherty Fm volcanics that are associated with the Haig intrusions with U–Pb Baddelyite dates of 1870.3 ± 0.7 and 1870.1 ± 1 Ma (abstract Hamilton et al., 2009). thus the minimum age of the iron formation was taken to be 1870 Ma.  The Volcanics are suggested to conformably overlie the Kipalu Fm granular ironstone (Hodgskiss et al. 2019) and  the framework could be complicated by a 1854.2 ± 1.6 Ma date(Hodgskiss et al. 2019) from a tuffaceous sandstone directly above the volcanics…. Went with the older age here, but could use 1854 as the minimum age</t>
  </si>
  <si>
    <t xml:space="preserve">1:500 000 State interpreted bedrock geology of Western Australia, 2016: Unique ID: 118E6B1C-12B7-481A-9804-DD32F0F194B2
Bunting, J. A. (1986). Geology of the eastern part of the Nabberu Basin Western Australia. Geological Survey of Western Australia Bulletin, </t>
  </si>
  <si>
    <t xml:space="preserve"> Cannon, W.F., LaBerge, G.L., Klasner, J.S. and Schulz, K.J., 2008. The Gogebic iron range—A sample of the northern margin of the Penokean fold and thrust belt (No. 1730). US Geological Survey.</t>
  </si>
  <si>
    <t>Eyster et al 2021</t>
  </si>
  <si>
    <r>
      <t xml:space="preserve">Hoffman, P.F., Bowring, S.A., Buchwaldt, R. and Hildebrand, R.S., 2011. Birthdate for the Coronation paleocean: age of initial rifting in Wopmay orogen, Canada. </t>
    </r>
    <r>
      <rPr>
        <i/>
        <sz val="12"/>
        <color theme="1"/>
        <rFont val="Calibri"/>
        <family val="2"/>
        <scheme val="minor"/>
      </rPr>
      <t>Canadian Journal of Earth Sciences</t>
    </r>
    <r>
      <rPr>
        <sz val="12"/>
        <color theme="1"/>
        <rFont val="Calibri"/>
        <family val="2"/>
        <scheme val="minor"/>
      </rPr>
      <t xml:space="preserve">, </t>
    </r>
    <r>
      <rPr>
        <i/>
        <sz val="12"/>
        <color theme="1"/>
        <rFont val="Calibri"/>
        <family val="2"/>
        <scheme val="minor"/>
      </rPr>
      <t>48</t>
    </r>
    <r>
      <rPr>
        <sz val="12"/>
        <color theme="1"/>
        <rFont val="Calibri"/>
        <family val="2"/>
        <scheme val="minor"/>
      </rPr>
      <t>(2), pp.281-293.</t>
    </r>
  </si>
  <si>
    <t xml:space="preserve">between 1.89 and 1.87 Ga (Rochford Iron Formation).  Younger constraint from 1850 Ma deformation (Dahl et al., 2005 2006; and references therein). In particular, an imprecise, upper-intercept 207Pb/206Pb age of 1884 ± 29 Ma was obtained for bulk zircon in felsic tuff interlayered with the Montana Mine Formation that underlies the Rochford Formation (Redden et al., 1990), thereby constraining a maximum depositional age of ∼1.88 Ga for the Rochford Formation. </t>
  </si>
  <si>
    <t xml:space="preserve">https://pubs.usgs.gov/bul/1580/report.pdf
</t>
  </si>
  <si>
    <t xml:space="preserve"> Bayley RW and James HL (1973) Precambrian iron-formations of the United States. Economic Geology 68: 934–959.
</t>
  </si>
  <si>
    <t xml:space="preserve"> Schneider DA, Bickford ME, Cannon WF, Schulz KJ, and Hamilton MA (2002) Age of volcanic rocks and syndepositional iron formations, Marquette Range Supergroup: Implications for the tectonic setting of Paleoproterozoic iron formations of the Lake Superior region. Canadian Journal of Earth Sciences 39: 999–1012.  </t>
  </si>
  <si>
    <t xml:space="preserve">  Rasmussen B and Fletcher IR (2002) Indirect dating of mafic intrusions by SHRIMP U–Pb analysis of monazite in contact metamorphosed shale: An example from the Palaeoproterozoic Capricorn orogen, Western Australia. Earth and Planetary Science Letters 197: 287–299. </t>
  </si>
  <si>
    <t xml:space="preserve"> Pirajno F, Hocking RM, Reddy SM, and Jones AJ (2009) A review of the geology and geodynamic evolution of the Palaeoproterozoic Earaheedy Basin, Western Australia. Earth- Science Reviews 94: 39–77 </t>
  </si>
  <si>
    <t xml:space="preserve">Force, E., 1983. Geology of Nimba County Liberia. U.S. Geol. Surv. Bull. 1540: 27p     </t>
  </si>
  <si>
    <t xml:space="preserve">   Billa M., Feybesse, J.L., Bronner, G., Lerouge, C., Mile ́si, J.P., Traore ́, S., Diaby, S., 1999. Les formations a` quartzites rubane ́s ferrugineux des Monts Nimba et du Simandou: des unite ́s empile ́es tectoniquement, sur un «soubassement» plutonique Arche ́en (craton de Ke ́ne ́ma-Man), lors de l oroge`ne eburne ́en. Comptes Rendus Acade ́mie Sciences, Paris Sciences Terre Plane`tes 329: 287–294.</t>
  </si>
  <si>
    <t xml:space="preserve">Patwardhan AM, Patil DN, and Sukhtankar RK (1987) On magnetite quartizites occurring around Narnaul, Haryana, India. In: Appel PWU and LaBerge GL (eds.) Precambrian Iron- Formations, pp. 513–537. Athens: Theophrastus Publications. </t>
  </si>
  <si>
    <t xml:space="preserve">Biju-Sekhar S, Yokoyama K, Pandit MK, Okudaira T, Yoshida M, and Santosh M (2003) Late Paleoproterozoic magmatism in Delhi fold belt, NW India and its implication: Evidence from EPMA chemical ages of zircons. Journal of Asian Earth Sciences 22: 189–207. </t>
  </si>
  <si>
    <t xml:space="preserve">Deb M and Thorpe RI (2004) Geochronological constraints in the Precambrian geology of Rajasthan and their metallogenic implications. In: Deb M and Goodfellow WD (eds.) Sediment-Hosted Lead-Zinc Sulphide Deposits, pp. 246–263. New Delhi: Narosa Publishing. </t>
  </si>
  <si>
    <r>
      <t xml:space="preserve">: </t>
    </r>
    <r>
      <rPr>
        <sz val="11"/>
        <color rgb="FF3572A0"/>
        <rFont val="Calibri"/>
        <family val="2"/>
        <scheme val="minor"/>
      </rPr>
      <t>https://www.researchgate.net/publication/238371440</t>
    </r>
  </si>
  <si>
    <r>
      <t>Age determinations on detrital zircons from a (Guinea) Nimba banded ferruginous-quartzite (itabirite?) gave an age of 2615 Ma (</t>
    </r>
    <r>
      <rPr>
        <sz val="11"/>
        <color rgb="FF000066"/>
        <rFont val="Calibri"/>
        <family val="2"/>
        <scheme val="minor"/>
      </rPr>
      <t>Billa et al., (1999)</t>
    </r>
    <r>
      <rPr>
        <sz val="11"/>
        <color theme="1"/>
        <rFont val="Calibri"/>
        <family val="2"/>
        <scheme val="minor"/>
      </rPr>
      <t xml:space="preserve">). The only other relevant age determination from the Nimba area, an Rb-Sr-method determination on a Nimba Supergroup mica phyllite is 2200 Ma (Force, 1983). </t>
    </r>
  </si>
  <si>
    <t>Hoffman, P.F., Bowring, S.A., Buchwaldt, R. and Hildebrand, R.S., 2011. Birthdate for the Coronation paleocean: age of initial rifting in Wopmay orogen, Canada. Canadian Journal of Earth Sciences, 48(2), pp.281-293.</t>
  </si>
  <si>
    <t xml:space="preserve">The age of the Wilson Island Group is constrained by U-Pb zircon geochronologyof a rhyolite porphyly . Detailed mapping has shown that this porphyry is probably extrusive (Johnson 1987), and thus the U-Pb zircon date of 1928 2 1 1 Ma (Bowring et al. 1984) . A felsite from the Wilson Island Group has an age of 1928 ? I I Ma. The Wilson Island Group is intruded by epizonal granites (Butte lsland Intrusive Suite), one of which has an age of 1895 + 8 Ma. </t>
  </si>
  <si>
    <t>Taylor, C. D., Finn, C. A., Anderson, E. D., Bradley, D. C., Joud, M. Y., Taleb Mohamed, A., &amp; Horton, J. D. (2016). The F’derik-Zouérate Iron District: Mesoarchean and Paleoproterozoic Iron Formation of the Tiris Complex, Islamic Republic of Mauritania. Mineral Resource Reviews, 529–573. doi:10.1007/978-3-319-31733-5_21 </t>
  </si>
  <si>
    <t xml:space="preserve">LAAJOKI, KAUKO 1975: Rare-earth elements in Precambrian iron formations in Väyrylänkylä, South Puolanka area, Finland. Bull. Geol. Soc. Finland 47, 93—107. </t>
  </si>
  <si>
    <t xml:space="preserve">S. Master et al. / Precambrian Research 182 (2010) 254–273 </t>
  </si>
  <si>
    <t>Age Notes</t>
  </si>
  <si>
    <t>Additional Notes  (thickness/area)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</si>
</sst>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_(* #,##0.0_);_(* \(#,##0.0\);_(* &quot;-&quot;??_);_(@_)"/>
    <numFmt numFmtId="167" formatCode="_(* #,##0_);_(* \(#,##0\);_(* &quot;-&quot;??_);_(@_)"/>
    <numFmt numFmtId="168" formatCode="_(* #,##0.0_);_(* \(#,##0.0\);_(* &quot;-&quot;?_);_(@_)"/>
  </numFmts>
  <fonts count="68">
    <font>
      <sz val="12"/>
      <color theme="1"/>
      <name val="Calibri"/>
      <family val="2"/>
      <scheme val="minor"/>
    </font>
    <font>
      <sz val="12"/>
      <color theme="1"/>
      <name val="Calibri"/>
      <family val="2"/>
      <scheme val="minor"/>
    </font>
    <font>
      <b/>
      <sz val="12"/>
      <color theme="7" tint="-0.499984740745262"/>
      <name val="Calibri"/>
      <family val="2"/>
      <scheme val="minor"/>
    </font>
    <font>
      <sz val="12"/>
      <color theme="7" tint="-0.499984740745262"/>
      <name val="Calibri"/>
      <family val="2"/>
      <scheme val="minor"/>
    </font>
    <font>
      <b/>
      <sz val="12"/>
      <color theme="9" tint="-0.499984740745262"/>
      <name val="Calibri"/>
      <family val="2"/>
      <scheme val="minor"/>
    </font>
    <font>
      <sz val="12"/>
      <color theme="9" tint="-0.499984740745262"/>
      <name val="Calibri"/>
      <family val="2"/>
      <scheme val="minor"/>
    </font>
    <font>
      <sz val="12"/>
      <color rgb="FF000000"/>
      <name val="Arial"/>
      <family val="2"/>
    </font>
    <font>
      <sz val="12"/>
      <color rgb="FF000000"/>
      <name val="Calibri"/>
      <family val="2"/>
      <scheme val="minor"/>
    </font>
    <font>
      <sz val="14"/>
      <color rgb="FF000000"/>
      <name val="Calibri"/>
      <family val="2"/>
      <scheme val="minor"/>
    </font>
    <font>
      <sz val="12"/>
      <color rgb="FF806000"/>
      <name val="Calibri"/>
      <family val="2"/>
      <scheme val="minor"/>
    </font>
    <font>
      <b/>
      <sz val="12"/>
      <color rgb="FF375623"/>
      <name val="Calibri"/>
      <family val="2"/>
      <scheme val="minor"/>
    </font>
    <font>
      <sz val="12"/>
      <color rgb="FF375623"/>
      <name val="Calibri"/>
      <family val="2"/>
      <scheme val="minor"/>
    </font>
    <font>
      <b/>
      <sz val="12"/>
      <color rgb="FF806000"/>
      <name val="Calibri"/>
      <family val="2"/>
      <scheme val="minor"/>
    </font>
    <font>
      <b/>
      <sz val="12"/>
      <color rgb="FF000000"/>
      <name val="Calibri"/>
      <family val="2"/>
      <scheme val="minor"/>
    </font>
    <font>
      <sz val="10"/>
      <color theme="1"/>
      <name val="Calibri"/>
      <family val="2"/>
      <scheme val="minor"/>
    </font>
    <font>
      <b/>
      <sz val="10"/>
      <color theme="1"/>
      <name val="Calibri"/>
      <family val="2"/>
    </font>
    <font>
      <sz val="10"/>
      <color theme="1"/>
      <name val="Calibri"/>
      <family val="2"/>
    </font>
    <font>
      <b/>
      <sz val="10"/>
      <color rgb="FF000000"/>
      <name val="Calibri"/>
      <family val="2"/>
    </font>
    <font>
      <sz val="10"/>
      <color rgb="FF2E2E2E"/>
      <name val="Calibri"/>
      <family val="2"/>
    </font>
    <font>
      <sz val="10"/>
      <color rgb="FF000000"/>
      <name val="Calibri"/>
      <family val="2"/>
    </font>
    <font>
      <sz val="8"/>
      <color theme="1"/>
      <name val="AdvP3DC61D"/>
    </font>
    <font>
      <sz val="9"/>
      <color theme="1"/>
      <name val="Arial"/>
      <family val="2"/>
    </font>
    <font>
      <sz val="12"/>
      <color theme="1"/>
      <name val="Times New Roman"/>
      <family val="1"/>
    </font>
    <font>
      <sz val="9.5"/>
      <color theme="1"/>
      <name val="Times New Roman"/>
      <family val="1"/>
    </font>
    <font>
      <sz val="3.5"/>
      <color theme="1"/>
      <name val="Times New Roman"/>
      <family val="1"/>
    </font>
    <font>
      <vertAlign val="superscript"/>
      <sz val="11.5"/>
      <color theme="1"/>
      <name val="Arial"/>
      <family val="2"/>
    </font>
    <font>
      <sz val="1"/>
      <color theme="1"/>
      <name val="Times New Roman"/>
      <family val="1"/>
    </font>
    <font>
      <sz val="12"/>
      <color theme="1"/>
      <name val="Arial"/>
      <family val="2"/>
    </font>
    <font>
      <sz val="12"/>
      <color theme="1"/>
      <name val="Times New Roman"/>
      <family val="1"/>
    </font>
    <font>
      <b/>
      <sz val="12"/>
      <color theme="1"/>
      <name val="Arial"/>
      <family val="2"/>
    </font>
    <font>
      <sz val="12"/>
      <color rgb="FF000000"/>
      <name val="Arial"/>
      <family val="2"/>
    </font>
    <font>
      <b/>
      <sz val="12"/>
      <color theme="1"/>
      <name val="Calibri"/>
      <family val="2"/>
      <scheme val="minor"/>
    </font>
    <font>
      <u/>
      <sz val="12"/>
      <color theme="10"/>
      <name val="Calibri"/>
      <family val="2"/>
      <scheme val="minor"/>
    </font>
    <font>
      <b/>
      <sz val="10"/>
      <color theme="1"/>
      <name val="Calibri"/>
      <family val="2"/>
      <scheme val="minor"/>
    </font>
    <font>
      <sz val="10"/>
      <color rgb="FF2E2E2E"/>
      <name val="Calibri"/>
      <family val="2"/>
      <scheme val="minor"/>
    </font>
    <font>
      <sz val="7"/>
      <color theme="1"/>
      <name val="Times New Roman"/>
      <family val="1"/>
    </font>
    <font>
      <sz val="8"/>
      <color theme="1"/>
      <name val="Calibri"/>
      <family val="2"/>
      <scheme val="minor"/>
    </font>
    <font>
      <sz val="8"/>
      <color theme="1"/>
      <name val="AdvTT5235d5a9"/>
    </font>
    <font>
      <sz val="8"/>
      <color rgb="FF0000FF"/>
      <name val="AdvTT5235d5a9"/>
    </font>
    <font>
      <sz val="15"/>
      <color theme="1"/>
      <name val="Times New Roman"/>
      <family val="1"/>
    </font>
    <font>
      <sz val="10"/>
      <color rgb="FF000000"/>
      <name val="Calibri"/>
      <family val="2"/>
      <scheme val="minor"/>
    </font>
    <font>
      <i/>
      <sz val="10"/>
      <color theme="1"/>
      <name val="Calibri"/>
      <family val="2"/>
      <scheme val="minor"/>
    </font>
    <font>
      <sz val="10"/>
      <color rgb="FF332D30"/>
      <name val="Calibri"/>
      <family val="2"/>
      <scheme val="minor"/>
    </font>
    <font>
      <b/>
      <sz val="8"/>
      <color theme="1"/>
      <name val="Calibri"/>
      <family val="2"/>
      <scheme val="minor"/>
    </font>
    <font>
      <sz val="8"/>
      <color theme="1"/>
      <name val="Times New Roman"/>
      <family val="1"/>
    </font>
    <font>
      <sz val="7.5"/>
      <color theme="1"/>
      <name val="Arial"/>
      <family val="2"/>
    </font>
    <font>
      <b/>
      <sz val="18"/>
      <color rgb="FF000000"/>
      <name val="Calibri"/>
      <family val="2"/>
      <scheme val="minor"/>
    </font>
    <font>
      <b/>
      <sz val="16"/>
      <color rgb="FF000000"/>
      <name val="Calibri"/>
      <family val="2"/>
      <scheme val="minor"/>
    </font>
    <font>
      <b/>
      <sz val="7.5"/>
      <color theme="1"/>
      <name val="Arial"/>
      <family val="2"/>
    </font>
    <font>
      <sz val="8"/>
      <color theme="1"/>
      <name val="TimesNRMT"/>
    </font>
    <font>
      <i/>
      <sz val="8"/>
      <color theme="1"/>
      <name val="TimesNRMT"/>
    </font>
    <font>
      <sz val="8"/>
      <color theme="1"/>
      <name val="BMathOne"/>
    </font>
    <font>
      <b/>
      <sz val="12"/>
      <color theme="1"/>
      <name val="Times New Roman"/>
      <family val="1"/>
    </font>
    <font>
      <sz val="8"/>
      <color theme="1"/>
      <name val="Arial"/>
      <family val="2"/>
    </font>
    <font>
      <sz val="7.5"/>
      <color theme="1"/>
      <name val="Times New Roman"/>
      <family val="1"/>
    </font>
    <font>
      <sz val="10"/>
      <color theme="1"/>
      <name val="Times New Roman"/>
      <family val="1"/>
    </font>
    <font>
      <sz val="10.5"/>
      <color theme="1"/>
      <name val="Times New Roman"/>
      <family val="1"/>
    </font>
    <font>
      <i/>
      <sz val="12"/>
      <color theme="1"/>
      <name val="Calibri"/>
      <family val="2"/>
      <scheme val="minor"/>
    </font>
    <font>
      <b/>
      <u/>
      <sz val="10"/>
      <color theme="1"/>
      <name val="Calibri"/>
      <family val="2"/>
      <scheme val="minor"/>
    </font>
    <font>
      <sz val="9"/>
      <color theme="1"/>
      <name val="Calibri"/>
      <family val="2"/>
      <scheme val="minor"/>
    </font>
    <font>
      <sz val="11"/>
      <color theme="1"/>
      <name val="Calibri"/>
      <family val="2"/>
      <scheme val="minor"/>
    </font>
    <font>
      <sz val="11"/>
      <color rgb="FF000000"/>
      <name val="Calibri"/>
      <family val="2"/>
      <scheme val="minor"/>
    </font>
    <font>
      <sz val="11"/>
      <color rgb="FF2E2E2E"/>
      <name val="Calibri"/>
      <family val="2"/>
      <scheme val="minor"/>
    </font>
    <font>
      <sz val="11"/>
      <color rgb="FF332D30"/>
      <name val="Calibri"/>
      <family val="2"/>
      <scheme val="minor"/>
    </font>
    <font>
      <sz val="11"/>
      <color rgb="FF3572A0"/>
      <name val="Calibri"/>
      <family val="2"/>
      <scheme val="minor"/>
    </font>
    <font>
      <u/>
      <sz val="11"/>
      <color theme="10"/>
      <name val="Calibri"/>
      <family val="2"/>
      <scheme val="minor"/>
    </font>
    <font>
      <sz val="11"/>
      <color rgb="FF000066"/>
      <name val="Calibri"/>
      <family val="2"/>
      <scheme val="minor"/>
    </font>
    <font>
      <sz val="7"/>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C0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rgb="FF000000"/>
      </right>
      <top/>
      <bottom/>
      <diagonal/>
    </border>
    <border>
      <left/>
      <right/>
      <top style="thin">
        <color indexed="64"/>
      </top>
      <bottom style="thin">
        <color indexed="64"/>
      </bottom>
      <diagonal/>
    </border>
    <border>
      <left/>
      <right style="thin">
        <color auto="1"/>
      </right>
      <top/>
      <bottom/>
      <diagonal/>
    </border>
    <border>
      <left/>
      <right/>
      <top/>
      <bottom style="medium">
        <color auto="1"/>
      </bottom>
      <diagonal/>
    </border>
    <border>
      <left/>
      <right/>
      <top style="medium">
        <color auto="1"/>
      </top>
      <bottom/>
      <diagonal/>
    </border>
    <border>
      <left style="medium">
        <color indexed="64"/>
      </left>
      <right/>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32" fillId="0" borderId="0" applyNumberFormat="0" applyFill="0" applyBorder="0" applyAlignment="0" applyProtection="0"/>
  </cellStyleXfs>
  <cellXfs count="22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0" fillId="0" borderId="0" xfId="0" applyFont="1"/>
    <xf numFmtId="0" fontId="0" fillId="2" borderId="1" xfId="0" applyFont="1" applyFill="1" applyBorder="1"/>
    <xf numFmtId="0" fontId="4" fillId="0" borderId="0" xfId="0" applyFont="1" applyAlignment="1">
      <alignment horizontal="right"/>
    </xf>
    <xf numFmtId="0" fontId="5" fillId="0" borderId="0" xfId="0" applyFont="1" applyAlignment="1">
      <alignment horizontal="center"/>
    </xf>
    <xf numFmtId="1" fontId="5" fillId="0" borderId="0" xfId="0" applyNumberFormat="1" applyFont="1"/>
    <xf numFmtId="0" fontId="5" fillId="0" borderId="0" xfId="0" applyFont="1" applyAlignment="1">
      <alignment horizontal="right"/>
    </xf>
    <xf numFmtId="0" fontId="5" fillId="0" borderId="0" xfId="0" applyFont="1" applyAlignment="1">
      <alignment horizontal="left"/>
    </xf>
    <xf numFmtId="0" fontId="2"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1" fontId="3" fillId="0" borderId="0" xfId="0" applyNumberFormat="1" applyFont="1"/>
    <xf numFmtId="0" fontId="3" fillId="0" borderId="0" xfId="0" applyFont="1" applyAlignment="1">
      <alignment horizontal="right"/>
    </xf>
    <xf numFmtId="0" fontId="0" fillId="2" borderId="1" xfId="0" applyFont="1" applyFill="1" applyBorder="1" applyAlignment="1">
      <alignment horizontal="center" wrapText="1"/>
    </xf>
    <xf numFmtId="0" fontId="0" fillId="2" borderId="3" xfId="0" applyFont="1" applyFill="1" applyBorder="1" applyAlignment="1">
      <alignment horizontal="center" wrapText="1"/>
    </xf>
    <xf numFmtId="0" fontId="5" fillId="2" borderId="0" xfId="0" applyFont="1" applyFill="1"/>
    <xf numFmtId="0" fontId="6" fillId="0" borderId="0" xfId="0" applyFont="1" applyBorder="1" applyAlignment="1">
      <alignment horizontal="left" vertical="top"/>
    </xf>
    <xf numFmtId="0" fontId="6" fillId="0" borderId="0" xfId="0" applyFont="1" applyFill="1" applyBorder="1" applyAlignment="1">
      <alignment horizontal="left" vertical="top"/>
    </xf>
    <xf numFmtId="0" fontId="0" fillId="0" borderId="4" xfId="0" applyBorder="1"/>
    <xf numFmtId="0" fontId="7" fillId="0" borderId="0" xfId="0" applyFont="1"/>
    <xf numFmtId="0" fontId="7" fillId="0" borderId="2" xfId="0" applyFont="1" applyBorder="1"/>
    <xf numFmtId="0" fontId="7" fillId="3" borderId="1" xfId="0" applyFont="1" applyFill="1" applyBorder="1"/>
    <xf numFmtId="0" fontId="7" fillId="3" borderId="1" xfId="0" applyFont="1" applyFill="1" applyBorder="1" applyAlignment="1">
      <alignment horizontal="center" wrapText="1"/>
    </xf>
    <xf numFmtId="0" fontId="7" fillId="3" borderId="3" xfId="0" applyFont="1" applyFill="1" applyBorder="1" applyAlignment="1">
      <alignment horizontal="center" wrapText="1"/>
    </xf>
    <xf numFmtId="1" fontId="7" fillId="3" borderId="3" xfId="0" applyNumberFormat="1" applyFont="1" applyFill="1" applyBorder="1" applyAlignment="1">
      <alignment horizontal="center" wrapText="1"/>
    </xf>
    <xf numFmtId="0" fontId="7" fillId="3" borderId="5" xfId="0" applyFont="1" applyFill="1" applyBorder="1" applyAlignment="1">
      <alignment horizontal="center" wrapText="1"/>
    </xf>
    <xf numFmtId="0" fontId="7" fillId="3" borderId="1" xfId="0" applyFont="1" applyFill="1" applyBorder="1" applyAlignment="1">
      <alignment horizontal="right" wrapText="1"/>
    </xf>
    <xf numFmtId="0" fontId="7" fillId="3" borderId="3" xfId="0" applyFont="1" applyFill="1" applyBorder="1" applyAlignment="1">
      <alignment horizontal="right" wrapText="1"/>
    </xf>
    <xf numFmtId="0" fontId="9" fillId="0" borderId="0" xfId="0" applyFont="1"/>
    <xf numFmtId="1" fontId="9" fillId="0" borderId="0" xfId="0" applyNumberFormat="1" applyFont="1"/>
    <xf numFmtId="0" fontId="9" fillId="0" borderId="0" xfId="0" applyFont="1" applyAlignment="1">
      <alignment horizontal="right"/>
    </xf>
    <xf numFmtId="0" fontId="10" fillId="0" borderId="0" xfId="0" applyFont="1"/>
    <xf numFmtId="0" fontId="11" fillId="0" borderId="0" xfId="0" applyFont="1"/>
    <xf numFmtId="1" fontId="11" fillId="0" borderId="0" xfId="0" applyNumberFormat="1" applyFont="1"/>
    <xf numFmtId="0" fontId="11" fillId="0" borderId="0" xfId="0" applyFont="1" applyAlignment="1">
      <alignment horizontal="right"/>
    </xf>
    <xf numFmtId="0" fontId="10" fillId="0" borderId="0" xfId="0" applyFont="1" applyAlignment="1">
      <alignment horizontal="right"/>
    </xf>
    <xf numFmtId="164" fontId="11" fillId="0" borderId="0" xfId="0" applyNumberFormat="1" applyFont="1"/>
    <xf numFmtId="0" fontId="12" fillId="0" borderId="0" xfId="0" applyFont="1"/>
    <xf numFmtId="0" fontId="12" fillId="0" borderId="0" xfId="0" applyFont="1" applyAlignment="1">
      <alignment horizontal="right"/>
    </xf>
    <xf numFmtId="164" fontId="9" fillId="0" borderId="0" xfId="0" applyNumberFormat="1" applyFont="1"/>
    <xf numFmtId="165" fontId="9" fillId="0" borderId="0" xfId="0" applyNumberFormat="1" applyFont="1" applyAlignment="1">
      <alignment horizontal="right"/>
    </xf>
    <xf numFmtId="0" fontId="7" fillId="3" borderId="6" xfId="0" applyFont="1" applyFill="1" applyBorder="1" applyAlignment="1">
      <alignment horizontal="center" wrapText="1"/>
    </xf>
    <xf numFmtId="0" fontId="13" fillId="3" borderId="3" xfId="0" applyFont="1" applyFill="1" applyBorder="1" applyAlignment="1">
      <alignment horizontal="center" wrapText="1"/>
    </xf>
    <xf numFmtId="0" fontId="16" fillId="0" borderId="0" xfId="0" applyFont="1" applyAlignment="1">
      <alignment vertical="center" wrapText="1"/>
    </xf>
    <xf numFmtId="166" fontId="16" fillId="0" borderId="0" xfId="1" applyNumberFormat="1" applyFont="1" applyAlignment="1">
      <alignment horizontal="left"/>
    </xf>
    <xf numFmtId="0" fontId="16" fillId="0" borderId="0" xfId="0" applyFont="1" applyAlignment="1">
      <alignment horizontal="left" vertical="center" wrapText="1" indent="1"/>
    </xf>
    <xf numFmtId="0" fontId="16" fillId="2" borderId="0" xfId="0" applyFont="1" applyFill="1" applyAlignment="1">
      <alignment vertical="center" wrapText="1"/>
    </xf>
    <xf numFmtId="168" fontId="0" fillId="0" borderId="0" xfId="0" applyNumberFormat="1"/>
    <xf numFmtId="0" fontId="0" fillId="0" borderId="0" xfId="0" applyBorder="1"/>
    <xf numFmtId="0" fontId="6" fillId="0" borderId="4" xfId="0" applyFont="1" applyBorder="1" applyAlignment="1">
      <alignment horizontal="left" vertical="top"/>
    </xf>
    <xf numFmtId="0" fontId="6" fillId="0" borderId="4" xfId="0" applyFont="1" applyFill="1" applyBorder="1" applyAlignment="1">
      <alignment horizontal="left" vertical="top"/>
    </xf>
    <xf numFmtId="0" fontId="22" fillId="0" borderId="0" xfId="0" applyFont="1" applyAlignment="1">
      <alignment vertical="center" wrapText="1"/>
    </xf>
    <xf numFmtId="0" fontId="23" fillId="0" borderId="0" xfId="0" applyFont="1" applyAlignment="1">
      <alignment vertical="center" wrapText="1"/>
    </xf>
    <xf numFmtId="0" fontId="24" fillId="0" borderId="7" xfId="0" applyFont="1" applyBorder="1" applyAlignment="1">
      <alignment vertical="center" wrapText="1"/>
    </xf>
    <xf numFmtId="0" fontId="21" fillId="0" borderId="0" xfId="0" applyFont="1" applyAlignment="1">
      <alignment horizontal="left" vertical="center" wrapText="1" indent="2"/>
    </xf>
    <xf numFmtId="0" fontId="26" fillId="0" borderId="7" xfId="0" applyFont="1" applyBorder="1" applyAlignment="1">
      <alignment vertical="center" wrapText="1"/>
    </xf>
    <xf numFmtId="0" fontId="21" fillId="0" borderId="0" xfId="0" applyFont="1" applyAlignment="1">
      <alignment horizontal="right" vertical="center" wrapText="1"/>
    </xf>
    <xf numFmtId="11" fontId="21" fillId="0" borderId="0" xfId="0" applyNumberFormat="1" applyFont="1" applyAlignment="1">
      <alignment vertical="center" wrapText="1"/>
    </xf>
    <xf numFmtId="11" fontId="0" fillId="0" borderId="0" xfId="0" applyNumberFormat="1"/>
    <xf numFmtId="0" fontId="27" fillId="0" borderId="0" xfId="0" applyFont="1" applyAlignment="1">
      <alignment vertical="center"/>
    </xf>
    <xf numFmtId="0" fontId="27" fillId="0" borderId="0" xfId="0" applyFont="1" applyAlignment="1">
      <alignment horizontal="left" vertical="center"/>
    </xf>
    <xf numFmtId="0" fontId="0" fillId="0" borderId="0" xfId="0"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2" borderId="0" xfId="0" applyFont="1" applyFill="1" applyAlignment="1">
      <alignment horizontal="left" vertical="center"/>
    </xf>
    <xf numFmtId="0" fontId="29" fillId="0" borderId="0" xfId="0" applyFont="1" applyAlignment="1">
      <alignment horizontal="left" vertical="center"/>
    </xf>
    <xf numFmtId="0" fontId="27" fillId="0" borderId="0" xfId="0" applyFont="1" applyBorder="1" applyAlignment="1">
      <alignment horizontal="left" vertical="center"/>
    </xf>
    <xf numFmtId="0" fontId="16" fillId="2" borderId="7" xfId="0" applyFont="1" applyFill="1" applyBorder="1" applyAlignment="1">
      <alignment vertical="center" wrapText="1"/>
    </xf>
    <xf numFmtId="0" fontId="16" fillId="0" borderId="7" xfId="0" applyFont="1" applyBorder="1" applyAlignment="1">
      <alignment vertical="center" wrapText="1"/>
    </xf>
    <xf numFmtId="0" fontId="32" fillId="0" borderId="0" xfId="2"/>
    <xf numFmtId="0" fontId="31" fillId="0" borderId="0" xfId="0" applyFont="1"/>
    <xf numFmtId="164" fontId="0" fillId="0" borderId="0" xfId="0" applyNumberFormat="1" applyAlignment="1">
      <alignment horizontal="right"/>
    </xf>
    <xf numFmtId="0" fontId="14" fillId="2" borderId="0" xfId="0" applyFont="1" applyFill="1"/>
    <xf numFmtId="0" fontId="14" fillId="0" borderId="0" xfId="0" applyFont="1" applyFill="1" applyBorder="1" applyAlignment="1"/>
    <xf numFmtId="11" fontId="14" fillId="0" borderId="0" xfId="0" applyNumberFormat="1" applyFont="1" applyFill="1" applyBorder="1" applyAlignment="1"/>
    <xf numFmtId="0" fontId="16" fillId="0" borderId="0" xfId="0" applyFont="1" applyFill="1" applyAlignment="1">
      <alignment vertical="center" wrapText="1"/>
    </xf>
    <xf numFmtId="0" fontId="14" fillId="0" borderId="0" xfId="0" applyFont="1" applyFill="1" applyBorder="1" applyAlignment="1">
      <alignment vertical="center"/>
    </xf>
    <xf numFmtId="0" fontId="33" fillId="0" borderId="0" xfId="0" applyFont="1" applyFill="1" applyBorder="1" applyAlignment="1">
      <alignment horizontal="center" vertical="center"/>
    </xf>
    <xf numFmtId="0" fontId="14" fillId="0" borderId="0" xfId="0" applyFont="1" applyFill="1" applyAlignment="1">
      <alignment vertical="center" wrapText="1"/>
    </xf>
    <xf numFmtId="0" fontId="40" fillId="0" borderId="0" xfId="0" applyFont="1" applyFill="1" applyAlignment="1">
      <alignment vertical="center"/>
    </xf>
    <xf numFmtId="2" fontId="14" fillId="0" borderId="0" xfId="0" applyNumberFormat="1" applyFont="1" applyFill="1" applyBorder="1" applyAlignment="1"/>
    <xf numFmtId="0" fontId="14" fillId="0" borderId="0" xfId="0" applyFont="1" applyFill="1"/>
    <xf numFmtId="0" fontId="14" fillId="0" borderId="0" xfId="0" quotePrefix="1" applyFont="1" applyFill="1" applyAlignment="1">
      <alignment vertical="center" wrapText="1"/>
    </xf>
    <xf numFmtId="0" fontId="33" fillId="0" borderId="0" xfId="0" applyFont="1" applyFill="1" applyAlignment="1">
      <alignment horizontal="center" vertical="center" wrapText="1"/>
    </xf>
    <xf numFmtId="0" fontId="14" fillId="0" borderId="0" xfId="0" applyFont="1" applyFill="1" applyAlignment="1">
      <alignment vertical="center"/>
    </xf>
    <xf numFmtId="11" fontId="33" fillId="0" borderId="0" xfId="0" applyNumberFormat="1" applyFont="1" applyFill="1" applyBorder="1" applyAlignment="1">
      <alignment horizontal="center" vertical="center"/>
    </xf>
    <xf numFmtId="11" fontId="14" fillId="0" borderId="0" xfId="1" applyNumberFormat="1" applyFont="1" applyFill="1" applyAlignment="1">
      <alignment horizontal="right" vertical="center"/>
    </xf>
    <xf numFmtId="0" fontId="14" fillId="0" borderId="0" xfId="0" applyFont="1" applyFill="1" applyBorder="1" applyAlignment="1">
      <alignment horizontal="left" vertical="center"/>
    </xf>
    <xf numFmtId="11" fontId="14" fillId="0" borderId="0" xfId="1" applyNumberFormat="1" applyFont="1" applyFill="1" applyBorder="1" applyAlignment="1">
      <alignment horizontal="right" vertical="center"/>
    </xf>
    <xf numFmtId="11" fontId="14" fillId="0" borderId="0" xfId="1" applyNumberFormat="1" applyFont="1" applyFill="1" applyBorder="1" applyAlignment="1">
      <alignment horizontal="right"/>
    </xf>
    <xf numFmtId="0" fontId="34" fillId="0" borderId="0" xfId="0" applyFont="1" applyFill="1" applyBorder="1" applyAlignment="1"/>
    <xf numFmtId="2" fontId="34" fillId="0" borderId="0" xfId="0" applyNumberFormat="1" applyFont="1" applyFill="1" applyBorder="1" applyAlignment="1"/>
    <xf numFmtId="11" fontId="14" fillId="0" borderId="0" xfId="0" applyNumberFormat="1" applyFont="1" applyFill="1"/>
    <xf numFmtId="0" fontId="14" fillId="0" borderId="0" xfId="0" applyFont="1" applyFill="1" applyAlignment="1">
      <alignment horizontal="left" vertical="center"/>
    </xf>
    <xf numFmtId="0" fontId="41" fillId="0" borderId="0" xfId="0" applyFont="1" applyFill="1" applyBorder="1" applyAlignment="1">
      <alignment vertical="center"/>
    </xf>
    <xf numFmtId="0" fontId="37" fillId="0" borderId="0" xfId="0" applyFont="1" applyFill="1" applyAlignment="1"/>
    <xf numFmtId="0" fontId="0" fillId="0" borderId="0" xfId="0" applyFill="1"/>
    <xf numFmtId="0" fontId="35" fillId="0" borderId="0" xfId="0" applyFont="1" applyFill="1" applyAlignment="1">
      <alignment horizontal="left" vertical="center"/>
    </xf>
    <xf numFmtId="0" fontId="39" fillId="0" borderId="0" xfId="0" applyFont="1" applyFill="1"/>
    <xf numFmtId="0" fontId="43" fillId="0" borderId="0" xfId="0" applyFont="1" applyFill="1" applyBorder="1" applyAlignment="1">
      <alignment horizontal="center" vertical="center"/>
    </xf>
    <xf numFmtId="0" fontId="36" fillId="0" borderId="0" xfId="0" applyFont="1" applyFill="1"/>
    <xf numFmtId="0" fontId="36" fillId="0" borderId="0" xfId="0" applyFont="1" applyFill="1" applyBorder="1" applyAlignment="1"/>
    <xf numFmtId="0" fontId="44" fillId="0" borderId="0" xfId="0" applyFont="1" applyFill="1" applyAlignment="1">
      <alignment vertical="center"/>
    </xf>
    <xf numFmtId="0" fontId="33" fillId="0" borderId="0" xfId="0" applyFont="1" applyFill="1" applyBorder="1" applyAlignment="1">
      <alignment horizontal="center" vertical="center" wrapText="1"/>
    </xf>
    <xf numFmtId="0" fontId="14" fillId="2" borderId="0" xfId="0" applyFont="1" applyFill="1" applyBorder="1" applyAlignment="1">
      <alignment horizontal="left" vertical="center"/>
    </xf>
    <xf numFmtId="0" fontId="14" fillId="2" borderId="0" xfId="0" applyFont="1" applyFill="1" applyBorder="1" applyAlignment="1">
      <alignment vertical="center"/>
    </xf>
    <xf numFmtId="2" fontId="14" fillId="2" borderId="0" xfId="0" applyNumberFormat="1" applyFont="1" applyFill="1" applyBorder="1" applyAlignment="1"/>
    <xf numFmtId="11" fontId="14" fillId="2" borderId="0" xfId="1" applyNumberFormat="1" applyFont="1" applyFill="1" applyBorder="1" applyAlignment="1">
      <alignment horizontal="right" vertical="center"/>
    </xf>
    <xf numFmtId="0" fontId="14" fillId="2" borderId="0" xfId="0" applyFont="1" applyFill="1" applyAlignment="1">
      <alignment vertical="center" wrapText="1"/>
    </xf>
    <xf numFmtId="0" fontId="21" fillId="0" borderId="0" xfId="0" applyFont="1" applyAlignment="1">
      <alignment vertical="center" wrapText="1"/>
    </xf>
    <xf numFmtId="0" fontId="45" fillId="0" borderId="0" xfId="0" applyFont="1" applyAlignment="1">
      <alignment vertical="center" wrapText="1"/>
    </xf>
    <xf numFmtId="0" fontId="45" fillId="0" borderId="9" xfId="0" applyFont="1" applyBorder="1" applyAlignment="1">
      <alignment vertical="center"/>
    </xf>
    <xf numFmtId="0" fontId="45" fillId="0" borderId="0" xfId="0" applyFont="1" applyAlignment="1">
      <alignment horizontal="left" vertical="center" wrapText="1"/>
    </xf>
    <xf numFmtId="0" fontId="0" fillId="0" borderId="0" xfId="0" applyAlignment="1">
      <alignment wrapText="1"/>
    </xf>
    <xf numFmtId="0" fontId="0" fillId="0" borderId="0" xfId="0" applyFont="1" applyAlignment="1"/>
    <xf numFmtId="0" fontId="45" fillId="0" borderId="0" xfId="0" applyFont="1" applyFill="1" applyBorder="1" applyAlignment="1">
      <alignment vertical="center"/>
    </xf>
    <xf numFmtId="0" fontId="45" fillId="0" borderId="1" xfId="0" applyFont="1" applyBorder="1" applyAlignment="1">
      <alignment vertical="center"/>
    </xf>
    <xf numFmtId="0" fontId="45" fillId="0" borderId="1" xfId="0" applyFont="1" applyBorder="1" applyAlignment="1">
      <alignment vertical="center" wrapText="1"/>
    </xf>
    <xf numFmtId="0" fontId="0" fillId="0" borderId="1" xfId="0" applyBorder="1" applyAlignment="1">
      <alignment wrapText="1"/>
    </xf>
    <xf numFmtId="0" fontId="45" fillId="0" borderId="1" xfId="0" applyFont="1" applyBorder="1" applyAlignment="1">
      <alignment horizontal="left" vertical="center" wrapText="1"/>
    </xf>
    <xf numFmtId="0" fontId="46" fillId="3" borderId="3" xfId="0" applyFont="1" applyFill="1" applyBorder="1" applyAlignment="1">
      <alignment horizontal="center" wrapText="1"/>
    </xf>
    <xf numFmtId="0" fontId="47" fillId="3" borderId="1" xfId="0" applyFont="1" applyFill="1" applyBorder="1" applyAlignment="1">
      <alignment horizontal="center" wrapText="1"/>
    </xf>
    <xf numFmtId="0" fontId="48" fillId="2" borderId="0" xfId="0" applyFont="1" applyFill="1" applyAlignment="1">
      <alignment vertical="center" wrapText="1"/>
    </xf>
    <xf numFmtId="0" fontId="45" fillId="2" borderId="1" xfId="0" applyFont="1" applyFill="1" applyBorder="1" applyAlignment="1">
      <alignment horizontal="left" vertical="center" wrapText="1"/>
    </xf>
    <xf numFmtId="0" fontId="45" fillId="4" borderId="1" xfId="0" applyFont="1" applyFill="1" applyBorder="1" applyAlignment="1">
      <alignment horizontal="left" vertical="center" wrapText="1"/>
    </xf>
    <xf numFmtId="0" fontId="49" fillId="0" borderId="0" xfId="0" applyFont="1"/>
    <xf numFmtId="0" fontId="29" fillId="0" borderId="10" xfId="0" applyFont="1" applyBorder="1" applyAlignment="1">
      <alignment vertical="center" wrapText="1"/>
    </xf>
    <xf numFmtId="0" fontId="29" fillId="0" borderId="10" xfId="0" applyFont="1" applyBorder="1" applyAlignment="1">
      <alignment horizontal="right" vertical="center" wrapText="1"/>
    </xf>
    <xf numFmtId="0" fontId="52" fillId="0" borderId="10" xfId="0" applyFont="1" applyBorder="1" applyAlignment="1">
      <alignment vertical="center" wrapText="1"/>
    </xf>
    <xf numFmtId="0" fontId="31" fillId="0" borderId="10" xfId="0" applyFont="1" applyBorder="1"/>
    <xf numFmtId="0" fontId="53" fillId="0" borderId="0" xfId="0" applyFont="1" applyAlignment="1">
      <alignment vertical="center" wrapText="1"/>
    </xf>
    <xf numFmtId="0" fontId="53" fillId="0" borderId="0" xfId="0" applyFont="1" applyAlignment="1">
      <alignment horizontal="right" vertical="center" wrapText="1"/>
    </xf>
    <xf numFmtId="0" fontId="53" fillId="0" borderId="0" xfId="0" applyFont="1" applyAlignment="1">
      <alignment horizontal="left" vertical="center" wrapText="1" indent="1"/>
    </xf>
    <xf numFmtId="0" fontId="54" fillId="0" borderId="0" xfId="0" applyFont="1" applyAlignment="1">
      <alignment vertical="center" wrapText="1"/>
    </xf>
    <xf numFmtId="0" fontId="55" fillId="0" borderId="0" xfId="0" applyFont="1" applyAlignment="1">
      <alignment vertical="center" wrapText="1"/>
    </xf>
    <xf numFmtId="0" fontId="56" fillId="0" borderId="0" xfId="0" applyFont="1" applyAlignment="1">
      <alignment vertical="center" wrapText="1"/>
    </xf>
    <xf numFmtId="0" fontId="44" fillId="0" borderId="0" xfId="0" applyFont="1" applyAlignment="1">
      <alignment vertical="center" wrapText="1"/>
    </xf>
    <xf numFmtId="0" fontId="55" fillId="0" borderId="0" xfId="0" applyFont="1" applyAlignment="1">
      <alignment vertical="center"/>
    </xf>
    <xf numFmtId="0" fontId="14" fillId="0" borderId="0" xfId="0" applyFont="1" applyFill="1" applyAlignment="1">
      <alignment horizontal="left"/>
    </xf>
    <xf numFmtId="0" fontId="15" fillId="0" borderId="0" xfId="0" applyFont="1" applyFill="1" applyAlignment="1">
      <alignment vertical="center" wrapText="1"/>
    </xf>
    <xf numFmtId="0" fontId="15" fillId="0" borderId="0" xfId="0" applyFont="1" applyFill="1" applyAlignment="1">
      <alignment horizontal="center" vertical="center" wrapText="1"/>
    </xf>
    <xf numFmtId="0" fontId="17" fillId="0" borderId="0" xfId="0" applyFont="1" applyFill="1" applyAlignment="1">
      <alignment vertical="center" wrapText="1"/>
    </xf>
    <xf numFmtId="0" fontId="16" fillId="0" borderId="0" xfId="0" applyFont="1" applyFill="1"/>
    <xf numFmtId="0" fontId="16" fillId="0" borderId="0" xfId="0" applyFont="1" applyFill="1" applyAlignment="1">
      <alignment horizontal="left"/>
    </xf>
    <xf numFmtId="0" fontId="16" fillId="0" borderId="0" xfId="0" applyFont="1" applyFill="1" applyAlignment="1">
      <alignment horizontal="left" wrapText="1"/>
    </xf>
    <xf numFmtId="0" fontId="16" fillId="0" borderId="0" xfId="0" applyFont="1" applyFill="1" applyAlignment="1">
      <alignment vertical="center"/>
    </xf>
    <xf numFmtId="0" fontId="16" fillId="0" borderId="0" xfId="0" applyFont="1" applyFill="1" applyAlignment="1">
      <alignment horizontal="left" vertical="center"/>
    </xf>
    <xf numFmtId="2" fontId="16" fillId="0" borderId="0" xfId="0" applyNumberFormat="1" applyFont="1" applyFill="1"/>
    <xf numFmtId="11" fontId="16" fillId="0" borderId="0" xfId="1" applyNumberFormat="1" applyFont="1" applyFill="1" applyAlignment="1">
      <alignment horizontal="right" vertical="center"/>
    </xf>
    <xf numFmtId="11" fontId="16" fillId="0" borderId="0" xfId="1" applyNumberFormat="1" applyFont="1" applyFill="1" applyAlignment="1">
      <alignment horizontal="right"/>
    </xf>
    <xf numFmtId="11" fontId="16" fillId="0" borderId="0" xfId="0" applyNumberFormat="1" applyFont="1" applyFill="1"/>
    <xf numFmtId="166" fontId="16" fillId="0" borderId="0" xfId="1" applyNumberFormat="1" applyFont="1" applyFill="1" applyAlignment="1">
      <alignment horizontal="left"/>
    </xf>
    <xf numFmtId="0" fontId="16" fillId="0" borderId="0" xfId="0" applyFont="1" applyFill="1" applyAlignment="1">
      <alignment horizontal="left" vertical="center" wrapText="1" indent="1"/>
    </xf>
    <xf numFmtId="168" fontId="0" fillId="0" borderId="0" xfId="0" applyNumberFormat="1" applyFill="1"/>
    <xf numFmtId="167" fontId="16" fillId="0" borderId="0" xfId="1" applyNumberFormat="1" applyFont="1" applyFill="1" applyAlignment="1">
      <alignment horizontal="left"/>
    </xf>
    <xf numFmtId="43" fontId="16" fillId="0" borderId="0" xfId="1" applyFont="1" applyFill="1"/>
    <xf numFmtId="0" fontId="0" fillId="0" borderId="0" xfId="0" applyFill="1" applyAlignment="1">
      <alignment horizontal="left"/>
    </xf>
    <xf numFmtId="3" fontId="16" fillId="0" borderId="0" xfId="0" applyNumberFormat="1" applyFont="1" applyFill="1" applyAlignment="1">
      <alignment horizontal="left"/>
    </xf>
    <xf numFmtId="43" fontId="0" fillId="0" borderId="0" xfId="1" applyFont="1" applyFill="1"/>
    <xf numFmtId="0" fontId="18" fillId="0" borderId="0" xfId="0" applyFont="1" applyFill="1"/>
    <xf numFmtId="2" fontId="18" fillId="0" borderId="0" xfId="0" applyNumberFormat="1" applyFont="1" applyFill="1"/>
    <xf numFmtId="0" fontId="20" fillId="0" borderId="0" xfId="0" applyFont="1" applyFill="1"/>
    <xf numFmtId="0" fontId="19" fillId="0" borderId="0" xfId="0" applyFont="1" applyFill="1" applyAlignment="1">
      <alignment vertical="center" wrapText="1"/>
    </xf>
    <xf numFmtId="166" fontId="0" fillId="0" borderId="0" xfId="0" applyNumberFormat="1" applyFill="1"/>
    <xf numFmtId="0" fontId="27" fillId="0" borderId="0" xfId="0" applyFont="1" applyFill="1" applyAlignment="1">
      <alignment horizontal="left" vertical="center"/>
    </xf>
    <xf numFmtId="0" fontId="28" fillId="0" borderId="0" xfId="0" applyFont="1" applyFill="1" applyAlignment="1">
      <alignment horizontal="left" vertical="center"/>
    </xf>
    <xf numFmtId="0" fontId="27" fillId="0" borderId="0" xfId="0" applyFont="1" applyFill="1" applyBorder="1" applyAlignment="1">
      <alignment horizontal="left" vertical="center"/>
    </xf>
    <xf numFmtId="0" fontId="27" fillId="0" borderId="7" xfId="0" applyFont="1" applyFill="1" applyBorder="1" applyAlignment="1">
      <alignment horizontal="left" vertical="center"/>
    </xf>
    <xf numFmtId="0" fontId="16" fillId="0" borderId="7" xfId="0" applyFont="1" applyFill="1" applyBorder="1" applyAlignment="1">
      <alignment vertical="center" wrapText="1"/>
    </xf>
    <xf numFmtId="0" fontId="0" fillId="0" borderId="0" xfId="0" applyFill="1" applyAlignment="1">
      <alignment horizontal="left" vertical="center"/>
    </xf>
    <xf numFmtId="0" fontId="27" fillId="0" borderId="8" xfId="0" applyFont="1" applyFill="1" applyBorder="1" applyAlignment="1">
      <alignment horizontal="left" vertical="center"/>
    </xf>
    <xf numFmtId="3" fontId="28" fillId="0" borderId="0" xfId="0" applyNumberFormat="1" applyFont="1" applyFill="1" applyAlignment="1">
      <alignment horizontal="left" vertical="center"/>
    </xf>
    <xf numFmtId="0" fontId="29" fillId="0" borderId="0" xfId="0" applyFont="1" applyFill="1" applyAlignment="1">
      <alignment horizontal="left" vertical="center"/>
    </xf>
    <xf numFmtId="0" fontId="30" fillId="0" borderId="0" xfId="0" applyFont="1" applyFill="1" applyAlignment="1">
      <alignment horizontal="left" vertical="center"/>
    </xf>
    <xf numFmtId="0" fontId="27" fillId="0" borderId="0" xfId="0" applyFont="1" applyFill="1" applyAlignment="1">
      <alignment vertical="center"/>
    </xf>
    <xf numFmtId="0" fontId="0" fillId="0" borderId="0" xfId="0" applyFill="1" applyAlignment="1"/>
    <xf numFmtId="0" fontId="30" fillId="0" borderId="0" xfId="0" applyFont="1" applyFill="1" applyAlignment="1">
      <alignment vertical="center"/>
    </xf>
    <xf numFmtId="0" fontId="28" fillId="0" borderId="0" xfId="0" applyFont="1" applyFill="1" applyAlignment="1">
      <alignment vertical="center"/>
    </xf>
    <xf numFmtId="0" fontId="22" fillId="0" borderId="0" xfId="0" applyFont="1" applyAlignment="1">
      <alignment horizontal="left" vertical="center"/>
    </xf>
    <xf numFmtId="3" fontId="22" fillId="2" borderId="0" xfId="0" applyNumberFormat="1" applyFont="1" applyFill="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22" fillId="0" borderId="0" xfId="0" applyFont="1" applyAlignment="1">
      <alignment vertical="center"/>
    </xf>
    <xf numFmtId="0" fontId="16" fillId="2" borderId="0" xfId="0" applyFont="1" applyFill="1" applyBorder="1" applyAlignment="1">
      <alignment vertical="center" wrapText="1"/>
    </xf>
    <xf numFmtId="0" fontId="16" fillId="0" borderId="0" xfId="0" applyFont="1" applyBorder="1" applyAlignment="1">
      <alignment vertical="center" wrapText="1"/>
    </xf>
    <xf numFmtId="0" fontId="22" fillId="0" borderId="0" xfId="0" applyFont="1" applyFill="1" applyAlignment="1">
      <alignment horizontal="left" vertical="center"/>
    </xf>
    <xf numFmtId="3" fontId="22" fillId="0" borderId="0" xfId="0" applyNumberFormat="1" applyFont="1" applyFill="1" applyAlignment="1">
      <alignment horizontal="left" vertical="center"/>
    </xf>
    <xf numFmtId="0" fontId="6" fillId="0" borderId="0" xfId="0" applyFont="1" applyFill="1" applyAlignment="1">
      <alignment horizontal="left" vertical="center"/>
    </xf>
    <xf numFmtId="0" fontId="33" fillId="0" borderId="0" xfId="0" applyFont="1" applyFill="1" applyBorder="1" applyAlignment="1"/>
    <xf numFmtId="0" fontId="14" fillId="0" borderId="0" xfId="0" applyFont="1" applyFill="1" applyBorder="1" applyAlignment="1">
      <alignment horizontal="center" vertical="center"/>
    </xf>
    <xf numFmtId="0" fontId="14" fillId="0" borderId="0" xfId="0" applyFont="1" applyAlignment="1">
      <alignment horizontal="left" vertical="center"/>
    </xf>
    <xf numFmtId="0" fontId="40" fillId="0" borderId="0" xfId="0" applyFont="1" applyAlignment="1">
      <alignment horizontal="left" vertical="center"/>
    </xf>
    <xf numFmtId="0" fontId="42" fillId="0" borderId="0" xfId="0" applyFont="1" applyFill="1" applyAlignment="1">
      <alignment horizontal="left" vertical="center"/>
    </xf>
    <xf numFmtId="0" fontId="58" fillId="0" borderId="0" xfId="0" applyFont="1" applyFill="1" applyBorder="1" applyAlignment="1"/>
    <xf numFmtId="0" fontId="36" fillId="0" borderId="0" xfId="0" applyFont="1" applyAlignment="1">
      <alignment horizontal="left"/>
    </xf>
    <xf numFmtId="0" fontId="36" fillId="0" borderId="0" xfId="0" applyFont="1" applyAlignment="1">
      <alignment horizontal="left" vertical="center"/>
    </xf>
    <xf numFmtId="0" fontId="22" fillId="0" borderId="0" xfId="0" applyFont="1" applyAlignment="1">
      <alignment horizontal="left" vertical="center" indent="4"/>
    </xf>
    <xf numFmtId="0" fontId="21" fillId="0" borderId="0" xfId="0" applyFont="1" applyAlignment="1">
      <alignment vertical="center" wrapText="1"/>
    </xf>
    <xf numFmtId="0" fontId="52" fillId="0" borderId="0" xfId="0" applyFont="1" applyAlignment="1">
      <alignment horizontal="left" vertical="center" indent="4"/>
    </xf>
    <xf numFmtId="0" fontId="59" fillId="0" borderId="0" xfId="0" applyFont="1" applyFill="1" applyBorder="1" applyAlignment="1">
      <alignment wrapText="1"/>
    </xf>
    <xf numFmtId="0" fontId="59" fillId="0" borderId="0" xfId="0" applyFont="1" applyFill="1" applyAlignment="1"/>
    <xf numFmtId="0" fontId="60" fillId="0" borderId="0" xfId="0" applyFont="1" applyFill="1" applyAlignment="1">
      <alignment horizontal="left"/>
    </xf>
    <xf numFmtId="0" fontId="60" fillId="0" borderId="0" xfId="0" applyFont="1" applyFill="1" applyBorder="1" applyAlignment="1">
      <alignment horizontal="left"/>
    </xf>
    <xf numFmtId="0" fontId="60" fillId="0" borderId="0" xfId="0" applyFont="1" applyAlignment="1">
      <alignment horizontal="left"/>
    </xf>
    <xf numFmtId="0" fontId="61" fillId="0" borderId="0" xfId="0" applyFont="1" applyFill="1" applyAlignment="1">
      <alignment horizontal="left"/>
    </xf>
    <xf numFmtId="0" fontId="61" fillId="0" borderId="0" xfId="0" applyFont="1" applyAlignment="1">
      <alignment horizontal="left"/>
    </xf>
    <xf numFmtId="2" fontId="60" fillId="0" borderId="0" xfId="0" applyNumberFormat="1" applyFont="1" applyFill="1" applyBorder="1" applyAlignment="1">
      <alignment horizontal="left"/>
    </xf>
    <xf numFmtId="11" fontId="60" fillId="0" borderId="0" xfId="1" applyNumberFormat="1" applyFont="1" applyFill="1" applyAlignment="1">
      <alignment horizontal="left"/>
    </xf>
    <xf numFmtId="11" fontId="60" fillId="0" borderId="0" xfId="1" applyNumberFormat="1" applyFont="1" applyFill="1" applyBorder="1" applyAlignment="1">
      <alignment horizontal="left"/>
    </xf>
    <xf numFmtId="0" fontId="62" fillId="0" borderId="0" xfId="0" applyFont="1" applyFill="1" applyBorder="1" applyAlignment="1">
      <alignment horizontal="left"/>
    </xf>
    <xf numFmtId="2" fontId="62" fillId="0" borderId="0" xfId="0" applyNumberFormat="1" applyFont="1" applyFill="1" applyBorder="1" applyAlignment="1">
      <alignment horizontal="left"/>
    </xf>
    <xf numFmtId="0" fontId="60" fillId="0" borderId="0" xfId="0" quotePrefix="1" applyFont="1" applyFill="1" applyAlignment="1">
      <alignment horizontal="left"/>
    </xf>
    <xf numFmtId="11" fontId="60" fillId="0" borderId="0" xfId="0" applyNumberFormat="1" applyFont="1" applyFill="1" applyBorder="1" applyAlignment="1">
      <alignment horizontal="left"/>
    </xf>
    <xf numFmtId="11" fontId="60" fillId="0" borderId="0" xfId="0" applyNumberFormat="1" applyFont="1" applyFill="1" applyAlignment="1">
      <alignment horizontal="left"/>
    </xf>
    <xf numFmtId="0" fontId="63" fillId="0" borderId="0" xfId="0" applyFont="1" applyFill="1" applyAlignment="1">
      <alignment horizontal="left"/>
    </xf>
    <xf numFmtId="0" fontId="65" fillId="0" borderId="0" xfId="2" applyFont="1" applyFill="1" applyBorder="1" applyAlignment="1">
      <alignment horizontal="left"/>
    </xf>
    <xf numFmtId="0" fontId="14" fillId="0" borderId="0" xfId="0" applyFont="1"/>
    <xf numFmtId="0" fontId="67" fillId="0" borderId="0" xfId="0" applyFont="1" applyFill="1" applyAlignment="1">
      <alignment horizontal="left"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73013600572657"/>
          <c:y val="4.9237773849697353E-2"/>
          <c:w val="0.80172440944881884"/>
          <c:h val="0.73577136191309422"/>
        </c:manualLayout>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'Fig 3b-LIPs July 22'!$AG$28:$AG$44</c:f>
              <c:numCache>
                <c:formatCode>General</c:formatCode>
                <c:ptCount val="17"/>
                <c:pt idx="0">
                  <c:v>1780</c:v>
                </c:pt>
                <c:pt idx="1">
                  <c:v>1880.5</c:v>
                </c:pt>
                <c:pt idx="2">
                  <c:v>1888</c:v>
                </c:pt>
                <c:pt idx="3">
                  <c:v>1951</c:v>
                </c:pt>
                <c:pt idx="4">
                  <c:v>2000</c:v>
                </c:pt>
                <c:pt idx="5">
                  <c:v>2023</c:v>
                </c:pt>
                <c:pt idx="6">
                  <c:v>2038</c:v>
                </c:pt>
                <c:pt idx="7">
                  <c:v>2053</c:v>
                </c:pt>
                <c:pt idx="8">
                  <c:v>2072</c:v>
                </c:pt>
                <c:pt idx="9">
                  <c:v>2104</c:v>
                </c:pt>
                <c:pt idx="11">
                  <c:v>2113</c:v>
                </c:pt>
                <c:pt idx="13">
                  <c:v>2165</c:v>
                </c:pt>
                <c:pt idx="14">
                  <c:v>2165.2999999999997</c:v>
                </c:pt>
                <c:pt idx="15">
                  <c:v>2177</c:v>
                </c:pt>
                <c:pt idx="16">
                  <c:v>2207</c:v>
                </c:pt>
              </c:numCache>
            </c:numRef>
          </c:xVal>
          <c:yVal>
            <c:numRef>
              <c:f>'Fig 3b-LIPs July 22'!$AI$28:$AI$44</c:f>
              <c:numCache>
                <c:formatCode>0.00E+00</c:formatCode>
                <c:ptCount val="17"/>
                <c:pt idx="0">
                  <c:v>61743000</c:v>
                </c:pt>
                <c:pt idx="1">
                  <c:v>61006000</c:v>
                </c:pt>
                <c:pt idx="2">
                  <c:v>59946000</c:v>
                </c:pt>
                <c:pt idx="3">
                  <c:v>56996000</c:v>
                </c:pt>
                <c:pt idx="4">
                  <c:v>14396000</c:v>
                </c:pt>
                <c:pt idx="5">
                  <c:v>13659000</c:v>
                </c:pt>
                <c:pt idx="6">
                  <c:v>12922000</c:v>
                </c:pt>
                <c:pt idx="7">
                  <c:v>12185000</c:v>
                </c:pt>
                <c:pt idx="8">
                  <c:v>11125000</c:v>
                </c:pt>
                <c:pt idx="9">
                  <c:v>10388000</c:v>
                </c:pt>
                <c:pt idx="11">
                  <c:v>8914000</c:v>
                </c:pt>
                <c:pt idx="13">
                  <c:v>7117000</c:v>
                </c:pt>
                <c:pt idx="14">
                  <c:v>5457000</c:v>
                </c:pt>
                <c:pt idx="15">
                  <c:v>847000</c:v>
                </c:pt>
                <c:pt idx="16">
                  <c:v>737000</c:v>
                </c:pt>
              </c:numCache>
            </c:numRef>
          </c:yVal>
          <c:smooth val="0"/>
          <c:extLst>
            <c:ext xmlns:c16="http://schemas.microsoft.com/office/drawing/2014/chart" uri="{C3380CC4-5D6E-409C-BE32-E72D297353CC}">
              <c16:uniqueId val="{00000000-4C5D-224A-969D-90BD4A8265E8}"/>
            </c:ext>
          </c:extLst>
        </c:ser>
        <c: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'Fig 3b-LIPs July 22'!$AS$28:$AS$44</c:f>
              <c:numCache>
                <c:formatCode>General</c:formatCode>
                <c:ptCount val="17"/>
                <c:pt idx="0">
                  <c:v>1864</c:v>
                </c:pt>
                <c:pt idx="1">
                  <c:v>1885.1</c:v>
                </c:pt>
                <c:pt idx="2">
                  <c:v>1893</c:v>
                </c:pt>
                <c:pt idx="3">
                  <c:v>1999</c:v>
                </c:pt>
                <c:pt idx="4">
                  <c:v>2020</c:v>
                </c:pt>
                <c:pt idx="5">
                  <c:v>2030</c:v>
                </c:pt>
                <c:pt idx="6">
                  <c:v>2041</c:v>
                </c:pt>
                <c:pt idx="7">
                  <c:v>2081</c:v>
                </c:pt>
                <c:pt idx="8">
                  <c:v>2117</c:v>
                </c:pt>
                <c:pt idx="9">
                  <c:v>2125</c:v>
                </c:pt>
                <c:pt idx="11">
                  <c:v>2168.1</c:v>
                </c:pt>
                <c:pt idx="13">
                  <c:v>2187</c:v>
                </c:pt>
                <c:pt idx="14">
                  <c:v>2190.3999999999996</c:v>
                </c:pt>
                <c:pt idx="15">
                  <c:v>2211</c:v>
                </c:pt>
                <c:pt idx="16">
                  <c:v>2235</c:v>
                </c:pt>
              </c:numCache>
            </c:numRef>
          </c:xVal>
          <c:yVal>
            <c:numRef>
              <c:f>'Fig 3b-LIPs July 22'!$AT$28:$AT$44</c:f>
              <c:numCache>
                <c:formatCode>0.00E+00</c:formatCode>
                <c:ptCount val="17"/>
                <c:pt idx="0">
                  <c:v>61743000</c:v>
                </c:pt>
                <c:pt idx="1">
                  <c:v>61006000</c:v>
                </c:pt>
                <c:pt idx="2">
                  <c:v>59946000</c:v>
                </c:pt>
                <c:pt idx="3">
                  <c:v>56996000</c:v>
                </c:pt>
                <c:pt idx="4">
                  <c:v>14396000</c:v>
                </c:pt>
                <c:pt idx="5">
                  <c:v>13659000</c:v>
                </c:pt>
                <c:pt idx="6">
                  <c:v>12922000</c:v>
                </c:pt>
                <c:pt idx="7">
                  <c:v>12185000</c:v>
                </c:pt>
                <c:pt idx="8">
                  <c:v>11448000</c:v>
                </c:pt>
                <c:pt idx="9">
                  <c:v>10711000</c:v>
                </c:pt>
                <c:pt idx="11">
                  <c:v>9237000</c:v>
                </c:pt>
                <c:pt idx="13">
                  <c:v>3567000</c:v>
                </c:pt>
                <c:pt idx="14">
                  <c:v>2507000</c:v>
                </c:pt>
                <c:pt idx="15">
                  <c:v>2397000</c:v>
                </c:pt>
                <c:pt idx="16">
                  <c:v>1660000</c:v>
                </c:pt>
              </c:numCache>
            </c:numRef>
          </c:yVal>
          <c:smooth val="0"/>
          <c:extLst>
            <c:ext xmlns:c16="http://schemas.microsoft.com/office/drawing/2014/chart" uri="{C3380CC4-5D6E-409C-BE32-E72D297353CC}">
              <c16:uniqueId val="{00000001-4C5D-224A-969D-90BD4A8265E8}"/>
            </c:ext>
          </c:extLst>
        </c:ser>
        <c:dLbls>
          <c:showLegendKey val="0"/>
          <c:showVal val="0"/>
          <c:showCatName val="0"/>
          <c:showSerName val="0"/>
          <c:showPercent val="0"/>
          <c:showBubbleSize val="0"/>
        </c:dLbls>
        <c:axId val="849172112"/>
        <c:axId val="702910592"/>
      </c:scatterChart>
      <c:valAx>
        <c:axId val="849172112"/>
        <c:scaling>
          <c:orientation val="minMax"/>
          <c:max val="2200"/>
          <c:min val="185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910592"/>
        <c:crosses val="autoZero"/>
        <c:crossBetween val="midCat"/>
      </c:valAx>
      <c:valAx>
        <c:axId val="702910592"/>
        <c:scaling>
          <c:orientation val="minMax"/>
          <c:max val="100000000"/>
          <c:min val="1.0000000000000006E-10"/>
        </c:scaling>
        <c:delete val="0"/>
        <c:axPos val="l"/>
        <c:majorGridlines>
          <c:spPr>
            <a:ln w="9525" cap="flat" cmpd="sng" algn="ctr">
              <a:solidFill>
                <a:schemeClr val="tx1">
                  <a:lumMod val="15000"/>
                  <a:lumOff val="85000"/>
                </a:schemeClr>
              </a:solidFill>
              <a:round/>
            </a:ln>
            <a:effectLst/>
          </c:spPr>
        </c:majorGridlines>
        <c:numFmt formatCode="0.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172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v>Black Shale (m)</c:v>
          </c:tx>
          <c:spPr>
            <a:ln w="19050">
              <a:solidFill>
                <a:schemeClr val="tx1"/>
              </a:solidFill>
            </a:ln>
          </c:spPr>
          <c:xVal>
            <c:numRef>
              <c:f>' Blk Shales w.o dep rate'!$C$3:$C$52</c:f>
              <c:numCache>
                <c:formatCode>General</c:formatCode>
                <c:ptCount val="50"/>
                <c:pt idx="0">
                  <c:v>600</c:v>
                </c:pt>
                <c:pt idx="1">
                  <c:v>600</c:v>
                </c:pt>
                <c:pt idx="2">
                  <c:v>600</c:v>
                </c:pt>
                <c:pt idx="3">
                  <c:v>650</c:v>
                </c:pt>
                <c:pt idx="4">
                  <c:v>650</c:v>
                </c:pt>
                <c:pt idx="5">
                  <c:v>650</c:v>
                </c:pt>
                <c:pt idx="6">
                  <c:v>650</c:v>
                </c:pt>
                <c:pt idx="7">
                  <c:v>750</c:v>
                </c:pt>
                <c:pt idx="8">
                  <c:v>790</c:v>
                </c:pt>
                <c:pt idx="9">
                  <c:v>850</c:v>
                </c:pt>
                <c:pt idx="10">
                  <c:v>850</c:v>
                </c:pt>
                <c:pt idx="11">
                  <c:v>1000</c:v>
                </c:pt>
                <c:pt idx="12">
                  <c:v>1000</c:v>
                </c:pt>
                <c:pt idx="13">
                  <c:v>1000</c:v>
                </c:pt>
                <c:pt idx="14">
                  <c:v>1050</c:v>
                </c:pt>
                <c:pt idx="15">
                  <c:v>1250</c:v>
                </c:pt>
                <c:pt idx="16">
                  <c:v>1450</c:v>
                </c:pt>
                <c:pt idx="17">
                  <c:v>1600</c:v>
                </c:pt>
                <c:pt idx="18">
                  <c:v>1640</c:v>
                </c:pt>
                <c:pt idx="19">
                  <c:v>1690</c:v>
                </c:pt>
                <c:pt idx="20">
                  <c:v>1700</c:v>
                </c:pt>
                <c:pt idx="21">
                  <c:v>1700</c:v>
                </c:pt>
                <c:pt idx="22">
                  <c:v>1750</c:v>
                </c:pt>
                <c:pt idx="23">
                  <c:v>1790</c:v>
                </c:pt>
                <c:pt idx="24">
                  <c:v>1850</c:v>
                </c:pt>
                <c:pt idx="25">
                  <c:v>1875</c:v>
                </c:pt>
                <c:pt idx="26">
                  <c:v>1878</c:v>
                </c:pt>
                <c:pt idx="27">
                  <c:v>1880</c:v>
                </c:pt>
                <c:pt idx="28">
                  <c:v>1880</c:v>
                </c:pt>
                <c:pt idx="29">
                  <c:v>1880</c:v>
                </c:pt>
                <c:pt idx="30">
                  <c:v>1900</c:v>
                </c:pt>
                <c:pt idx="31">
                  <c:v>1900</c:v>
                </c:pt>
                <c:pt idx="32">
                  <c:v>1925</c:v>
                </c:pt>
                <c:pt idx="33">
                  <c:v>1930</c:v>
                </c:pt>
                <c:pt idx="34">
                  <c:v>1975</c:v>
                </c:pt>
                <c:pt idx="35">
                  <c:v>1975</c:v>
                </c:pt>
                <c:pt idx="36">
                  <c:v>1995</c:v>
                </c:pt>
                <c:pt idx="37">
                  <c:v>2000</c:v>
                </c:pt>
                <c:pt idx="38">
                  <c:v>2000</c:v>
                </c:pt>
                <c:pt idx="39">
                  <c:v>2100</c:v>
                </c:pt>
                <c:pt idx="40">
                  <c:v>2100</c:v>
                </c:pt>
                <c:pt idx="41">
                  <c:v>2100</c:v>
                </c:pt>
                <c:pt idx="42">
                  <c:v>2150</c:v>
                </c:pt>
                <c:pt idx="43">
                  <c:v>2350</c:v>
                </c:pt>
                <c:pt idx="44">
                  <c:v>2350</c:v>
                </c:pt>
                <c:pt idx="45">
                  <c:v>2350</c:v>
                </c:pt>
                <c:pt idx="46">
                  <c:v>2460</c:v>
                </c:pt>
                <c:pt idx="47">
                  <c:v>2530</c:v>
                </c:pt>
                <c:pt idx="48">
                  <c:v>2630</c:v>
                </c:pt>
                <c:pt idx="49">
                  <c:v>2700</c:v>
                </c:pt>
              </c:numCache>
            </c:numRef>
          </c:xVal>
          <c:yVal>
            <c:numRef>
              <c:f>' Blk Shales w.o dep rate'!$J$3:$J$52</c:f>
              <c:numCache>
                <c:formatCode>General</c:formatCode>
                <c:ptCount val="50"/>
                <c:pt idx="0">
                  <c:v>24676</c:v>
                </c:pt>
                <c:pt idx="1">
                  <c:v>23863</c:v>
                </c:pt>
                <c:pt idx="2">
                  <c:v>23737</c:v>
                </c:pt>
                <c:pt idx="3">
                  <c:v>23062</c:v>
                </c:pt>
                <c:pt idx="4">
                  <c:v>22897</c:v>
                </c:pt>
                <c:pt idx="5">
                  <c:v>22777</c:v>
                </c:pt>
                <c:pt idx="6">
                  <c:v>22612</c:v>
                </c:pt>
                <c:pt idx="7">
                  <c:v>22561</c:v>
                </c:pt>
                <c:pt idx="8">
                  <c:v>22081</c:v>
                </c:pt>
                <c:pt idx="9">
                  <c:v>21581</c:v>
                </c:pt>
                <c:pt idx="10">
                  <c:v>21062</c:v>
                </c:pt>
                <c:pt idx="11">
                  <c:v>20901</c:v>
                </c:pt>
                <c:pt idx="12">
                  <c:v>20743</c:v>
                </c:pt>
                <c:pt idx="13">
                  <c:v>20189</c:v>
                </c:pt>
                <c:pt idx="14">
                  <c:v>20108</c:v>
                </c:pt>
                <c:pt idx="15">
                  <c:v>19848</c:v>
                </c:pt>
                <c:pt idx="16">
                  <c:v>19452</c:v>
                </c:pt>
                <c:pt idx="17">
                  <c:v>18852</c:v>
                </c:pt>
                <c:pt idx="18">
                  <c:v>18777</c:v>
                </c:pt>
                <c:pt idx="19">
                  <c:v>18371</c:v>
                </c:pt>
                <c:pt idx="20">
                  <c:v>17771</c:v>
                </c:pt>
                <c:pt idx="21">
                  <c:v>16763</c:v>
                </c:pt>
                <c:pt idx="22">
                  <c:v>15223</c:v>
                </c:pt>
                <c:pt idx="23">
                  <c:v>15022</c:v>
                </c:pt>
                <c:pt idx="24">
                  <c:v>14522</c:v>
                </c:pt>
                <c:pt idx="25">
                  <c:v>13982</c:v>
                </c:pt>
                <c:pt idx="26">
                  <c:v>13822</c:v>
                </c:pt>
                <c:pt idx="27">
                  <c:v>11797</c:v>
                </c:pt>
                <c:pt idx="28">
                  <c:v>10718</c:v>
                </c:pt>
                <c:pt idx="29">
                  <c:v>10470</c:v>
                </c:pt>
                <c:pt idx="30">
                  <c:v>9670</c:v>
                </c:pt>
                <c:pt idx="31">
                  <c:v>9276</c:v>
                </c:pt>
                <c:pt idx="32">
                  <c:v>9026</c:v>
                </c:pt>
                <c:pt idx="33">
                  <c:v>8720</c:v>
                </c:pt>
                <c:pt idx="34">
                  <c:v>8176</c:v>
                </c:pt>
                <c:pt idx="35">
                  <c:v>7548</c:v>
                </c:pt>
                <c:pt idx="36">
                  <c:v>6948</c:v>
                </c:pt>
                <c:pt idx="37">
                  <c:v>4955</c:v>
                </c:pt>
                <c:pt idx="38">
                  <c:v>4460</c:v>
                </c:pt>
                <c:pt idx="39">
                  <c:v>4302</c:v>
                </c:pt>
                <c:pt idx="40">
                  <c:v>3637</c:v>
                </c:pt>
                <c:pt idx="41">
                  <c:v>3267</c:v>
                </c:pt>
                <c:pt idx="42">
                  <c:v>3147</c:v>
                </c:pt>
                <c:pt idx="43">
                  <c:v>2892</c:v>
                </c:pt>
                <c:pt idx="44">
                  <c:v>2542</c:v>
                </c:pt>
                <c:pt idx="45">
                  <c:v>2212</c:v>
                </c:pt>
                <c:pt idx="46">
                  <c:v>1637</c:v>
                </c:pt>
                <c:pt idx="47">
                  <c:v>1202</c:v>
                </c:pt>
                <c:pt idx="48">
                  <c:v>753</c:v>
                </c:pt>
                <c:pt idx="49">
                  <c:v>105</c:v>
                </c:pt>
              </c:numCache>
            </c:numRef>
          </c:yVal>
          <c:smooth val="0"/>
          <c:extLst>
            <c:ext xmlns:c16="http://schemas.microsoft.com/office/drawing/2014/chart" uri="{C3380CC4-5D6E-409C-BE32-E72D297353CC}">
              <c16:uniqueId val="{00000000-3FD0-784F-BE33-0673A45F14F8}"/>
            </c:ext>
          </c:extLst>
        </c:ser>
        <c:ser>
          <c:idx val="4"/>
          <c:order val="1"/>
          <c:tx>
            <c:v>Black Shale Minimum age</c:v>
          </c:tx>
          <c:xVal>
            <c:numRef>
              <c:f>' Blk Shales w.o dep rate'!$AA$3:$AA$51</c:f>
              <c:numCache>
                <c:formatCode>General</c:formatCode>
                <c:ptCount val="49"/>
                <c:pt idx="0">
                  <c:v>500</c:v>
                </c:pt>
                <c:pt idx="1">
                  <c:v>550</c:v>
                </c:pt>
                <c:pt idx="2">
                  <c:v>580</c:v>
                </c:pt>
                <c:pt idx="3">
                  <c:v>605</c:v>
                </c:pt>
                <c:pt idx="4">
                  <c:v>610</c:v>
                </c:pt>
                <c:pt idx="5">
                  <c:v>610</c:v>
                </c:pt>
                <c:pt idx="6">
                  <c:v>615</c:v>
                </c:pt>
                <c:pt idx="7">
                  <c:v>700</c:v>
                </c:pt>
                <c:pt idx="8">
                  <c:v>730</c:v>
                </c:pt>
                <c:pt idx="9">
                  <c:v>740</c:v>
                </c:pt>
                <c:pt idx="10">
                  <c:v>740</c:v>
                </c:pt>
                <c:pt idx="11">
                  <c:v>930</c:v>
                </c:pt>
                <c:pt idx="12">
                  <c:v>950</c:v>
                </c:pt>
                <c:pt idx="13">
                  <c:v>1000</c:v>
                </c:pt>
                <c:pt idx="14">
                  <c:v>1000</c:v>
                </c:pt>
                <c:pt idx="15">
                  <c:v>1200</c:v>
                </c:pt>
                <c:pt idx="16">
                  <c:v>1440</c:v>
                </c:pt>
                <c:pt idx="17">
                  <c:v>1550</c:v>
                </c:pt>
                <c:pt idx="18">
                  <c:v>1590</c:v>
                </c:pt>
                <c:pt idx="19">
                  <c:v>1678</c:v>
                </c:pt>
                <c:pt idx="20">
                  <c:v>1680</c:v>
                </c:pt>
                <c:pt idx="21">
                  <c:v>1680</c:v>
                </c:pt>
                <c:pt idx="22">
                  <c:v>1720</c:v>
                </c:pt>
                <c:pt idx="23">
                  <c:v>1770</c:v>
                </c:pt>
                <c:pt idx="24">
                  <c:v>1800</c:v>
                </c:pt>
                <c:pt idx="25">
                  <c:v>1830</c:v>
                </c:pt>
                <c:pt idx="26">
                  <c:v>1850</c:v>
                </c:pt>
                <c:pt idx="27">
                  <c:v>1858</c:v>
                </c:pt>
                <c:pt idx="28">
                  <c:v>1860</c:v>
                </c:pt>
                <c:pt idx="29">
                  <c:v>1860</c:v>
                </c:pt>
                <c:pt idx="30">
                  <c:v>1860</c:v>
                </c:pt>
                <c:pt idx="31">
                  <c:v>1870</c:v>
                </c:pt>
                <c:pt idx="32">
                  <c:v>1900</c:v>
                </c:pt>
                <c:pt idx="33">
                  <c:v>1910</c:v>
                </c:pt>
                <c:pt idx="34">
                  <c:v>1955</c:v>
                </c:pt>
                <c:pt idx="35">
                  <c:v>1960</c:v>
                </c:pt>
                <c:pt idx="36">
                  <c:v>1965</c:v>
                </c:pt>
                <c:pt idx="37">
                  <c:v>1970</c:v>
                </c:pt>
                <c:pt idx="38">
                  <c:v>1970</c:v>
                </c:pt>
                <c:pt idx="39">
                  <c:v>1980</c:v>
                </c:pt>
                <c:pt idx="40">
                  <c:v>1980</c:v>
                </c:pt>
                <c:pt idx="41">
                  <c:v>2040</c:v>
                </c:pt>
                <c:pt idx="42">
                  <c:v>2100</c:v>
                </c:pt>
                <c:pt idx="43">
                  <c:v>2250</c:v>
                </c:pt>
                <c:pt idx="44">
                  <c:v>2250</c:v>
                </c:pt>
                <c:pt idx="45">
                  <c:v>2300</c:v>
                </c:pt>
                <c:pt idx="46">
                  <c:v>2450</c:v>
                </c:pt>
                <c:pt idx="47">
                  <c:v>2510</c:v>
                </c:pt>
                <c:pt idx="48">
                  <c:v>2610</c:v>
                </c:pt>
              </c:numCache>
            </c:numRef>
          </c:xVal>
          <c:yVal>
            <c:numRef>
              <c:f>' Blk Shales w.o dep rate'!$AF$3:$AF$51</c:f>
              <c:numCache>
                <c:formatCode>General</c:formatCode>
                <c:ptCount val="49"/>
                <c:pt idx="0">
                  <c:v>24571</c:v>
                </c:pt>
                <c:pt idx="1">
                  <c:v>23896</c:v>
                </c:pt>
                <c:pt idx="2">
                  <c:v>23770</c:v>
                </c:pt>
                <c:pt idx="3">
                  <c:v>22957</c:v>
                </c:pt>
                <c:pt idx="4">
                  <c:v>22906</c:v>
                </c:pt>
                <c:pt idx="5">
                  <c:v>22786</c:v>
                </c:pt>
                <c:pt idx="6">
                  <c:v>22621</c:v>
                </c:pt>
                <c:pt idx="7">
                  <c:v>22456</c:v>
                </c:pt>
                <c:pt idx="8">
                  <c:v>21976</c:v>
                </c:pt>
                <c:pt idx="9">
                  <c:v>21457</c:v>
                </c:pt>
                <c:pt idx="10">
                  <c:v>20957</c:v>
                </c:pt>
                <c:pt idx="11">
                  <c:v>20796</c:v>
                </c:pt>
                <c:pt idx="12">
                  <c:v>20242</c:v>
                </c:pt>
                <c:pt idx="13">
                  <c:v>20084</c:v>
                </c:pt>
                <c:pt idx="14">
                  <c:v>20003</c:v>
                </c:pt>
                <c:pt idx="15">
                  <c:v>19743</c:v>
                </c:pt>
                <c:pt idx="16">
                  <c:v>19347</c:v>
                </c:pt>
                <c:pt idx="17">
                  <c:v>18747</c:v>
                </c:pt>
                <c:pt idx="18">
                  <c:v>18672</c:v>
                </c:pt>
                <c:pt idx="19">
                  <c:v>18266</c:v>
                </c:pt>
                <c:pt idx="20">
                  <c:v>16726</c:v>
                </c:pt>
                <c:pt idx="21">
                  <c:v>16126</c:v>
                </c:pt>
                <c:pt idx="22">
                  <c:v>15118</c:v>
                </c:pt>
                <c:pt idx="23">
                  <c:v>14917</c:v>
                </c:pt>
                <c:pt idx="24">
                  <c:v>14417</c:v>
                </c:pt>
                <c:pt idx="25">
                  <c:v>14167</c:v>
                </c:pt>
                <c:pt idx="26">
                  <c:v>13627</c:v>
                </c:pt>
                <c:pt idx="27">
                  <c:v>13233</c:v>
                </c:pt>
                <c:pt idx="28">
                  <c:v>11208</c:v>
                </c:pt>
                <c:pt idx="29">
                  <c:v>10129</c:v>
                </c:pt>
                <c:pt idx="30">
                  <c:v>9881</c:v>
                </c:pt>
                <c:pt idx="31">
                  <c:v>9081</c:v>
                </c:pt>
                <c:pt idx="32">
                  <c:v>8921</c:v>
                </c:pt>
                <c:pt idx="33">
                  <c:v>8615</c:v>
                </c:pt>
                <c:pt idx="34">
                  <c:v>8071</c:v>
                </c:pt>
                <c:pt idx="35">
                  <c:v>7443</c:v>
                </c:pt>
                <c:pt idx="36">
                  <c:v>7285</c:v>
                </c:pt>
                <c:pt idx="37">
                  <c:v>6685</c:v>
                </c:pt>
                <c:pt idx="38">
                  <c:v>4692</c:v>
                </c:pt>
                <c:pt idx="39">
                  <c:v>4197</c:v>
                </c:pt>
                <c:pt idx="40">
                  <c:v>3532</c:v>
                </c:pt>
                <c:pt idx="41">
                  <c:v>3162</c:v>
                </c:pt>
                <c:pt idx="42">
                  <c:v>3042</c:v>
                </c:pt>
                <c:pt idx="43">
                  <c:v>2787</c:v>
                </c:pt>
                <c:pt idx="44">
                  <c:v>2457</c:v>
                </c:pt>
                <c:pt idx="45">
                  <c:v>1882</c:v>
                </c:pt>
                <c:pt idx="46">
                  <c:v>1532</c:v>
                </c:pt>
                <c:pt idx="47">
                  <c:v>1097</c:v>
                </c:pt>
                <c:pt idx="48">
                  <c:v>648</c:v>
                </c:pt>
              </c:numCache>
            </c:numRef>
          </c:yVal>
          <c:smooth val="0"/>
          <c:extLst>
            <c:ext xmlns:c16="http://schemas.microsoft.com/office/drawing/2014/chart" uri="{C3380CC4-5D6E-409C-BE32-E72D297353CC}">
              <c16:uniqueId val="{00000001-3FD0-784F-BE33-0673A45F14F8}"/>
            </c:ext>
          </c:extLst>
        </c:ser>
        <c:ser>
          <c:idx val="5"/>
          <c:order val="2"/>
          <c:tx>
            <c:v>Black Shale Min age </c:v>
          </c:tx>
          <c:xVal>
            <c:numRef>
              <c:f>' Blk Shales w.o dep rate'!$AM$3:$AM$51</c:f>
              <c:numCache>
                <c:formatCode>General</c:formatCode>
                <c:ptCount val="49"/>
                <c:pt idx="0">
                  <c:v>620</c:v>
                </c:pt>
                <c:pt idx="1">
                  <c:v>650</c:v>
                </c:pt>
                <c:pt idx="2">
                  <c:v>685</c:v>
                </c:pt>
                <c:pt idx="3">
                  <c:v>690</c:v>
                </c:pt>
                <c:pt idx="4">
                  <c:v>690</c:v>
                </c:pt>
                <c:pt idx="5">
                  <c:v>695</c:v>
                </c:pt>
                <c:pt idx="6">
                  <c:v>700</c:v>
                </c:pt>
                <c:pt idx="7">
                  <c:v>800</c:v>
                </c:pt>
                <c:pt idx="8">
                  <c:v>840</c:v>
                </c:pt>
                <c:pt idx="9">
                  <c:v>960</c:v>
                </c:pt>
                <c:pt idx="10">
                  <c:v>970</c:v>
                </c:pt>
                <c:pt idx="11">
                  <c:v>1000</c:v>
                </c:pt>
                <c:pt idx="12">
                  <c:v>1050</c:v>
                </c:pt>
                <c:pt idx="13">
                  <c:v>1070</c:v>
                </c:pt>
                <c:pt idx="14">
                  <c:v>1100</c:v>
                </c:pt>
                <c:pt idx="15">
                  <c:v>1300</c:v>
                </c:pt>
                <c:pt idx="16">
                  <c:v>1460</c:v>
                </c:pt>
                <c:pt idx="17">
                  <c:v>1650</c:v>
                </c:pt>
                <c:pt idx="18">
                  <c:v>1690</c:v>
                </c:pt>
                <c:pt idx="19">
                  <c:v>1700</c:v>
                </c:pt>
                <c:pt idx="20">
                  <c:v>1720</c:v>
                </c:pt>
                <c:pt idx="21">
                  <c:v>1722</c:v>
                </c:pt>
                <c:pt idx="22">
                  <c:v>1780</c:v>
                </c:pt>
                <c:pt idx="23">
                  <c:v>1810</c:v>
                </c:pt>
                <c:pt idx="24">
                  <c:v>1870</c:v>
                </c:pt>
                <c:pt idx="25">
                  <c:v>1880</c:v>
                </c:pt>
                <c:pt idx="26">
                  <c:v>1898</c:v>
                </c:pt>
                <c:pt idx="27">
                  <c:v>1900</c:v>
                </c:pt>
                <c:pt idx="28">
                  <c:v>1900</c:v>
                </c:pt>
                <c:pt idx="29">
                  <c:v>1900</c:v>
                </c:pt>
                <c:pt idx="30">
                  <c:v>1950</c:v>
                </c:pt>
                <c:pt idx="31">
                  <c:v>1950</c:v>
                </c:pt>
                <c:pt idx="32">
                  <c:v>1950</c:v>
                </c:pt>
                <c:pt idx="33">
                  <c:v>1985</c:v>
                </c:pt>
                <c:pt idx="34">
                  <c:v>1995</c:v>
                </c:pt>
                <c:pt idx="35">
                  <c:v>2000</c:v>
                </c:pt>
                <c:pt idx="36">
                  <c:v>2020</c:v>
                </c:pt>
                <c:pt idx="37">
                  <c:v>2030</c:v>
                </c:pt>
                <c:pt idx="38">
                  <c:v>2040</c:v>
                </c:pt>
                <c:pt idx="39">
                  <c:v>2160</c:v>
                </c:pt>
                <c:pt idx="40">
                  <c:v>2200</c:v>
                </c:pt>
                <c:pt idx="41">
                  <c:v>2220</c:v>
                </c:pt>
                <c:pt idx="42">
                  <c:v>2220</c:v>
                </c:pt>
                <c:pt idx="43">
                  <c:v>2400</c:v>
                </c:pt>
                <c:pt idx="44">
                  <c:v>2450</c:v>
                </c:pt>
                <c:pt idx="45">
                  <c:v>2450</c:v>
                </c:pt>
                <c:pt idx="46">
                  <c:v>2470</c:v>
                </c:pt>
                <c:pt idx="47">
                  <c:v>2550</c:v>
                </c:pt>
                <c:pt idx="48">
                  <c:v>2650</c:v>
                </c:pt>
              </c:numCache>
            </c:numRef>
          </c:xVal>
          <c:yVal>
            <c:numRef>
              <c:f>' Blk Shales w.o dep rate'!$AR$3:$AR$51</c:f>
              <c:numCache>
                <c:formatCode>General</c:formatCode>
                <c:ptCount val="49"/>
                <c:pt idx="0">
                  <c:v>24571</c:v>
                </c:pt>
                <c:pt idx="1">
                  <c:v>23758</c:v>
                </c:pt>
                <c:pt idx="2">
                  <c:v>23632</c:v>
                </c:pt>
                <c:pt idx="3">
                  <c:v>23467</c:v>
                </c:pt>
                <c:pt idx="4">
                  <c:v>23347</c:v>
                </c:pt>
                <c:pt idx="5">
                  <c:v>23182</c:v>
                </c:pt>
                <c:pt idx="6">
                  <c:v>23131</c:v>
                </c:pt>
                <c:pt idx="7">
                  <c:v>22456</c:v>
                </c:pt>
                <c:pt idx="8">
                  <c:v>21976</c:v>
                </c:pt>
                <c:pt idx="9">
                  <c:v>21476</c:v>
                </c:pt>
                <c:pt idx="10">
                  <c:v>21315</c:v>
                </c:pt>
                <c:pt idx="11">
                  <c:v>20796</c:v>
                </c:pt>
                <c:pt idx="12">
                  <c:v>20715</c:v>
                </c:pt>
                <c:pt idx="13">
                  <c:v>20557</c:v>
                </c:pt>
                <c:pt idx="14">
                  <c:v>20003</c:v>
                </c:pt>
                <c:pt idx="15">
                  <c:v>19743</c:v>
                </c:pt>
                <c:pt idx="16">
                  <c:v>19347</c:v>
                </c:pt>
                <c:pt idx="17">
                  <c:v>18747</c:v>
                </c:pt>
                <c:pt idx="18">
                  <c:v>18672</c:v>
                </c:pt>
                <c:pt idx="19">
                  <c:v>18266</c:v>
                </c:pt>
                <c:pt idx="20">
                  <c:v>17666</c:v>
                </c:pt>
                <c:pt idx="21">
                  <c:v>16658</c:v>
                </c:pt>
                <c:pt idx="22">
                  <c:v>15118</c:v>
                </c:pt>
                <c:pt idx="23">
                  <c:v>14917</c:v>
                </c:pt>
                <c:pt idx="24">
                  <c:v>14417</c:v>
                </c:pt>
                <c:pt idx="25">
                  <c:v>13877</c:v>
                </c:pt>
                <c:pt idx="26">
                  <c:v>13717</c:v>
                </c:pt>
                <c:pt idx="27">
                  <c:v>11692</c:v>
                </c:pt>
                <c:pt idx="28">
                  <c:v>10613</c:v>
                </c:pt>
                <c:pt idx="29">
                  <c:v>10365</c:v>
                </c:pt>
                <c:pt idx="30">
                  <c:v>9565</c:v>
                </c:pt>
                <c:pt idx="31">
                  <c:v>9171</c:v>
                </c:pt>
                <c:pt idx="32">
                  <c:v>8865</c:v>
                </c:pt>
                <c:pt idx="33">
                  <c:v>8321</c:v>
                </c:pt>
                <c:pt idx="34">
                  <c:v>7721</c:v>
                </c:pt>
                <c:pt idx="35">
                  <c:v>7093</c:v>
                </c:pt>
                <c:pt idx="36">
                  <c:v>6843</c:v>
                </c:pt>
                <c:pt idx="37">
                  <c:v>4850</c:v>
                </c:pt>
                <c:pt idx="38">
                  <c:v>4355</c:v>
                </c:pt>
                <c:pt idx="39">
                  <c:v>4197</c:v>
                </c:pt>
                <c:pt idx="40">
                  <c:v>4077</c:v>
                </c:pt>
                <c:pt idx="41">
                  <c:v>3822</c:v>
                </c:pt>
                <c:pt idx="42">
                  <c:v>3157</c:v>
                </c:pt>
                <c:pt idx="43">
                  <c:v>2787</c:v>
                </c:pt>
                <c:pt idx="44">
                  <c:v>2437</c:v>
                </c:pt>
                <c:pt idx="45">
                  <c:v>2107</c:v>
                </c:pt>
                <c:pt idx="46">
                  <c:v>1532</c:v>
                </c:pt>
                <c:pt idx="47">
                  <c:v>1097</c:v>
                </c:pt>
                <c:pt idx="48">
                  <c:v>648</c:v>
                </c:pt>
              </c:numCache>
            </c:numRef>
          </c:yVal>
          <c:smooth val="0"/>
          <c:extLst>
            <c:ext xmlns:c16="http://schemas.microsoft.com/office/drawing/2014/chart" uri="{C3380CC4-5D6E-409C-BE32-E72D297353CC}">
              <c16:uniqueId val="{00000002-3FD0-784F-BE33-0673A45F14F8}"/>
            </c:ext>
          </c:extLst>
        </c:ser>
        <c:ser>
          <c:idx val="0"/>
          <c:order val="3"/>
          <c:tx>
            <c:v>Black Shale (m)</c:v>
          </c:tx>
          <c:spPr>
            <a:ln w="19050" cap="rnd">
              <a:solidFill>
                <a:schemeClr val="tx1"/>
              </a:solidFill>
              <a:round/>
            </a:ln>
            <a:effectLst/>
          </c:spPr>
          <c:marker>
            <c:symbol val="circle"/>
            <c:size val="5"/>
            <c:spPr>
              <a:solidFill>
                <a:schemeClr val="accent1"/>
              </a:solidFill>
              <a:ln w="9525">
                <a:solidFill>
                  <a:schemeClr val="bg1">
                    <a:lumMod val="50000"/>
                  </a:schemeClr>
                </a:solidFill>
              </a:ln>
              <a:effectLst/>
            </c:spPr>
          </c:marker>
          <c:xVal>
            <c:numRef>
              <c:f>' Blk Shales w.o dep rate'!$C$3:$C$52</c:f>
              <c:numCache>
                <c:formatCode>General</c:formatCode>
                <c:ptCount val="50"/>
                <c:pt idx="0">
                  <c:v>600</c:v>
                </c:pt>
                <c:pt idx="1">
                  <c:v>600</c:v>
                </c:pt>
                <c:pt idx="2">
                  <c:v>600</c:v>
                </c:pt>
                <c:pt idx="3">
                  <c:v>650</c:v>
                </c:pt>
                <c:pt idx="4">
                  <c:v>650</c:v>
                </c:pt>
                <c:pt idx="5">
                  <c:v>650</c:v>
                </c:pt>
                <c:pt idx="6">
                  <c:v>650</c:v>
                </c:pt>
                <c:pt idx="7">
                  <c:v>750</c:v>
                </c:pt>
                <c:pt idx="8">
                  <c:v>790</c:v>
                </c:pt>
                <c:pt idx="9">
                  <c:v>850</c:v>
                </c:pt>
                <c:pt idx="10">
                  <c:v>850</c:v>
                </c:pt>
                <c:pt idx="11">
                  <c:v>1000</c:v>
                </c:pt>
                <c:pt idx="12">
                  <c:v>1000</c:v>
                </c:pt>
                <c:pt idx="13">
                  <c:v>1000</c:v>
                </c:pt>
                <c:pt idx="14">
                  <c:v>1050</c:v>
                </c:pt>
                <c:pt idx="15">
                  <c:v>1250</c:v>
                </c:pt>
                <c:pt idx="16">
                  <c:v>1450</c:v>
                </c:pt>
                <c:pt idx="17">
                  <c:v>1600</c:v>
                </c:pt>
                <c:pt idx="18">
                  <c:v>1640</c:v>
                </c:pt>
                <c:pt idx="19">
                  <c:v>1690</c:v>
                </c:pt>
                <c:pt idx="20">
                  <c:v>1700</c:v>
                </c:pt>
                <c:pt idx="21">
                  <c:v>1700</c:v>
                </c:pt>
                <c:pt idx="22">
                  <c:v>1750</c:v>
                </c:pt>
                <c:pt idx="23">
                  <c:v>1790</c:v>
                </c:pt>
                <c:pt idx="24">
                  <c:v>1850</c:v>
                </c:pt>
                <c:pt idx="25">
                  <c:v>1875</c:v>
                </c:pt>
                <c:pt idx="26">
                  <c:v>1878</c:v>
                </c:pt>
                <c:pt idx="27">
                  <c:v>1880</c:v>
                </c:pt>
                <c:pt idx="28">
                  <c:v>1880</c:v>
                </c:pt>
                <c:pt idx="29">
                  <c:v>1880</c:v>
                </c:pt>
                <c:pt idx="30">
                  <c:v>1900</c:v>
                </c:pt>
                <c:pt idx="31">
                  <c:v>1900</c:v>
                </c:pt>
                <c:pt idx="32">
                  <c:v>1925</c:v>
                </c:pt>
                <c:pt idx="33">
                  <c:v>1930</c:v>
                </c:pt>
                <c:pt idx="34">
                  <c:v>1975</c:v>
                </c:pt>
                <c:pt idx="35">
                  <c:v>1975</c:v>
                </c:pt>
                <c:pt idx="36">
                  <c:v>1995</c:v>
                </c:pt>
                <c:pt idx="37">
                  <c:v>2000</c:v>
                </c:pt>
                <c:pt idx="38">
                  <c:v>2000</c:v>
                </c:pt>
                <c:pt idx="39">
                  <c:v>2100</c:v>
                </c:pt>
                <c:pt idx="40">
                  <c:v>2100</c:v>
                </c:pt>
                <c:pt idx="41">
                  <c:v>2100</c:v>
                </c:pt>
                <c:pt idx="42">
                  <c:v>2150</c:v>
                </c:pt>
                <c:pt idx="43">
                  <c:v>2350</c:v>
                </c:pt>
                <c:pt idx="44">
                  <c:v>2350</c:v>
                </c:pt>
                <c:pt idx="45">
                  <c:v>2350</c:v>
                </c:pt>
                <c:pt idx="46">
                  <c:v>2460</c:v>
                </c:pt>
                <c:pt idx="47">
                  <c:v>2530</c:v>
                </c:pt>
                <c:pt idx="48">
                  <c:v>2630</c:v>
                </c:pt>
                <c:pt idx="49">
                  <c:v>2700</c:v>
                </c:pt>
              </c:numCache>
            </c:numRef>
          </c:xVal>
          <c:yVal>
            <c:numRef>
              <c:f>' Blk Shales w.o dep rate'!$J$3:$J$52</c:f>
              <c:numCache>
                <c:formatCode>General</c:formatCode>
                <c:ptCount val="50"/>
                <c:pt idx="0">
                  <c:v>24676</c:v>
                </c:pt>
                <c:pt idx="1">
                  <c:v>23863</c:v>
                </c:pt>
                <c:pt idx="2">
                  <c:v>23737</c:v>
                </c:pt>
                <c:pt idx="3">
                  <c:v>23062</c:v>
                </c:pt>
                <c:pt idx="4">
                  <c:v>22897</c:v>
                </c:pt>
                <c:pt idx="5">
                  <c:v>22777</c:v>
                </c:pt>
                <c:pt idx="6">
                  <c:v>22612</c:v>
                </c:pt>
                <c:pt idx="7">
                  <c:v>22561</c:v>
                </c:pt>
                <c:pt idx="8">
                  <c:v>22081</c:v>
                </c:pt>
                <c:pt idx="9">
                  <c:v>21581</c:v>
                </c:pt>
                <c:pt idx="10">
                  <c:v>21062</c:v>
                </c:pt>
                <c:pt idx="11">
                  <c:v>20901</c:v>
                </c:pt>
                <c:pt idx="12">
                  <c:v>20743</c:v>
                </c:pt>
                <c:pt idx="13">
                  <c:v>20189</c:v>
                </c:pt>
                <c:pt idx="14">
                  <c:v>20108</c:v>
                </c:pt>
                <c:pt idx="15">
                  <c:v>19848</c:v>
                </c:pt>
                <c:pt idx="16">
                  <c:v>19452</c:v>
                </c:pt>
                <c:pt idx="17">
                  <c:v>18852</c:v>
                </c:pt>
                <c:pt idx="18">
                  <c:v>18777</c:v>
                </c:pt>
                <c:pt idx="19">
                  <c:v>18371</c:v>
                </c:pt>
                <c:pt idx="20">
                  <c:v>17771</c:v>
                </c:pt>
                <c:pt idx="21">
                  <c:v>16763</c:v>
                </c:pt>
                <c:pt idx="22">
                  <c:v>15223</c:v>
                </c:pt>
                <c:pt idx="23">
                  <c:v>15022</c:v>
                </c:pt>
                <c:pt idx="24">
                  <c:v>14522</c:v>
                </c:pt>
                <c:pt idx="25">
                  <c:v>13982</c:v>
                </c:pt>
                <c:pt idx="26">
                  <c:v>13822</c:v>
                </c:pt>
                <c:pt idx="27">
                  <c:v>11797</c:v>
                </c:pt>
                <c:pt idx="28">
                  <c:v>10718</c:v>
                </c:pt>
                <c:pt idx="29">
                  <c:v>10470</c:v>
                </c:pt>
                <c:pt idx="30">
                  <c:v>9670</c:v>
                </c:pt>
                <c:pt idx="31">
                  <c:v>9276</c:v>
                </c:pt>
                <c:pt idx="32">
                  <c:v>9026</c:v>
                </c:pt>
                <c:pt idx="33">
                  <c:v>8720</c:v>
                </c:pt>
                <c:pt idx="34">
                  <c:v>8176</c:v>
                </c:pt>
                <c:pt idx="35">
                  <c:v>7548</c:v>
                </c:pt>
                <c:pt idx="36">
                  <c:v>6948</c:v>
                </c:pt>
                <c:pt idx="37">
                  <c:v>4955</c:v>
                </c:pt>
                <c:pt idx="38">
                  <c:v>4460</c:v>
                </c:pt>
                <c:pt idx="39">
                  <c:v>4302</c:v>
                </c:pt>
                <c:pt idx="40">
                  <c:v>3637</c:v>
                </c:pt>
                <c:pt idx="41">
                  <c:v>3267</c:v>
                </c:pt>
                <c:pt idx="42">
                  <c:v>3147</c:v>
                </c:pt>
                <c:pt idx="43">
                  <c:v>2892</c:v>
                </c:pt>
                <c:pt idx="44">
                  <c:v>2542</c:v>
                </c:pt>
                <c:pt idx="45">
                  <c:v>2212</c:v>
                </c:pt>
                <c:pt idx="46">
                  <c:v>1637</c:v>
                </c:pt>
                <c:pt idx="47">
                  <c:v>1202</c:v>
                </c:pt>
                <c:pt idx="48">
                  <c:v>753</c:v>
                </c:pt>
                <c:pt idx="49">
                  <c:v>105</c:v>
                </c:pt>
              </c:numCache>
            </c:numRef>
          </c:yVal>
          <c:smooth val="0"/>
          <c:extLst>
            <c:ext xmlns:c16="http://schemas.microsoft.com/office/drawing/2014/chart" uri="{C3380CC4-5D6E-409C-BE32-E72D297353CC}">
              <c16:uniqueId val="{00000003-3FD0-784F-BE33-0673A45F14F8}"/>
            </c:ext>
          </c:extLst>
        </c:ser>
        <c:ser>
          <c:idx val="1"/>
          <c:order val="4"/>
          <c:tx>
            <c:v>Black Shale Minimum age</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 Blk Shales w.o dep rate'!$AA$3:$AA$51</c:f>
              <c:numCache>
                <c:formatCode>General</c:formatCode>
                <c:ptCount val="49"/>
                <c:pt idx="0">
                  <c:v>500</c:v>
                </c:pt>
                <c:pt idx="1">
                  <c:v>550</c:v>
                </c:pt>
                <c:pt idx="2">
                  <c:v>580</c:v>
                </c:pt>
                <c:pt idx="3">
                  <c:v>605</c:v>
                </c:pt>
                <c:pt idx="4">
                  <c:v>610</c:v>
                </c:pt>
                <c:pt idx="5">
                  <c:v>610</c:v>
                </c:pt>
                <c:pt idx="6">
                  <c:v>615</c:v>
                </c:pt>
                <c:pt idx="7">
                  <c:v>700</c:v>
                </c:pt>
                <c:pt idx="8">
                  <c:v>730</c:v>
                </c:pt>
                <c:pt idx="9">
                  <c:v>740</c:v>
                </c:pt>
                <c:pt idx="10">
                  <c:v>740</c:v>
                </c:pt>
                <c:pt idx="11">
                  <c:v>930</c:v>
                </c:pt>
                <c:pt idx="12">
                  <c:v>950</c:v>
                </c:pt>
                <c:pt idx="13">
                  <c:v>1000</c:v>
                </c:pt>
                <c:pt idx="14">
                  <c:v>1000</c:v>
                </c:pt>
                <c:pt idx="15">
                  <c:v>1200</c:v>
                </c:pt>
                <c:pt idx="16">
                  <c:v>1440</c:v>
                </c:pt>
                <c:pt idx="17">
                  <c:v>1550</c:v>
                </c:pt>
                <c:pt idx="18">
                  <c:v>1590</c:v>
                </c:pt>
                <c:pt idx="19">
                  <c:v>1678</c:v>
                </c:pt>
                <c:pt idx="20">
                  <c:v>1680</c:v>
                </c:pt>
                <c:pt idx="21">
                  <c:v>1680</c:v>
                </c:pt>
                <c:pt idx="22">
                  <c:v>1720</c:v>
                </c:pt>
                <c:pt idx="23">
                  <c:v>1770</c:v>
                </c:pt>
                <c:pt idx="24">
                  <c:v>1800</c:v>
                </c:pt>
                <c:pt idx="25">
                  <c:v>1830</c:v>
                </c:pt>
                <c:pt idx="26">
                  <c:v>1850</c:v>
                </c:pt>
                <c:pt idx="27">
                  <c:v>1858</c:v>
                </c:pt>
                <c:pt idx="28">
                  <c:v>1860</c:v>
                </c:pt>
                <c:pt idx="29">
                  <c:v>1860</c:v>
                </c:pt>
                <c:pt idx="30">
                  <c:v>1860</c:v>
                </c:pt>
                <c:pt idx="31">
                  <c:v>1870</c:v>
                </c:pt>
                <c:pt idx="32">
                  <c:v>1900</c:v>
                </c:pt>
                <c:pt idx="33">
                  <c:v>1910</c:v>
                </c:pt>
                <c:pt idx="34">
                  <c:v>1955</c:v>
                </c:pt>
                <c:pt idx="35">
                  <c:v>1960</c:v>
                </c:pt>
                <c:pt idx="36">
                  <c:v>1965</c:v>
                </c:pt>
                <c:pt idx="37">
                  <c:v>1970</c:v>
                </c:pt>
                <c:pt idx="38">
                  <c:v>1970</c:v>
                </c:pt>
                <c:pt idx="39">
                  <c:v>1980</c:v>
                </c:pt>
                <c:pt idx="40">
                  <c:v>1980</c:v>
                </c:pt>
                <c:pt idx="41">
                  <c:v>2040</c:v>
                </c:pt>
                <c:pt idx="42">
                  <c:v>2100</c:v>
                </c:pt>
                <c:pt idx="43">
                  <c:v>2250</c:v>
                </c:pt>
                <c:pt idx="44">
                  <c:v>2250</c:v>
                </c:pt>
                <c:pt idx="45">
                  <c:v>2300</c:v>
                </c:pt>
                <c:pt idx="46">
                  <c:v>2450</c:v>
                </c:pt>
                <c:pt idx="47">
                  <c:v>2510</c:v>
                </c:pt>
                <c:pt idx="48">
                  <c:v>2610</c:v>
                </c:pt>
              </c:numCache>
            </c:numRef>
          </c:xVal>
          <c:yVal>
            <c:numRef>
              <c:f>' Blk Shales w.o dep rate'!$AF$3:$AF$51</c:f>
              <c:numCache>
                <c:formatCode>General</c:formatCode>
                <c:ptCount val="49"/>
                <c:pt idx="0">
                  <c:v>24571</c:v>
                </c:pt>
                <c:pt idx="1">
                  <c:v>23896</c:v>
                </c:pt>
                <c:pt idx="2">
                  <c:v>23770</c:v>
                </c:pt>
                <c:pt idx="3">
                  <c:v>22957</c:v>
                </c:pt>
                <c:pt idx="4">
                  <c:v>22906</c:v>
                </c:pt>
                <c:pt idx="5">
                  <c:v>22786</c:v>
                </c:pt>
                <c:pt idx="6">
                  <c:v>22621</c:v>
                </c:pt>
                <c:pt idx="7">
                  <c:v>22456</c:v>
                </c:pt>
                <c:pt idx="8">
                  <c:v>21976</c:v>
                </c:pt>
                <c:pt idx="9">
                  <c:v>21457</c:v>
                </c:pt>
                <c:pt idx="10">
                  <c:v>20957</c:v>
                </c:pt>
                <c:pt idx="11">
                  <c:v>20796</c:v>
                </c:pt>
                <c:pt idx="12">
                  <c:v>20242</c:v>
                </c:pt>
                <c:pt idx="13">
                  <c:v>20084</c:v>
                </c:pt>
                <c:pt idx="14">
                  <c:v>20003</c:v>
                </c:pt>
                <c:pt idx="15">
                  <c:v>19743</c:v>
                </c:pt>
                <c:pt idx="16">
                  <c:v>19347</c:v>
                </c:pt>
                <c:pt idx="17">
                  <c:v>18747</c:v>
                </c:pt>
                <c:pt idx="18">
                  <c:v>18672</c:v>
                </c:pt>
                <c:pt idx="19">
                  <c:v>18266</c:v>
                </c:pt>
                <c:pt idx="20">
                  <c:v>16726</c:v>
                </c:pt>
                <c:pt idx="21">
                  <c:v>16126</c:v>
                </c:pt>
                <c:pt idx="22">
                  <c:v>15118</c:v>
                </c:pt>
                <c:pt idx="23">
                  <c:v>14917</c:v>
                </c:pt>
                <c:pt idx="24">
                  <c:v>14417</c:v>
                </c:pt>
                <c:pt idx="25">
                  <c:v>14167</c:v>
                </c:pt>
                <c:pt idx="26">
                  <c:v>13627</c:v>
                </c:pt>
                <c:pt idx="27">
                  <c:v>13233</c:v>
                </c:pt>
                <c:pt idx="28">
                  <c:v>11208</c:v>
                </c:pt>
                <c:pt idx="29">
                  <c:v>10129</c:v>
                </c:pt>
                <c:pt idx="30">
                  <c:v>9881</c:v>
                </c:pt>
                <c:pt idx="31">
                  <c:v>9081</c:v>
                </c:pt>
                <c:pt idx="32">
                  <c:v>8921</c:v>
                </c:pt>
                <c:pt idx="33">
                  <c:v>8615</c:v>
                </c:pt>
                <c:pt idx="34">
                  <c:v>8071</c:v>
                </c:pt>
                <c:pt idx="35">
                  <c:v>7443</c:v>
                </c:pt>
                <c:pt idx="36">
                  <c:v>7285</c:v>
                </c:pt>
                <c:pt idx="37">
                  <c:v>6685</c:v>
                </c:pt>
                <c:pt idx="38">
                  <c:v>4692</c:v>
                </c:pt>
                <c:pt idx="39">
                  <c:v>4197</c:v>
                </c:pt>
                <c:pt idx="40">
                  <c:v>3532</c:v>
                </c:pt>
                <c:pt idx="41">
                  <c:v>3162</c:v>
                </c:pt>
                <c:pt idx="42">
                  <c:v>3042</c:v>
                </c:pt>
                <c:pt idx="43">
                  <c:v>2787</c:v>
                </c:pt>
                <c:pt idx="44">
                  <c:v>2457</c:v>
                </c:pt>
                <c:pt idx="45">
                  <c:v>1882</c:v>
                </c:pt>
                <c:pt idx="46">
                  <c:v>1532</c:v>
                </c:pt>
                <c:pt idx="47">
                  <c:v>1097</c:v>
                </c:pt>
                <c:pt idx="48">
                  <c:v>648</c:v>
                </c:pt>
              </c:numCache>
            </c:numRef>
          </c:yVal>
          <c:smooth val="0"/>
          <c:extLst>
            <c:ext xmlns:c16="http://schemas.microsoft.com/office/drawing/2014/chart" uri="{C3380CC4-5D6E-409C-BE32-E72D297353CC}">
              <c16:uniqueId val="{00000004-3FD0-784F-BE33-0673A45F14F8}"/>
            </c:ext>
          </c:extLst>
        </c:ser>
        <c:ser>
          <c:idx val="2"/>
          <c:order val="5"/>
          <c:tx>
            <c:v>Black Shale Min age </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 Blk Shales w.o dep rate'!$AM$3:$AM$51</c:f>
              <c:numCache>
                <c:formatCode>General</c:formatCode>
                <c:ptCount val="49"/>
                <c:pt idx="0">
                  <c:v>620</c:v>
                </c:pt>
                <c:pt idx="1">
                  <c:v>650</c:v>
                </c:pt>
                <c:pt idx="2">
                  <c:v>685</c:v>
                </c:pt>
                <c:pt idx="3">
                  <c:v>690</c:v>
                </c:pt>
                <c:pt idx="4">
                  <c:v>690</c:v>
                </c:pt>
                <c:pt idx="5">
                  <c:v>695</c:v>
                </c:pt>
                <c:pt idx="6">
                  <c:v>700</c:v>
                </c:pt>
                <c:pt idx="7">
                  <c:v>800</c:v>
                </c:pt>
                <c:pt idx="8">
                  <c:v>840</c:v>
                </c:pt>
                <c:pt idx="9">
                  <c:v>960</c:v>
                </c:pt>
                <c:pt idx="10">
                  <c:v>970</c:v>
                </c:pt>
                <c:pt idx="11">
                  <c:v>1000</c:v>
                </c:pt>
                <c:pt idx="12">
                  <c:v>1050</c:v>
                </c:pt>
                <c:pt idx="13">
                  <c:v>1070</c:v>
                </c:pt>
                <c:pt idx="14">
                  <c:v>1100</c:v>
                </c:pt>
                <c:pt idx="15">
                  <c:v>1300</c:v>
                </c:pt>
                <c:pt idx="16">
                  <c:v>1460</c:v>
                </c:pt>
                <c:pt idx="17">
                  <c:v>1650</c:v>
                </c:pt>
                <c:pt idx="18">
                  <c:v>1690</c:v>
                </c:pt>
                <c:pt idx="19">
                  <c:v>1700</c:v>
                </c:pt>
                <c:pt idx="20">
                  <c:v>1720</c:v>
                </c:pt>
                <c:pt idx="21">
                  <c:v>1722</c:v>
                </c:pt>
                <c:pt idx="22">
                  <c:v>1780</c:v>
                </c:pt>
                <c:pt idx="23">
                  <c:v>1810</c:v>
                </c:pt>
                <c:pt idx="24">
                  <c:v>1870</c:v>
                </c:pt>
                <c:pt idx="25">
                  <c:v>1880</c:v>
                </c:pt>
                <c:pt idx="26">
                  <c:v>1898</c:v>
                </c:pt>
                <c:pt idx="27">
                  <c:v>1900</c:v>
                </c:pt>
                <c:pt idx="28">
                  <c:v>1900</c:v>
                </c:pt>
                <c:pt idx="29">
                  <c:v>1900</c:v>
                </c:pt>
                <c:pt idx="30">
                  <c:v>1950</c:v>
                </c:pt>
                <c:pt idx="31">
                  <c:v>1950</c:v>
                </c:pt>
                <c:pt idx="32">
                  <c:v>1950</c:v>
                </c:pt>
                <c:pt idx="33">
                  <c:v>1985</c:v>
                </c:pt>
                <c:pt idx="34">
                  <c:v>1995</c:v>
                </c:pt>
                <c:pt idx="35">
                  <c:v>2000</c:v>
                </c:pt>
                <c:pt idx="36">
                  <c:v>2020</c:v>
                </c:pt>
                <c:pt idx="37">
                  <c:v>2030</c:v>
                </c:pt>
                <c:pt idx="38">
                  <c:v>2040</c:v>
                </c:pt>
                <c:pt idx="39">
                  <c:v>2160</c:v>
                </c:pt>
                <c:pt idx="40">
                  <c:v>2200</c:v>
                </c:pt>
                <c:pt idx="41">
                  <c:v>2220</c:v>
                </c:pt>
                <c:pt idx="42">
                  <c:v>2220</c:v>
                </c:pt>
                <c:pt idx="43">
                  <c:v>2400</c:v>
                </c:pt>
                <c:pt idx="44">
                  <c:v>2450</c:v>
                </c:pt>
                <c:pt idx="45">
                  <c:v>2450</c:v>
                </c:pt>
                <c:pt idx="46">
                  <c:v>2470</c:v>
                </c:pt>
                <c:pt idx="47">
                  <c:v>2550</c:v>
                </c:pt>
                <c:pt idx="48">
                  <c:v>2650</c:v>
                </c:pt>
              </c:numCache>
            </c:numRef>
          </c:xVal>
          <c:yVal>
            <c:numRef>
              <c:f>' Blk Shales w.o dep rate'!$AR$3:$AR$51</c:f>
              <c:numCache>
                <c:formatCode>General</c:formatCode>
                <c:ptCount val="49"/>
                <c:pt idx="0">
                  <c:v>24571</c:v>
                </c:pt>
                <c:pt idx="1">
                  <c:v>23758</c:v>
                </c:pt>
                <c:pt idx="2">
                  <c:v>23632</c:v>
                </c:pt>
                <c:pt idx="3">
                  <c:v>23467</c:v>
                </c:pt>
                <c:pt idx="4">
                  <c:v>23347</c:v>
                </c:pt>
                <c:pt idx="5">
                  <c:v>23182</c:v>
                </c:pt>
                <c:pt idx="6">
                  <c:v>23131</c:v>
                </c:pt>
                <c:pt idx="7">
                  <c:v>22456</c:v>
                </c:pt>
                <c:pt idx="8">
                  <c:v>21976</c:v>
                </c:pt>
                <c:pt idx="9">
                  <c:v>21476</c:v>
                </c:pt>
                <c:pt idx="10">
                  <c:v>21315</c:v>
                </c:pt>
                <c:pt idx="11">
                  <c:v>20796</c:v>
                </c:pt>
                <c:pt idx="12">
                  <c:v>20715</c:v>
                </c:pt>
                <c:pt idx="13">
                  <c:v>20557</c:v>
                </c:pt>
                <c:pt idx="14">
                  <c:v>20003</c:v>
                </c:pt>
                <c:pt idx="15">
                  <c:v>19743</c:v>
                </c:pt>
                <c:pt idx="16">
                  <c:v>19347</c:v>
                </c:pt>
                <c:pt idx="17">
                  <c:v>18747</c:v>
                </c:pt>
                <c:pt idx="18">
                  <c:v>18672</c:v>
                </c:pt>
                <c:pt idx="19">
                  <c:v>18266</c:v>
                </c:pt>
                <c:pt idx="20">
                  <c:v>17666</c:v>
                </c:pt>
                <c:pt idx="21">
                  <c:v>16658</c:v>
                </c:pt>
                <c:pt idx="22">
                  <c:v>15118</c:v>
                </c:pt>
                <c:pt idx="23">
                  <c:v>14917</c:v>
                </c:pt>
                <c:pt idx="24">
                  <c:v>14417</c:v>
                </c:pt>
                <c:pt idx="25">
                  <c:v>13877</c:v>
                </c:pt>
                <c:pt idx="26">
                  <c:v>13717</c:v>
                </c:pt>
                <c:pt idx="27">
                  <c:v>11692</c:v>
                </c:pt>
                <c:pt idx="28">
                  <c:v>10613</c:v>
                </c:pt>
                <c:pt idx="29">
                  <c:v>10365</c:v>
                </c:pt>
                <c:pt idx="30">
                  <c:v>9565</c:v>
                </c:pt>
                <c:pt idx="31">
                  <c:v>9171</c:v>
                </c:pt>
                <c:pt idx="32">
                  <c:v>8865</c:v>
                </c:pt>
                <c:pt idx="33">
                  <c:v>8321</c:v>
                </c:pt>
                <c:pt idx="34">
                  <c:v>7721</c:v>
                </c:pt>
                <c:pt idx="35">
                  <c:v>7093</c:v>
                </c:pt>
                <c:pt idx="36">
                  <c:v>6843</c:v>
                </c:pt>
                <c:pt idx="37">
                  <c:v>4850</c:v>
                </c:pt>
                <c:pt idx="38">
                  <c:v>4355</c:v>
                </c:pt>
                <c:pt idx="39">
                  <c:v>4197</c:v>
                </c:pt>
                <c:pt idx="40">
                  <c:v>4077</c:v>
                </c:pt>
                <c:pt idx="41">
                  <c:v>3822</c:v>
                </c:pt>
                <c:pt idx="42">
                  <c:v>3157</c:v>
                </c:pt>
                <c:pt idx="43">
                  <c:v>2787</c:v>
                </c:pt>
                <c:pt idx="44">
                  <c:v>2437</c:v>
                </c:pt>
                <c:pt idx="45">
                  <c:v>2107</c:v>
                </c:pt>
                <c:pt idx="46">
                  <c:v>1532</c:v>
                </c:pt>
                <c:pt idx="47">
                  <c:v>1097</c:v>
                </c:pt>
                <c:pt idx="48">
                  <c:v>648</c:v>
                </c:pt>
              </c:numCache>
            </c:numRef>
          </c:yVal>
          <c:smooth val="0"/>
          <c:extLst>
            <c:ext xmlns:c16="http://schemas.microsoft.com/office/drawing/2014/chart" uri="{C3380CC4-5D6E-409C-BE32-E72D297353CC}">
              <c16:uniqueId val="{00000005-3FD0-784F-BE33-0673A45F14F8}"/>
            </c:ext>
          </c:extLst>
        </c:ser>
        <c:dLbls>
          <c:showLegendKey val="0"/>
          <c:showVal val="0"/>
          <c:showCatName val="0"/>
          <c:showSerName val="0"/>
          <c:showPercent val="0"/>
          <c:showBubbleSize val="0"/>
        </c:dLbls>
        <c:axId val="1825199760"/>
        <c:axId val="1825201440"/>
      </c:scatterChart>
      <c:valAx>
        <c:axId val="1825199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201440"/>
        <c:crosses val="autoZero"/>
        <c:crossBetween val="midCat"/>
      </c:valAx>
      <c:valAx>
        <c:axId val="1825201440"/>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199760"/>
        <c:crosses val="autoZero"/>
        <c:crossBetween val="midCat"/>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v>Black Shale (m)</c:v>
          </c:tx>
          <c:spPr>
            <a:ln w="19050">
              <a:solidFill>
                <a:schemeClr val="tx1"/>
              </a:solidFill>
            </a:ln>
          </c:spPr>
          <c:xVal>
            <c:numRef>
              <c:f>' Blk Shales w.o dep rate'!$C$3:$C$52</c:f>
              <c:numCache>
                <c:formatCode>General</c:formatCode>
                <c:ptCount val="50"/>
                <c:pt idx="0">
                  <c:v>600</c:v>
                </c:pt>
                <c:pt idx="1">
                  <c:v>600</c:v>
                </c:pt>
                <c:pt idx="2">
                  <c:v>600</c:v>
                </c:pt>
                <c:pt idx="3">
                  <c:v>650</c:v>
                </c:pt>
                <c:pt idx="4">
                  <c:v>650</c:v>
                </c:pt>
                <c:pt idx="5">
                  <c:v>650</c:v>
                </c:pt>
                <c:pt idx="6">
                  <c:v>650</c:v>
                </c:pt>
                <c:pt idx="7">
                  <c:v>750</c:v>
                </c:pt>
                <c:pt idx="8">
                  <c:v>790</c:v>
                </c:pt>
                <c:pt idx="9">
                  <c:v>850</c:v>
                </c:pt>
                <c:pt idx="10">
                  <c:v>850</c:v>
                </c:pt>
                <c:pt idx="11">
                  <c:v>1000</c:v>
                </c:pt>
                <c:pt idx="12">
                  <c:v>1000</c:v>
                </c:pt>
                <c:pt idx="13">
                  <c:v>1000</c:v>
                </c:pt>
                <c:pt idx="14">
                  <c:v>1050</c:v>
                </c:pt>
                <c:pt idx="15">
                  <c:v>1250</c:v>
                </c:pt>
                <c:pt idx="16">
                  <c:v>1450</c:v>
                </c:pt>
                <c:pt idx="17">
                  <c:v>1600</c:v>
                </c:pt>
                <c:pt idx="18">
                  <c:v>1640</c:v>
                </c:pt>
                <c:pt idx="19">
                  <c:v>1690</c:v>
                </c:pt>
                <c:pt idx="20">
                  <c:v>1700</c:v>
                </c:pt>
                <c:pt idx="21">
                  <c:v>1700</c:v>
                </c:pt>
                <c:pt idx="22">
                  <c:v>1750</c:v>
                </c:pt>
                <c:pt idx="23">
                  <c:v>1790</c:v>
                </c:pt>
                <c:pt idx="24">
                  <c:v>1850</c:v>
                </c:pt>
                <c:pt idx="25">
                  <c:v>1875</c:v>
                </c:pt>
                <c:pt idx="26">
                  <c:v>1878</c:v>
                </c:pt>
                <c:pt idx="27">
                  <c:v>1880</c:v>
                </c:pt>
                <c:pt idx="28">
                  <c:v>1880</c:v>
                </c:pt>
                <c:pt idx="29">
                  <c:v>1880</c:v>
                </c:pt>
                <c:pt idx="30">
                  <c:v>1900</c:v>
                </c:pt>
                <c:pt idx="31">
                  <c:v>1900</c:v>
                </c:pt>
                <c:pt idx="32">
                  <c:v>1925</c:v>
                </c:pt>
                <c:pt idx="33">
                  <c:v>1930</c:v>
                </c:pt>
                <c:pt idx="34">
                  <c:v>1975</c:v>
                </c:pt>
                <c:pt idx="35">
                  <c:v>1975</c:v>
                </c:pt>
                <c:pt idx="36">
                  <c:v>1995</c:v>
                </c:pt>
                <c:pt idx="37">
                  <c:v>2000</c:v>
                </c:pt>
                <c:pt idx="38">
                  <c:v>2000</c:v>
                </c:pt>
                <c:pt idx="39">
                  <c:v>2100</c:v>
                </c:pt>
                <c:pt idx="40">
                  <c:v>2100</c:v>
                </c:pt>
                <c:pt idx="41">
                  <c:v>2100</c:v>
                </c:pt>
                <c:pt idx="42">
                  <c:v>2150</c:v>
                </c:pt>
                <c:pt idx="43">
                  <c:v>2350</c:v>
                </c:pt>
                <c:pt idx="44">
                  <c:v>2350</c:v>
                </c:pt>
                <c:pt idx="45">
                  <c:v>2350</c:v>
                </c:pt>
                <c:pt idx="46">
                  <c:v>2460</c:v>
                </c:pt>
                <c:pt idx="47">
                  <c:v>2530</c:v>
                </c:pt>
                <c:pt idx="48">
                  <c:v>2630</c:v>
                </c:pt>
                <c:pt idx="49">
                  <c:v>2700</c:v>
                </c:pt>
              </c:numCache>
            </c:numRef>
          </c:xVal>
          <c:yVal>
            <c:numRef>
              <c:f>' Blk Shales w.o dep rate'!$J$3:$J$52</c:f>
              <c:numCache>
                <c:formatCode>General</c:formatCode>
                <c:ptCount val="50"/>
                <c:pt idx="0">
                  <c:v>24676</c:v>
                </c:pt>
                <c:pt idx="1">
                  <c:v>23863</c:v>
                </c:pt>
                <c:pt idx="2">
                  <c:v>23737</c:v>
                </c:pt>
                <c:pt idx="3">
                  <c:v>23062</c:v>
                </c:pt>
                <c:pt idx="4">
                  <c:v>22897</c:v>
                </c:pt>
                <c:pt idx="5">
                  <c:v>22777</c:v>
                </c:pt>
                <c:pt idx="6">
                  <c:v>22612</c:v>
                </c:pt>
                <c:pt idx="7">
                  <c:v>22561</c:v>
                </c:pt>
                <c:pt idx="8">
                  <c:v>22081</c:v>
                </c:pt>
                <c:pt idx="9">
                  <c:v>21581</c:v>
                </c:pt>
                <c:pt idx="10">
                  <c:v>21062</c:v>
                </c:pt>
                <c:pt idx="11">
                  <c:v>20901</c:v>
                </c:pt>
                <c:pt idx="12">
                  <c:v>20743</c:v>
                </c:pt>
                <c:pt idx="13">
                  <c:v>20189</c:v>
                </c:pt>
                <c:pt idx="14">
                  <c:v>20108</c:v>
                </c:pt>
                <c:pt idx="15">
                  <c:v>19848</c:v>
                </c:pt>
                <c:pt idx="16">
                  <c:v>19452</c:v>
                </c:pt>
                <c:pt idx="17">
                  <c:v>18852</c:v>
                </c:pt>
                <c:pt idx="18">
                  <c:v>18777</c:v>
                </c:pt>
                <c:pt idx="19">
                  <c:v>18371</c:v>
                </c:pt>
                <c:pt idx="20">
                  <c:v>17771</c:v>
                </c:pt>
                <c:pt idx="21">
                  <c:v>16763</c:v>
                </c:pt>
                <c:pt idx="22">
                  <c:v>15223</c:v>
                </c:pt>
                <c:pt idx="23">
                  <c:v>15022</c:v>
                </c:pt>
                <c:pt idx="24">
                  <c:v>14522</c:v>
                </c:pt>
                <c:pt idx="25">
                  <c:v>13982</c:v>
                </c:pt>
                <c:pt idx="26">
                  <c:v>13822</c:v>
                </c:pt>
                <c:pt idx="27">
                  <c:v>11797</c:v>
                </c:pt>
                <c:pt idx="28">
                  <c:v>10718</c:v>
                </c:pt>
                <c:pt idx="29">
                  <c:v>10470</c:v>
                </c:pt>
                <c:pt idx="30">
                  <c:v>9670</c:v>
                </c:pt>
                <c:pt idx="31">
                  <c:v>9276</c:v>
                </c:pt>
                <c:pt idx="32">
                  <c:v>9026</c:v>
                </c:pt>
                <c:pt idx="33">
                  <c:v>8720</c:v>
                </c:pt>
                <c:pt idx="34">
                  <c:v>8176</c:v>
                </c:pt>
                <c:pt idx="35">
                  <c:v>7548</c:v>
                </c:pt>
                <c:pt idx="36">
                  <c:v>6948</c:v>
                </c:pt>
                <c:pt idx="37">
                  <c:v>4955</c:v>
                </c:pt>
                <c:pt idx="38">
                  <c:v>4460</c:v>
                </c:pt>
                <c:pt idx="39">
                  <c:v>4302</c:v>
                </c:pt>
                <c:pt idx="40">
                  <c:v>3637</c:v>
                </c:pt>
                <c:pt idx="41">
                  <c:v>3267</c:v>
                </c:pt>
                <c:pt idx="42">
                  <c:v>3147</c:v>
                </c:pt>
                <c:pt idx="43">
                  <c:v>2892</c:v>
                </c:pt>
                <c:pt idx="44">
                  <c:v>2542</c:v>
                </c:pt>
                <c:pt idx="45">
                  <c:v>2212</c:v>
                </c:pt>
                <c:pt idx="46">
                  <c:v>1637</c:v>
                </c:pt>
                <c:pt idx="47">
                  <c:v>1202</c:v>
                </c:pt>
                <c:pt idx="48">
                  <c:v>753</c:v>
                </c:pt>
                <c:pt idx="49">
                  <c:v>105</c:v>
                </c:pt>
              </c:numCache>
            </c:numRef>
          </c:yVal>
          <c:smooth val="0"/>
          <c:extLst>
            <c:ext xmlns:c16="http://schemas.microsoft.com/office/drawing/2014/chart" uri="{C3380CC4-5D6E-409C-BE32-E72D297353CC}">
              <c16:uniqueId val="{00000000-5B22-014A-AF55-3EBDE0F135DF}"/>
            </c:ext>
          </c:extLst>
        </c:ser>
        <c:ser>
          <c:idx val="4"/>
          <c:order val="1"/>
          <c:tx>
            <c:v>Black Shale Minimum age</c:v>
          </c:tx>
          <c:xVal>
            <c:numRef>
              <c:f>' Blk Shales w.o dep rate'!$AA$3:$AA$51</c:f>
              <c:numCache>
                <c:formatCode>General</c:formatCode>
                <c:ptCount val="49"/>
                <c:pt idx="0">
                  <c:v>500</c:v>
                </c:pt>
                <c:pt idx="1">
                  <c:v>550</c:v>
                </c:pt>
                <c:pt idx="2">
                  <c:v>580</c:v>
                </c:pt>
                <c:pt idx="3">
                  <c:v>605</c:v>
                </c:pt>
                <c:pt idx="4">
                  <c:v>610</c:v>
                </c:pt>
                <c:pt idx="5">
                  <c:v>610</c:v>
                </c:pt>
                <c:pt idx="6">
                  <c:v>615</c:v>
                </c:pt>
                <c:pt idx="7">
                  <c:v>700</c:v>
                </c:pt>
                <c:pt idx="8">
                  <c:v>730</c:v>
                </c:pt>
                <c:pt idx="9">
                  <c:v>740</c:v>
                </c:pt>
                <c:pt idx="10">
                  <c:v>740</c:v>
                </c:pt>
                <c:pt idx="11">
                  <c:v>930</c:v>
                </c:pt>
                <c:pt idx="12">
                  <c:v>950</c:v>
                </c:pt>
                <c:pt idx="13">
                  <c:v>1000</c:v>
                </c:pt>
                <c:pt idx="14">
                  <c:v>1000</c:v>
                </c:pt>
                <c:pt idx="15">
                  <c:v>1200</c:v>
                </c:pt>
                <c:pt idx="16">
                  <c:v>1440</c:v>
                </c:pt>
                <c:pt idx="17">
                  <c:v>1550</c:v>
                </c:pt>
                <c:pt idx="18">
                  <c:v>1590</c:v>
                </c:pt>
                <c:pt idx="19">
                  <c:v>1678</c:v>
                </c:pt>
                <c:pt idx="20">
                  <c:v>1680</c:v>
                </c:pt>
                <c:pt idx="21">
                  <c:v>1680</c:v>
                </c:pt>
                <c:pt idx="22">
                  <c:v>1720</c:v>
                </c:pt>
                <c:pt idx="23">
                  <c:v>1770</c:v>
                </c:pt>
                <c:pt idx="24">
                  <c:v>1800</c:v>
                </c:pt>
                <c:pt idx="25">
                  <c:v>1830</c:v>
                </c:pt>
                <c:pt idx="26">
                  <c:v>1850</c:v>
                </c:pt>
                <c:pt idx="27">
                  <c:v>1858</c:v>
                </c:pt>
                <c:pt idx="28">
                  <c:v>1860</c:v>
                </c:pt>
                <c:pt idx="29">
                  <c:v>1860</c:v>
                </c:pt>
                <c:pt idx="30">
                  <c:v>1860</c:v>
                </c:pt>
                <c:pt idx="31">
                  <c:v>1870</c:v>
                </c:pt>
                <c:pt idx="32">
                  <c:v>1900</c:v>
                </c:pt>
                <c:pt idx="33">
                  <c:v>1910</c:v>
                </c:pt>
                <c:pt idx="34">
                  <c:v>1955</c:v>
                </c:pt>
                <c:pt idx="35">
                  <c:v>1960</c:v>
                </c:pt>
                <c:pt idx="36">
                  <c:v>1965</c:v>
                </c:pt>
                <c:pt idx="37">
                  <c:v>1970</c:v>
                </c:pt>
                <c:pt idx="38">
                  <c:v>1970</c:v>
                </c:pt>
                <c:pt idx="39">
                  <c:v>1980</c:v>
                </c:pt>
                <c:pt idx="40">
                  <c:v>1980</c:v>
                </c:pt>
                <c:pt idx="41">
                  <c:v>2040</c:v>
                </c:pt>
                <c:pt idx="42">
                  <c:v>2100</c:v>
                </c:pt>
                <c:pt idx="43">
                  <c:v>2250</c:v>
                </c:pt>
                <c:pt idx="44">
                  <c:v>2250</c:v>
                </c:pt>
                <c:pt idx="45">
                  <c:v>2300</c:v>
                </c:pt>
                <c:pt idx="46">
                  <c:v>2450</c:v>
                </c:pt>
                <c:pt idx="47">
                  <c:v>2510</c:v>
                </c:pt>
                <c:pt idx="48">
                  <c:v>2610</c:v>
                </c:pt>
              </c:numCache>
            </c:numRef>
          </c:xVal>
          <c:yVal>
            <c:numRef>
              <c:f>' Blk Shales w.o dep rate'!$AF$3:$AF$51</c:f>
              <c:numCache>
                <c:formatCode>General</c:formatCode>
                <c:ptCount val="49"/>
                <c:pt idx="0">
                  <c:v>24571</c:v>
                </c:pt>
                <c:pt idx="1">
                  <c:v>23896</c:v>
                </c:pt>
                <c:pt idx="2">
                  <c:v>23770</c:v>
                </c:pt>
                <c:pt idx="3">
                  <c:v>22957</c:v>
                </c:pt>
                <c:pt idx="4">
                  <c:v>22906</c:v>
                </c:pt>
                <c:pt idx="5">
                  <c:v>22786</c:v>
                </c:pt>
                <c:pt idx="6">
                  <c:v>22621</c:v>
                </c:pt>
                <c:pt idx="7">
                  <c:v>22456</c:v>
                </c:pt>
                <c:pt idx="8">
                  <c:v>21976</c:v>
                </c:pt>
                <c:pt idx="9">
                  <c:v>21457</c:v>
                </c:pt>
                <c:pt idx="10">
                  <c:v>20957</c:v>
                </c:pt>
                <c:pt idx="11">
                  <c:v>20796</c:v>
                </c:pt>
                <c:pt idx="12">
                  <c:v>20242</c:v>
                </c:pt>
                <c:pt idx="13">
                  <c:v>20084</c:v>
                </c:pt>
                <c:pt idx="14">
                  <c:v>20003</c:v>
                </c:pt>
                <c:pt idx="15">
                  <c:v>19743</c:v>
                </c:pt>
                <c:pt idx="16">
                  <c:v>19347</c:v>
                </c:pt>
                <c:pt idx="17">
                  <c:v>18747</c:v>
                </c:pt>
                <c:pt idx="18">
                  <c:v>18672</c:v>
                </c:pt>
                <c:pt idx="19">
                  <c:v>18266</c:v>
                </c:pt>
                <c:pt idx="20">
                  <c:v>16726</c:v>
                </c:pt>
                <c:pt idx="21">
                  <c:v>16126</c:v>
                </c:pt>
                <c:pt idx="22">
                  <c:v>15118</c:v>
                </c:pt>
                <c:pt idx="23">
                  <c:v>14917</c:v>
                </c:pt>
                <c:pt idx="24">
                  <c:v>14417</c:v>
                </c:pt>
                <c:pt idx="25">
                  <c:v>14167</c:v>
                </c:pt>
                <c:pt idx="26">
                  <c:v>13627</c:v>
                </c:pt>
                <c:pt idx="27">
                  <c:v>13233</c:v>
                </c:pt>
                <c:pt idx="28">
                  <c:v>11208</c:v>
                </c:pt>
                <c:pt idx="29">
                  <c:v>10129</c:v>
                </c:pt>
                <c:pt idx="30">
                  <c:v>9881</c:v>
                </c:pt>
                <c:pt idx="31">
                  <c:v>9081</c:v>
                </c:pt>
                <c:pt idx="32">
                  <c:v>8921</c:v>
                </c:pt>
                <c:pt idx="33">
                  <c:v>8615</c:v>
                </c:pt>
                <c:pt idx="34">
                  <c:v>8071</c:v>
                </c:pt>
                <c:pt idx="35">
                  <c:v>7443</c:v>
                </c:pt>
                <c:pt idx="36">
                  <c:v>7285</c:v>
                </c:pt>
                <c:pt idx="37">
                  <c:v>6685</c:v>
                </c:pt>
                <c:pt idx="38">
                  <c:v>4692</c:v>
                </c:pt>
                <c:pt idx="39">
                  <c:v>4197</c:v>
                </c:pt>
                <c:pt idx="40">
                  <c:v>3532</c:v>
                </c:pt>
                <c:pt idx="41">
                  <c:v>3162</c:v>
                </c:pt>
                <c:pt idx="42">
                  <c:v>3042</c:v>
                </c:pt>
                <c:pt idx="43">
                  <c:v>2787</c:v>
                </c:pt>
                <c:pt idx="44">
                  <c:v>2457</c:v>
                </c:pt>
                <c:pt idx="45">
                  <c:v>1882</c:v>
                </c:pt>
                <c:pt idx="46">
                  <c:v>1532</c:v>
                </c:pt>
                <c:pt idx="47">
                  <c:v>1097</c:v>
                </c:pt>
                <c:pt idx="48">
                  <c:v>648</c:v>
                </c:pt>
              </c:numCache>
            </c:numRef>
          </c:yVal>
          <c:smooth val="0"/>
          <c:extLst>
            <c:ext xmlns:c16="http://schemas.microsoft.com/office/drawing/2014/chart" uri="{C3380CC4-5D6E-409C-BE32-E72D297353CC}">
              <c16:uniqueId val="{00000001-5B22-014A-AF55-3EBDE0F135DF}"/>
            </c:ext>
          </c:extLst>
        </c:ser>
        <c:ser>
          <c:idx val="5"/>
          <c:order val="2"/>
          <c:tx>
            <c:v>Black Shale Min age </c:v>
          </c:tx>
          <c:xVal>
            <c:numRef>
              <c:f>' Blk Shales w.o dep rate'!$AM$3:$AM$51</c:f>
              <c:numCache>
                <c:formatCode>General</c:formatCode>
                <c:ptCount val="49"/>
                <c:pt idx="0">
                  <c:v>620</c:v>
                </c:pt>
                <c:pt idx="1">
                  <c:v>650</c:v>
                </c:pt>
                <c:pt idx="2">
                  <c:v>685</c:v>
                </c:pt>
                <c:pt idx="3">
                  <c:v>690</c:v>
                </c:pt>
                <c:pt idx="4">
                  <c:v>690</c:v>
                </c:pt>
                <c:pt idx="5">
                  <c:v>695</c:v>
                </c:pt>
                <c:pt idx="6">
                  <c:v>700</c:v>
                </c:pt>
                <c:pt idx="7">
                  <c:v>800</c:v>
                </c:pt>
                <c:pt idx="8">
                  <c:v>840</c:v>
                </c:pt>
                <c:pt idx="9">
                  <c:v>960</c:v>
                </c:pt>
                <c:pt idx="10">
                  <c:v>970</c:v>
                </c:pt>
                <c:pt idx="11">
                  <c:v>1000</c:v>
                </c:pt>
                <c:pt idx="12">
                  <c:v>1050</c:v>
                </c:pt>
                <c:pt idx="13">
                  <c:v>1070</c:v>
                </c:pt>
                <c:pt idx="14">
                  <c:v>1100</c:v>
                </c:pt>
                <c:pt idx="15">
                  <c:v>1300</c:v>
                </c:pt>
                <c:pt idx="16">
                  <c:v>1460</c:v>
                </c:pt>
                <c:pt idx="17">
                  <c:v>1650</c:v>
                </c:pt>
                <c:pt idx="18">
                  <c:v>1690</c:v>
                </c:pt>
                <c:pt idx="19">
                  <c:v>1700</c:v>
                </c:pt>
                <c:pt idx="20">
                  <c:v>1720</c:v>
                </c:pt>
                <c:pt idx="21">
                  <c:v>1722</c:v>
                </c:pt>
                <c:pt idx="22">
                  <c:v>1780</c:v>
                </c:pt>
                <c:pt idx="23">
                  <c:v>1810</c:v>
                </c:pt>
                <c:pt idx="24">
                  <c:v>1870</c:v>
                </c:pt>
                <c:pt idx="25">
                  <c:v>1880</c:v>
                </c:pt>
                <c:pt idx="26">
                  <c:v>1898</c:v>
                </c:pt>
                <c:pt idx="27">
                  <c:v>1900</c:v>
                </c:pt>
                <c:pt idx="28">
                  <c:v>1900</c:v>
                </c:pt>
                <c:pt idx="29">
                  <c:v>1900</c:v>
                </c:pt>
                <c:pt idx="30">
                  <c:v>1950</c:v>
                </c:pt>
                <c:pt idx="31">
                  <c:v>1950</c:v>
                </c:pt>
                <c:pt idx="32">
                  <c:v>1950</c:v>
                </c:pt>
                <c:pt idx="33">
                  <c:v>1985</c:v>
                </c:pt>
                <c:pt idx="34">
                  <c:v>1995</c:v>
                </c:pt>
                <c:pt idx="35">
                  <c:v>2000</c:v>
                </c:pt>
                <c:pt idx="36">
                  <c:v>2020</c:v>
                </c:pt>
                <c:pt idx="37">
                  <c:v>2030</c:v>
                </c:pt>
                <c:pt idx="38">
                  <c:v>2040</c:v>
                </c:pt>
                <c:pt idx="39">
                  <c:v>2160</c:v>
                </c:pt>
                <c:pt idx="40">
                  <c:v>2200</c:v>
                </c:pt>
                <c:pt idx="41">
                  <c:v>2220</c:v>
                </c:pt>
                <c:pt idx="42">
                  <c:v>2220</c:v>
                </c:pt>
                <c:pt idx="43">
                  <c:v>2400</c:v>
                </c:pt>
                <c:pt idx="44">
                  <c:v>2450</c:v>
                </c:pt>
                <c:pt idx="45">
                  <c:v>2450</c:v>
                </c:pt>
                <c:pt idx="46">
                  <c:v>2470</c:v>
                </c:pt>
                <c:pt idx="47">
                  <c:v>2550</c:v>
                </c:pt>
                <c:pt idx="48">
                  <c:v>2650</c:v>
                </c:pt>
              </c:numCache>
            </c:numRef>
          </c:xVal>
          <c:yVal>
            <c:numRef>
              <c:f>' Blk Shales w.o dep rate'!$AR$3:$AR$51</c:f>
              <c:numCache>
                <c:formatCode>General</c:formatCode>
                <c:ptCount val="49"/>
                <c:pt idx="0">
                  <c:v>24571</c:v>
                </c:pt>
                <c:pt idx="1">
                  <c:v>23758</c:v>
                </c:pt>
                <c:pt idx="2">
                  <c:v>23632</c:v>
                </c:pt>
                <c:pt idx="3">
                  <c:v>23467</c:v>
                </c:pt>
                <c:pt idx="4">
                  <c:v>23347</c:v>
                </c:pt>
                <c:pt idx="5">
                  <c:v>23182</c:v>
                </c:pt>
                <c:pt idx="6">
                  <c:v>23131</c:v>
                </c:pt>
                <c:pt idx="7">
                  <c:v>22456</c:v>
                </c:pt>
                <c:pt idx="8">
                  <c:v>21976</c:v>
                </c:pt>
                <c:pt idx="9">
                  <c:v>21476</c:v>
                </c:pt>
                <c:pt idx="10">
                  <c:v>21315</c:v>
                </c:pt>
                <c:pt idx="11">
                  <c:v>20796</c:v>
                </c:pt>
                <c:pt idx="12">
                  <c:v>20715</c:v>
                </c:pt>
                <c:pt idx="13">
                  <c:v>20557</c:v>
                </c:pt>
                <c:pt idx="14">
                  <c:v>20003</c:v>
                </c:pt>
                <c:pt idx="15">
                  <c:v>19743</c:v>
                </c:pt>
                <c:pt idx="16">
                  <c:v>19347</c:v>
                </c:pt>
                <c:pt idx="17">
                  <c:v>18747</c:v>
                </c:pt>
                <c:pt idx="18">
                  <c:v>18672</c:v>
                </c:pt>
                <c:pt idx="19">
                  <c:v>18266</c:v>
                </c:pt>
                <c:pt idx="20">
                  <c:v>17666</c:v>
                </c:pt>
                <c:pt idx="21">
                  <c:v>16658</c:v>
                </c:pt>
                <c:pt idx="22">
                  <c:v>15118</c:v>
                </c:pt>
                <c:pt idx="23">
                  <c:v>14917</c:v>
                </c:pt>
                <c:pt idx="24">
                  <c:v>14417</c:v>
                </c:pt>
                <c:pt idx="25">
                  <c:v>13877</c:v>
                </c:pt>
                <c:pt idx="26">
                  <c:v>13717</c:v>
                </c:pt>
                <c:pt idx="27">
                  <c:v>11692</c:v>
                </c:pt>
                <c:pt idx="28">
                  <c:v>10613</c:v>
                </c:pt>
                <c:pt idx="29">
                  <c:v>10365</c:v>
                </c:pt>
                <c:pt idx="30">
                  <c:v>9565</c:v>
                </c:pt>
                <c:pt idx="31">
                  <c:v>9171</c:v>
                </c:pt>
                <c:pt idx="32">
                  <c:v>8865</c:v>
                </c:pt>
                <c:pt idx="33">
                  <c:v>8321</c:v>
                </c:pt>
                <c:pt idx="34">
                  <c:v>7721</c:v>
                </c:pt>
                <c:pt idx="35">
                  <c:v>7093</c:v>
                </c:pt>
                <c:pt idx="36">
                  <c:v>6843</c:v>
                </c:pt>
                <c:pt idx="37">
                  <c:v>4850</c:v>
                </c:pt>
                <c:pt idx="38">
                  <c:v>4355</c:v>
                </c:pt>
                <c:pt idx="39">
                  <c:v>4197</c:v>
                </c:pt>
                <c:pt idx="40">
                  <c:v>4077</c:v>
                </c:pt>
                <c:pt idx="41">
                  <c:v>3822</c:v>
                </c:pt>
                <c:pt idx="42">
                  <c:v>3157</c:v>
                </c:pt>
                <c:pt idx="43">
                  <c:v>2787</c:v>
                </c:pt>
                <c:pt idx="44">
                  <c:v>2437</c:v>
                </c:pt>
                <c:pt idx="45">
                  <c:v>2107</c:v>
                </c:pt>
                <c:pt idx="46">
                  <c:v>1532</c:v>
                </c:pt>
                <c:pt idx="47">
                  <c:v>1097</c:v>
                </c:pt>
                <c:pt idx="48">
                  <c:v>648</c:v>
                </c:pt>
              </c:numCache>
            </c:numRef>
          </c:yVal>
          <c:smooth val="0"/>
          <c:extLst>
            <c:ext xmlns:c16="http://schemas.microsoft.com/office/drawing/2014/chart" uri="{C3380CC4-5D6E-409C-BE32-E72D297353CC}">
              <c16:uniqueId val="{00000002-5B22-014A-AF55-3EBDE0F135DF}"/>
            </c:ext>
          </c:extLst>
        </c:ser>
        <c:ser>
          <c:idx val="0"/>
          <c:order val="3"/>
          <c:tx>
            <c:v>Black Shale (m)</c:v>
          </c:tx>
          <c:spPr>
            <a:ln w="19050" cap="rnd">
              <a:solidFill>
                <a:schemeClr val="tx1"/>
              </a:solidFill>
              <a:round/>
            </a:ln>
            <a:effectLst/>
          </c:spPr>
          <c:marker>
            <c:symbol val="circle"/>
            <c:size val="5"/>
            <c:spPr>
              <a:solidFill>
                <a:schemeClr val="accent1"/>
              </a:solidFill>
              <a:ln w="9525">
                <a:solidFill>
                  <a:schemeClr val="bg1">
                    <a:lumMod val="50000"/>
                  </a:schemeClr>
                </a:solidFill>
              </a:ln>
              <a:effectLst/>
            </c:spPr>
          </c:marker>
          <c:xVal>
            <c:numRef>
              <c:f>' Blk Shales w.o dep rate'!$C$3:$C$52</c:f>
              <c:numCache>
                <c:formatCode>General</c:formatCode>
                <c:ptCount val="50"/>
                <c:pt idx="0">
                  <c:v>600</c:v>
                </c:pt>
                <c:pt idx="1">
                  <c:v>600</c:v>
                </c:pt>
                <c:pt idx="2">
                  <c:v>600</c:v>
                </c:pt>
                <c:pt idx="3">
                  <c:v>650</c:v>
                </c:pt>
                <c:pt idx="4">
                  <c:v>650</c:v>
                </c:pt>
                <c:pt idx="5">
                  <c:v>650</c:v>
                </c:pt>
                <c:pt idx="6">
                  <c:v>650</c:v>
                </c:pt>
                <c:pt idx="7">
                  <c:v>750</c:v>
                </c:pt>
                <c:pt idx="8">
                  <c:v>790</c:v>
                </c:pt>
                <c:pt idx="9">
                  <c:v>850</c:v>
                </c:pt>
                <c:pt idx="10">
                  <c:v>850</c:v>
                </c:pt>
                <c:pt idx="11">
                  <c:v>1000</c:v>
                </c:pt>
                <c:pt idx="12">
                  <c:v>1000</c:v>
                </c:pt>
                <c:pt idx="13">
                  <c:v>1000</c:v>
                </c:pt>
                <c:pt idx="14">
                  <c:v>1050</c:v>
                </c:pt>
                <c:pt idx="15">
                  <c:v>1250</c:v>
                </c:pt>
                <c:pt idx="16">
                  <c:v>1450</c:v>
                </c:pt>
                <c:pt idx="17">
                  <c:v>1600</c:v>
                </c:pt>
                <c:pt idx="18">
                  <c:v>1640</c:v>
                </c:pt>
                <c:pt idx="19">
                  <c:v>1690</c:v>
                </c:pt>
                <c:pt idx="20">
                  <c:v>1700</c:v>
                </c:pt>
                <c:pt idx="21">
                  <c:v>1700</c:v>
                </c:pt>
                <c:pt idx="22">
                  <c:v>1750</c:v>
                </c:pt>
                <c:pt idx="23">
                  <c:v>1790</c:v>
                </c:pt>
                <c:pt idx="24">
                  <c:v>1850</c:v>
                </c:pt>
                <c:pt idx="25">
                  <c:v>1875</c:v>
                </c:pt>
                <c:pt idx="26">
                  <c:v>1878</c:v>
                </c:pt>
                <c:pt idx="27">
                  <c:v>1880</c:v>
                </c:pt>
                <c:pt idx="28">
                  <c:v>1880</c:v>
                </c:pt>
                <c:pt idx="29">
                  <c:v>1880</c:v>
                </c:pt>
                <c:pt idx="30">
                  <c:v>1900</c:v>
                </c:pt>
                <c:pt idx="31">
                  <c:v>1900</c:v>
                </c:pt>
                <c:pt idx="32">
                  <c:v>1925</c:v>
                </c:pt>
                <c:pt idx="33">
                  <c:v>1930</c:v>
                </c:pt>
                <c:pt idx="34">
                  <c:v>1975</c:v>
                </c:pt>
                <c:pt idx="35">
                  <c:v>1975</c:v>
                </c:pt>
                <c:pt idx="36">
                  <c:v>1995</c:v>
                </c:pt>
                <c:pt idx="37">
                  <c:v>2000</c:v>
                </c:pt>
                <c:pt idx="38">
                  <c:v>2000</c:v>
                </c:pt>
                <c:pt idx="39">
                  <c:v>2100</c:v>
                </c:pt>
                <c:pt idx="40">
                  <c:v>2100</c:v>
                </c:pt>
                <c:pt idx="41">
                  <c:v>2100</c:v>
                </c:pt>
                <c:pt idx="42">
                  <c:v>2150</c:v>
                </c:pt>
                <c:pt idx="43">
                  <c:v>2350</c:v>
                </c:pt>
                <c:pt idx="44">
                  <c:v>2350</c:v>
                </c:pt>
                <c:pt idx="45">
                  <c:v>2350</c:v>
                </c:pt>
                <c:pt idx="46">
                  <c:v>2460</c:v>
                </c:pt>
                <c:pt idx="47">
                  <c:v>2530</c:v>
                </c:pt>
                <c:pt idx="48">
                  <c:v>2630</c:v>
                </c:pt>
                <c:pt idx="49">
                  <c:v>2700</c:v>
                </c:pt>
              </c:numCache>
            </c:numRef>
          </c:xVal>
          <c:yVal>
            <c:numRef>
              <c:f>' Blk Shales w.o dep rate'!$J$3:$J$52</c:f>
              <c:numCache>
                <c:formatCode>General</c:formatCode>
                <c:ptCount val="50"/>
                <c:pt idx="0">
                  <c:v>24676</c:v>
                </c:pt>
                <c:pt idx="1">
                  <c:v>23863</c:v>
                </c:pt>
                <c:pt idx="2">
                  <c:v>23737</c:v>
                </c:pt>
                <c:pt idx="3">
                  <c:v>23062</c:v>
                </c:pt>
                <c:pt idx="4">
                  <c:v>22897</c:v>
                </c:pt>
                <c:pt idx="5">
                  <c:v>22777</c:v>
                </c:pt>
                <c:pt idx="6">
                  <c:v>22612</c:v>
                </c:pt>
                <c:pt idx="7">
                  <c:v>22561</c:v>
                </c:pt>
                <c:pt idx="8">
                  <c:v>22081</c:v>
                </c:pt>
                <c:pt idx="9">
                  <c:v>21581</c:v>
                </c:pt>
                <c:pt idx="10">
                  <c:v>21062</c:v>
                </c:pt>
                <c:pt idx="11">
                  <c:v>20901</c:v>
                </c:pt>
                <c:pt idx="12">
                  <c:v>20743</c:v>
                </c:pt>
                <c:pt idx="13">
                  <c:v>20189</c:v>
                </c:pt>
                <c:pt idx="14">
                  <c:v>20108</c:v>
                </c:pt>
                <c:pt idx="15">
                  <c:v>19848</c:v>
                </c:pt>
                <c:pt idx="16">
                  <c:v>19452</c:v>
                </c:pt>
                <c:pt idx="17">
                  <c:v>18852</c:v>
                </c:pt>
                <c:pt idx="18">
                  <c:v>18777</c:v>
                </c:pt>
                <c:pt idx="19">
                  <c:v>18371</c:v>
                </c:pt>
                <c:pt idx="20">
                  <c:v>17771</c:v>
                </c:pt>
                <c:pt idx="21">
                  <c:v>16763</c:v>
                </c:pt>
                <c:pt idx="22">
                  <c:v>15223</c:v>
                </c:pt>
                <c:pt idx="23">
                  <c:v>15022</c:v>
                </c:pt>
                <c:pt idx="24">
                  <c:v>14522</c:v>
                </c:pt>
                <c:pt idx="25">
                  <c:v>13982</c:v>
                </c:pt>
                <c:pt idx="26">
                  <c:v>13822</c:v>
                </c:pt>
                <c:pt idx="27">
                  <c:v>11797</c:v>
                </c:pt>
                <c:pt idx="28">
                  <c:v>10718</c:v>
                </c:pt>
                <c:pt idx="29">
                  <c:v>10470</c:v>
                </c:pt>
                <c:pt idx="30">
                  <c:v>9670</c:v>
                </c:pt>
                <c:pt idx="31">
                  <c:v>9276</c:v>
                </c:pt>
                <c:pt idx="32">
                  <c:v>9026</c:v>
                </c:pt>
                <c:pt idx="33">
                  <c:v>8720</c:v>
                </c:pt>
                <c:pt idx="34">
                  <c:v>8176</c:v>
                </c:pt>
                <c:pt idx="35">
                  <c:v>7548</c:v>
                </c:pt>
                <c:pt idx="36">
                  <c:v>6948</c:v>
                </c:pt>
                <c:pt idx="37">
                  <c:v>4955</c:v>
                </c:pt>
                <c:pt idx="38">
                  <c:v>4460</c:v>
                </c:pt>
                <c:pt idx="39">
                  <c:v>4302</c:v>
                </c:pt>
                <c:pt idx="40">
                  <c:v>3637</c:v>
                </c:pt>
                <c:pt idx="41">
                  <c:v>3267</c:v>
                </c:pt>
                <c:pt idx="42">
                  <c:v>3147</c:v>
                </c:pt>
                <c:pt idx="43">
                  <c:v>2892</c:v>
                </c:pt>
                <c:pt idx="44">
                  <c:v>2542</c:v>
                </c:pt>
                <c:pt idx="45">
                  <c:v>2212</c:v>
                </c:pt>
                <c:pt idx="46">
                  <c:v>1637</c:v>
                </c:pt>
                <c:pt idx="47">
                  <c:v>1202</c:v>
                </c:pt>
                <c:pt idx="48">
                  <c:v>753</c:v>
                </c:pt>
                <c:pt idx="49">
                  <c:v>105</c:v>
                </c:pt>
              </c:numCache>
            </c:numRef>
          </c:yVal>
          <c:smooth val="0"/>
          <c:extLst>
            <c:ext xmlns:c16="http://schemas.microsoft.com/office/drawing/2014/chart" uri="{C3380CC4-5D6E-409C-BE32-E72D297353CC}">
              <c16:uniqueId val="{00000003-5B22-014A-AF55-3EBDE0F135DF}"/>
            </c:ext>
          </c:extLst>
        </c:ser>
        <c:ser>
          <c:idx val="1"/>
          <c:order val="4"/>
          <c:tx>
            <c:v>Black Shale Minimum age</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 Blk Shales w.o dep rate'!$AA$3:$AA$51</c:f>
              <c:numCache>
                <c:formatCode>General</c:formatCode>
                <c:ptCount val="49"/>
                <c:pt idx="0">
                  <c:v>500</c:v>
                </c:pt>
                <c:pt idx="1">
                  <c:v>550</c:v>
                </c:pt>
                <c:pt idx="2">
                  <c:v>580</c:v>
                </c:pt>
                <c:pt idx="3">
                  <c:v>605</c:v>
                </c:pt>
                <c:pt idx="4">
                  <c:v>610</c:v>
                </c:pt>
                <c:pt idx="5">
                  <c:v>610</c:v>
                </c:pt>
                <c:pt idx="6">
                  <c:v>615</c:v>
                </c:pt>
                <c:pt idx="7">
                  <c:v>700</c:v>
                </c:pt>
                <c:pt idx="8">
                  <c:v>730</c:v>
                </c:pt>
                <c:pt idx="9">
                  <c:v>740</c:v>
                </c:pt>
                <c:pt idx="10">
                  <c:v>740</c:v>
                </c:pt>
                <c:pt idx="11">
                  <c:v>930</c:v>
                </c:pt>
                <c:pt idx="12">
                  <c:v>950</c:v>
                </c:pt>
                <c:pt idx="13">
                  <c:v>1000</c:v>
                </c:pt>
                <c:pt idx="14">
                  <c:v>1000</c:v>
                </c:pt>
                <c:pt idx="15">
                  <c:v>1200</c:v>
                </c:pt>
                <c:pt idx="16">
                  <c:v>1440</c:v>
                </c:pt>
                <c:pt idx="17">
                  <c:v>1550</c:v>
                </c:pt>
                <c:pt idx="18">
                  <c:v>1590</c:v>
                </c:pt>
                <c:pt idx="19">
                  <c:v>1678</c:v>
                </c:pt>
                <c:pt idx="20">
                  <c:v>1680</c:v>
                </c:pt>
                <c:pt idx="21">
                  <c:v>1680</c:v>
                </c:pt>
                <c:pt idx="22">
                  <c:v>1720</c:v>
                </c:pt>
                <c:pt idx="23">
                  <c:v>1770</c:v>
                </c:pt>
                <c:pt idx="24">
                  <c:v>1800</c:v>
                </c:pt>
                <c:pt idx="25">
                  <c:v>1830</c:v>
                </c:pt>
                <c:pt idx="26">
                  <c:v>1850</c:v>
                </c:pt>
                <c:pt idx="27">
                  <c:v>1858</c:v>
                </c:pt>
                <c:pt idx="28">
                  <c:v>1860</c:v>
                </c:pt>
                <c:pt idx="29">
                  <c:v>1860</c:v>
                </c:pt>
                <c:pt idx="30">
                  <c:v>1860</c:v>
                </c:pt>
                <c:pt idx="31">
                  <c:v>1870</c:v>
                </c:pt>
                <c:pt idx="32">
                  <c:v>1900</c:v>
                </c:pt>
                <c:pt idx="33">
                  <c:v>1910</c:v>
                </c:pt>
                <c:pt idx="34">
                  <c:v>1955</c:v>
                </c:pt>
                <c:pt idx="35">
                  <c:v>1960</c:v>
                </c:pt>
                <c:pt idx="36">
                  <c:v>1965</c:v>
                </c:pt>
                <c:pt idx="37">
                  <c:v>1970</c:v>
                </c:pt>
                <c:pt idx="38">
                  <c:v>1970</c:v>
                </c:pt>
                <c:pt idx="39">
                  <c:v>1980</c:v>
                </c:pt>
                <c:pt idx="40">
                  <c:v>1980</c:v>
                </c:pt>
                <c:pt idx="41">
                  <c:v>2040</c:v>
                </c:pt>
                <c:pt idx="42">
                  <c:v>2100</c:v>
                </c:pt>
                <c:pt idx="43">
                  <c:v>2250</c:v>
                </c:pt>
                <c:pt idx="44">
                  <c:v>2250</c:v>
                </c:pt>
                <c:pt idx="45">
                  <c:v>2300</c:v>
                </c:pt>
                <c:pt idx="46">
                  <c:v>2450</c:v>
                </c:pt>
                <c:pt idx="47">
                  <c:v>2510</c:v>
                </c:pt>
                <c:pt idx="48">
                  <c:v>2610</c:v>
                </c:pt>
              </c:numCache>
            </c:numRef>
          </c:xVal>
          <c:yVal>
            <c:numRef>
              <c:f>' Blk Shales w.o dep rate'!$AF$3:$AF$51</c:f>
              <c:numCache>
                <c:formatCode>General</c:formatCode>
                <c:ptCount val="49"/>
                <c:pt idx="0">
                  <c:v>24571</c:v>
                </c:pt>
                <c:pt idx="1">
                  <c:v>23896</c:v>
                </c:pt>
                <c:pt idx="2">
                  <c:v>23770</c:v>
                </c:pt>
                <c:pt idx="3">
                  <c:v>22957</c:v>
                </c:pt>
                <c:pt idx="4">
                  <c:v>22906</c:v>
                </c:pt>
                <c:pt idx="5">
                  <c:v>22786</c:v>
                </c:pt>
                <c:pt idx="6">
                  <c:v>22621</c:v>
                </c:pt>
                <c:pt idx="7">
                  <c:v>22456</c:v>
                </c:pt>
                <c:pt idx="8">
                  <c:v>21976</c:v>
                </c:pt>
                <c:pt idx="9">
                  <c:v>21457</c:v>
                </c:pt>
                <c:pt idx="10">
                  <c:v>20957</c:v>
                </c:pt>
                <c:pt idx="11">
                  <c:v>20796</c:v>
                </c:pt>
                <c:pt idx="12">
                  <c:v>20242</c:v>
                </c:pt>
                <c:pt idx="13">
                  <c:v>20084</c:v>
                </c:pt>
                <c:pt idx="14">
                  <c:v>20003</c:v>
                </c:pt>
                <c:pt idx="15">
                  <c:v>19743</c:v>
                </c:pt>
                <c:pt idx="16">
                  <c:v>19347</c:v>
                </c:pt>
                <c:pt idx="17">
                  <c:v>18747</c:v>
                </c:pt>
                <c:pt idx="18">
                  <c:v>18672</c:v>
                </c:pt>
                <c:pt idx="19">
                  <c:v>18266</c:v>
                </c:pt>
                <c:pt idx="20">
                  <c:v>16726</c:v>
                </c:pt>
                <c:pt idx="21">
                  <c:v>16126</c:v>
                </c:pt>
                <c:pt idx="22">
                  <c:v>15118</c:v>
                </c:pt>
                <c:pt idx="23">
                  <c:v>14917</c:v>
                </c:pt>
                <c:pt idx="24">
                  <c:v>14417</c:v>
                </c:pt>
                <c:pt idx="25">
                  <c:v>14167</c:v>
                </c:pt>
                <c:pt idx="26">
                  <c:v>13627</c:v>
                </c:pt>
                <c:pt idx="27">
                  <c:v>13233</c:v>
                </c:pt>
                <c:pt idx="28">
                  <c:v>11208</c:v>
                </c:pt>
                <c:pt idx="29">
                  <c:v>10129</c:v>
                </c:pt>
                <c:pt idx="30">
                  <c:v>9881</c:v>
                </c:pt>
                <c:pt idx="31">
                  <c:v>9081</c:v>
                </c:pt>
                <c:pt idx="32">
                  <c:v>8921</c:v>
                </c:pt>
                <c:pt idx="33">
                  <c:v>8615</c:v>
                </c:pt>
                <c:pt idx="34">
                  <c:v>8071</c:v>
                </c:pt>
                <c:pt idx="35">
                  <c:v>7443</c:v>
                </c:pt>
                <c:pt idx="36">
                  <c:v>7285</c:v>
                </c:pt>
                <c:pt idx="37">
                  <c:v>6685</c:v>
                </c:pt>
                <c:pt idx="38">
                  <c:v>4692</c:v>
                </c:pt>
                <c:pt idx="39">
                  <c:v>4197</c:v>
                </c:pt>
                <c:pt idx="40">
                  <c:v>3532</c:v>
                </c:pt>
                <c:pt idx="41">
                  <c:v>3162</c:v>
                </c:pt>
                <c:pt idx="42">
                  <c:v>3042</c:v>
                </c:pt>
                <c:pt idx="43">
                  <c:v>2787</c:v>
                </c:pt>
                <c:pt idx="44">
                  <c:v>2457</c:v>
                </c:pt>
                <c:pt idx="45">
                  <c:v>1882</c:v>
                </c:pt>
                <c:pt idx="46">
                  <c:v>1532</c:v>
                </c:pt>
                <c:pt idx="47">
                  <c:v>1097</c:v>
                </c:pt>
                <c:pt idx="48">
                  <c:v>648</c:v>
                </c:pt>
              </c:numCache>
            </c:numRef>
          </c:yVal>
          <c:smooth val="0"/>
          <c:extLst>
            <c:ext xmlns:c16="http://schemas.microsoft.com/office/drawing/2014/chart" uri="{C3380CC4-5D6E-409C-BE32-E72D297353CC}">
              <c16:uniqueId val="{00000004-5B22-014A-AF55-3EBDE0F135DF}"/>
            </c:ext>
          </c:extLst>
        </c:ser>
        <c:ser>
          <c:idx val="2"/>
          <c:order val="5"/>
          <c:tx>
            <c:v>Black Shale Min age </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 Blk Shales w.o dep rate'!$AM$3:$AM$51</c:f>
              <c:numCache>
                <c:formatCode>General</c:formatCode>
                <c:ptCount val="49"/>
                <c:pt idx="0">
                  <c:v>620</c:v>
                </c:pt>
                <c:pt idx="1">
                  <c:v>650</c:v>
                </c:pt>
                <c:pt idx="2">
                  <c:v>685</c:v>
                </c:pt>
                <c:pt idx="3">
                  <c:v>690</c:v>
                </c:pt>
                <c:pt idx="4">
                  <c:v>690</c:v>
                </c:pt>
                <c:pt idx="5">
                  <c:v>695</c:v>
                </c:pt>
                <c:pt idx="6">
                  <c:v>700</c:v>
                </c:pt>
                <c:pt idx="7">
                  <c:v>800</c:v>
                </c:pt>
                <c:pt idx="8">
                  <c:v>840</c:v>
                </c:pt>
                <c:pt idx="9">
                  <c:v>960</c:v>
                </c:pt>
                <c:pt idx="10">
                  <c:v>970</c:v>
                </c:pt>
                <c:pt idx="11">
                  <c:v>1000</c:v>
                </c:pt>
                <c:pt idx="12">
                  <c:v>1050</c:v>
                </c:pt>
                <c:pt idx="13">
                  <c:v>1070</c:v>
                </c:pt>
                <c:pt idx="14">
                  <c:v>1100</c:v>
                </c:pt>
                <c:pt idx="15">
                  <c:v>1300</c:v>
                </c:pt>
                <c:pt idx="16">
                  <c:v>1460</c:v>
                </c:pt>
                <c:pt idx="17">
                  <c:v>1650</c:v>
                </c:pt>
                <c:pt idx="18">
                  <c:v>1690</c:v>
                </c:pt>
                <c:pt idx="19">
                  <c:v>1700</c:v>
                </c:pt>
                <c:pt idx="20">
                  <c:v>1720</c:v>
                </c:pt>
                <c:pt idx="21">
                  <c:v>1722</c:v>
                </c:pt>
                <c:pt idx="22">
                  <c:v>1780</c:v>
                </c:pt>
                <c:pt idx="23">
                  <c:v>1810</c:v>
                </c:pt>
                <c:pt idx="24">
                  <c:v>1870</c:v>
                </c:pt>
                <c:pt idx="25">
                  <c:v>1880</c:v>
                </c:pt>
                <c:pt idx="26">
                  <c:v>1898</c:v>
                </c:pt>
                <c:pt idx="27">
                  <c:v>1900</c:v>
                </c:pt>
                <c:pt idx="28">
                  <c:v>1900</c:v>
                </c:pt>
                <c:pt idx="29">
                  <c:v>1900</c:v>
                </c:pt>
                <c:pt idx="30">
                  <c:v>1950</c:v>
                </c:pt>
                <c:pt idx="31">
                  <c:v>1950</c:v>
                </c:pt>
                <c:pt idx="32">
                  <c:v>1950</c:v>
                </c:pt>
                <c:pt idx="33">
                  <c:v>1985</c:v>
                </c:pt>
                <c:pt idx="34">
                  <c:v>1995</c:v>
                </c:pt>
                <c:pt idx="35">
                  <c:v>2000</c:v>
                </c:pt>
                <c:pt idx="36">
                  <c:v>2020</c:v>
                </c:pt>
                <c:pt idx="37">
                  <c:v>2030</c:v>
                </c:pt>
                <c:pt idx="38">
                  <c:v>2040</c:v>
                </c:pt>
                <c:pt idx="39">
                  <c:v>2160</c:v>
                </c:pt>
                <c:pt idx="40">
                  <c:v>2200</c:v>
                </c:pt>
                <c:pt idx="41">
                  <c:v>2220</c:v>
                </c:pt>
                <c:pt idx="42">
                  <c:v>2220</c:v>
                </c:pt>
                <c:pt idx="43">
                  <c:v>2400</c:v>
                </c:pt>
                <c:pt idx="44">
                  <c:v>2450</c:v>
                </c:pt>
                <c:pt idx="45">
                  <c:v>2450</c:v>
                </c:pt>
                <c:pt idx="46">
                  <c:v>2470</c:v>
                </c:pt>
                <c:pt idx="47">
                  <c:v>2550</c:v>
                </c:pt>
                <c:pt idx="48">
                  <c:v>2650</c:v>
                </c:pt>
              </c:numCache>
            </c:numRef>
          </c:xVal>
          <c:yVal>
            <c:numRef>
              <c:f>' Blk Shales w.o dep rate'!$AR$3:$AR$51</c:f>
              <c:numCache>
                <c:formatCode>General</c:formatCode>
                <c:ptCount val="49"/>
                <c:pt idx="0">
                  <c:v>24571</c:v>
                </c:pt>
                <c:pt idx="1">
                  <c:v>23758</c:v>
                </c:pt>
                <c:pt idx="2">
                  <c:v>23632</c:v>
                </c:pt>
                <c:pt idx="3">
                  <c:v>23467</c:v>
                </c:pt>
                <c:pt idx="4">
                  <c:v>23347</c:v>
                </c:pt>
                <c:pt idx="5">
                  <c:v>23182</c:v>
                </c:pt>
                <c:pt idx="6">
                  <c:v>23131</c:v>
                </c:pt>
                <c:pt idx="7">
                  <c:v>22456</c:v>
                </c:pt>
                <c:pt idx="8">
                  <c:v>21976</c:v>
                </c:pt>
                <c:pt idx="9">
                  <c:v>21476</c:v>
                </c:pt>
                <c:pt idx="10">
                  <c:v>21315</c:v>
                </c:pt>
                <c:pt idx="11">
                  <c:v>20796</c:v>
                </c:pt>
                <c:pt idx="12">
                  <c:v>20715</c:v>
                </c:pt>
                <c:pt idx="13">
                  <c:v>20557</c:v>
                </c:pt>
                <c:pt idx="14">
                  <c:v>20003</c:v>
                </c:pt>
                <c:pt idx="15">
                  <c:v>19743</c:v>
                </c:pt>
                <c:pt idx="16">
                  <c:v>19347</c:v>
                </c:pt>
                <c:pt idx="17">
                  <c:v>18747</c:v>
                </c:pt>
                <c:pt idx="18">
                  <c:v>18672</c:v>
                </c:pt>
                <c:pt idx="19">
                  <c:v>18266</c:v>
                </c:pt>
                <c:pt idx="20">
                  <c:v>17666</c:v>
                </c:pt>
                <c:pt idx="21">
                  <c:v>16658</c:v>
                </c:pt>
                <c:pt idx="22">
                  <c:v>15118</c:v>
                </c:pt>
                <c:pt idx="23">
                  <c:v>14917</c:v>
                </c:pt>
                <c:pt idx="24">
                  <c:v>14417</c:v>
                </c:pt>
                <c:pt idx="25">
                  <c:v>13877</c:v>
                </c:pt>
                <c:pt idx="26">
                  <c:v>13717</c:v>
                </c:pt>
                <c:pt idx="27">
                  <c:v>11692</c:v>
                </c:pt>
                <c:pt idx="28">
                  <c:v>10613</c:v>
                </c:pt>
                <c:pt idx="29">
                  <c:v>10365</c:v>
                </c:pt>
                <c:pt idx="30">
                  <c:v>9565</c:v>
                </c:pt>
                <c:pt idx="31">
                  <c:v>9171</c:v>
                </c:pt>
                <c:pt idx="32">
                  <c:v>8865</c:v>
                </c:pt>
                <c:pt idx="33">
                  <c:v>8321</c:v>
                </c:pt>
                <c:pt idx="34">
                  <c:v>7721</c:v>
                </c:pt>
                <c:pt idx="35">
                  <c:v>7093</c:v>
                </c:pt>
                <c:pt idx="36">
                  <c:v>6843</c:v>
                </c:pt>
                <c:pt idx="37">
                  <c:v>4850</c:v>
                </c:pt>
                <c:pt idx="38">
                  <c:v>4355</c:v>
                </c:pt>
                <c:pt idx="39">
                  <c:v>4197</c:v>
                </c:pt>
                <c:pt idx="40">
                  <c:v>4077</c:v>
                </c:pt>
                <c:pt idx="41">
                  <c:v>3822</c:v>
                </c:pt>
                <c:pt idx="42">
                  <c:v>3157</c:v>
                </c:pt>
                <c:pt idx="43">
                  <c:v>2787</c:v>
                </c:pt>
                <c:pt idx="44">
                  <c:v>2437</c:v>
                </c:pt>
                <c:pt idx="45">
                  <c:v>2107</c:v>
                </c:pt>
                <c:pt idx="46">
                  <c:v>1532</c:v>
                </c:pt>
                <c:pt idx="47">
                  <c:v>1097</c:v>
                </c:pt>
                <c:pt idx="48">
                  <c:v>648</c:v>
                </c:pt>
              </c:numCache>
            </c:numRef>
          </c:yVal>
          <c:smooth val="0"/>
          <c:extLst>
            <c:ext xmlns:c16="http://schemas.microsoft.com/office/drawing/2014/chart" uri="{C3380CC4-5D6E-409C-BE32-E72D297353CC}">
              <c16:uniqueId val="{00000005-5B22-014A-AF55-3EBDE0F135DF}"/>
            </c:ext>
          </c:extLst>
        </c:ser>
        <c:dLbls>
          <c:showLegendKey val="0"/>
          <c:showVal val="0"/>
          <c:showCatName val="0"/>
          <c:showSerName val="0"/>
          <c:showPercent val="0"/>
          <c:showBubbleSize val="0"/>
        </c:dLbls>
        <c:axId val="1825199760"/>
        <c:axId val="1825201440"/>
      </c:scatterChart>
      <c:valAx>
        <c:axId val="1825199760"/>
        <c:scaling>
          <c:orientation val="maxMin"/>
          <c:max val="2200"/>
          <c:min val="18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201440"/>
        <c:crosses val="autoZero"/>
        <c:crossBetween val="midCat"/>
      </c:valAx>
      <c:valAx>
        <c:axId val="1825201440"/>
        <c:scaling>
          <c:orientation val="minMax"/>
          <c:max val="20000"/>
          <c:min val="2000"/>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199760"/>
        <c:crosses val="autoZero"/>
        <c:crossBetween val="midCat"/>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'Fig 3b-LIPs July 22'!$C$2:$C$40</c:f>
              <c:numCache>
                <c:formatCode>General</c:formatCode>
                <c:ptCount val="39"/>
                <c:pt idx="0">
                  <c:v>1860</c:v>
                </c:pt>
                <c:pt idx="1">
                  <c:v>1870</c:v>
                </c:pt>
                <c:pt idx="2">
                  <c:v>1877.5</c:v>
                </c:pt>
                <c:pt idx="3">
                  <c:v>1880</c:v>
                </c:pt>
                <c:pt idx="4">
                  <c:v>1880</c:v>
                </c:pt>
                <c:pt idx="5">
                  <c:v>1880</c:v>
                </c:pt>
                <c:pt idx="6">
                  <c:v>1890</c:v>
                </c:pt>
                <c:pt idx="7">
                  <c:v>1900</c:v>
                </c:pt>
                <c:pt idx="8">
                  <c:v>1920</c:v>
                </c:pt>
                <c:pt idx="9">
                  <c:v>1920</c:v>
                </c:pt>
                <c:pt idx="10">
                  <c:v>1945</c:v>
                </c:pt>
                <c:pt idx="11">
                  <c:v>1970</c:v>
                </c:pt>
                <c:pt idx="12">
                  <c:v>1970</c:v>
                </c:pt>
                <c:pt idx="13">
                  <c:v>1970</c:v>
                </c:pt>
                <c:pt idx="14">
                  <c:v>1970</c:v>
                </c:pt>
                <c:pt idx="15">
                  <c:v>1998</c:v>
                </c:pt>
                <c:pt idx="16">
                  <c:v>2010</c:v>
                </c:pt>
                <c:pt idx="17">
                  <c:v>2025</c:v>
                </c:pt>
                <c:pt idx="18">
                  <c:v>2040</c:v>
                </c:pt>
                <c:pt idx="19">
                  <c:v>2060</c:v>
                </c:pt>
                <c:pt idx="20">
                  <c:v>2060</c:v>
                </c:pt>
                <c:pt idx="21">
                  <c:v>2070</c:v>
                </c:pt>
                <c:pt idx="22">
                  <c:v>2070</c:v>
                </c:pt>
                <c:pt idx="23">
                  <c:v>2075</c:v>
                </c:pt>
                <c:pt idx="24">
                  <c:v>2080</c:v>
                </c:pt>
                <c:pt idx="25">
                  <c:v>2080</c:v>
                </c:pt>
                <c:pt idx="26">
                  <c:v>2090</c:v>
                </c:pt>
                <c:pt idx="27">
                  <c:v>2110</c:v>
                </c:pt>
                <c:pt idx="28">
                  <c:v>2113.5</c:v>
                </c:pt>
                <c:pt idx="29">
                  <c:v>2115</c:v>
                </c:pt>
                <c:pt idx="30">
                  <c:v>2115</c:v>
                </c:pt>
                <c:pt idx="31">
                  <c:v>2117</c:v>
                </c:pt>
                <c:pt idx="32">
                  <c:v>2125</c:v>
                </c:pt>
                <c:pt idx="33">
                  <c:v>2150</c:v>
                </c:pt>
                <c:pt idx="34">
                  <c:v>2150</c:v>
                </c:pt>
                <c:pt idx="35">
                  <c:v>2169.5</c:v>
                </c:pt>
                <c:pt idx="36">
                  <c:v>2180</c:v>
                </c:pt>
                <c:pt idx="37">
                  <c:v>2186.5</c:v>
                </c:pt>
                <c:pt idx="38">
                  <c:v>2190</c:v>
                </c:pt>
              </c:numCache>
            </c:numRef>
          </c:xVal>
          <c:yVal>
            <c:numRef>
              <c:f>'Fig 3b-LIPs July 22'!$H$2:$H$40</c:f>
              <c:numCache>
                <c:formatCode>General</c:formatCode>
                <c:ptCount val="39"/>
                <c:pt idx="0">
                  <c:v>6990000</c:v>
                </c:pt>
                <c:pt idx="1">
                  <c:v>6950000</c:v>
                </c:pt>
                <c:pt idx="2">
                  <c:v>6370000</c:v>
                </c:pt>
                <c:pt idx="3">
                  <c:v>6170000</c:v>
                </c:pt>
                <c:pt idx="4">
                  <c:v>5960000</c:v>
                </c:pt>
                <c:pt idx="5">
                  <c:v>5780000</c:v>
                </c:pt>
                <c:pt idx="6">
                  <c:v>4280000</c:v>
                </c:pt>
                <c:pt idx="7">
                  <c:v>4100000</c:v>
                </c:pt>
                <c:pt idx="8">
                  <c:v>4060000</c:v>
                </c:pt>
                <c:pt idx="9">
                  <c:v>3990000</c:v>
                </c:pt>
                <c:pt idx="10">
                  <c:v>3720000</c:v>
                </c:pt>
                <c:pt idx="11">
                  <c:v>3690000</c:v>
                </c:pt>
                <c:pt idx="12">
                  <c:v>3670000</c:v>
                </c:pt>
                <c:pt idx="13">
                  <c:v>3170000</c:v>
                </c:pt>
                <c:pt idx="14">
                  <c:v>3160000</c:v>
                </c:pt>
                <c:pt idx="15">
                  <c:v>2960000</c:v>
                </c:pt>
                <c:pt idx="16">
                  <c:v>2520000</c:v>
                </c:pt>
                <c:pt idx="17">
                  <c:v>2510000</c:v>
                </c:pt>
                <c:pt idx="18">
                  <c:v>2440000</c:v>
                </c:pt>
                <c:pt idx="19">
                  <c:v>2350000</c:v>
                </c:pt>
                <c:pt idx="20">
                  <c:v>1960000</c:v>
                </c:pt>
                <c:pt idx="21">
                  <c:v>1950000</c:v>
                </c:pt>
                <c:pt idx="22">
                  <c:v>1880000</c:v>
                </c:pt>
                <c:pt idx="23">
                  <c:v>1680000</c:v>
                </c:pt>
                <c:pt idx="24">
                  <c:v>1510000</c:v>
                </c:pt>
                <c:pt idx="25">
                  <c:v>1440000</c:v>
                </c:pt>
                <c:pt idx="26">
                  <c:v>1420000</c:v>
                </c:pt>
                <c:pt idx="27">
                  <c:v>1410000</c:v>
                </c:pt>
                <c:pt idx="28">
                  <c:v>1250000</c:v>
                </c:pt>
                <c:pt idx="29">
                  <c:v>1110000</c:v>
                </c:pt>
                <c:pt idx="30">
                  <c:v>1090000</c:v>
                </c:pt>
                <c:pt idx="31">
                  <c:v>980000</c:v>
                </c:pt>
                <c:pt idx="32">
                  <c:v>940000</c:v>
                </c:pt>
                <c:pt idx="33">
                  <c:v>930000</c:v>
                </c:pt>
                <c:pt idx="34">
                  <c:v>890000</c:v>
                </c:pt>
                <c:pt idx="35">
                  <c:v>820000</c:v>
                </c:pt>
                <c:pt idx="36">
                  <c:v>370000</c:v>
                </c:pt>
                <c:pt idx="37">
                  <c:v>80000</c:v>
                </c:pt>
                <c:pt idx="38">
                  <c:v>40000</c:v>
                </c:pt>
              </c:numCache>
            </c:numRef>
          </c:yVal>
          <c:smooth val="0"/>
          <c:extLst>
            <c:ext xmlns:c16="http://schemas.microsoft.com/office/drawing/2014/chart" uri="{C3380CC4-5D6E-409C-BE32-E72D297353CC}">
              <c16:uniqueId val="{00000000-83C3-A049-8C71-B55F5B9E2827}"/>
            </c:ext>
          </c:extLst>
        </c:ser>
        <c: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'Fig 3b-LIPs July 22'!$L$2:$L$40</c:f>
              <c:numCache>
                <c:formatCode>General</c:formatCode>
                <c:ptCount val="39"/>
                <c:pt idx="0">
                  <c:v>1870</c:v>
                </c:pt>
                <c:pt idx="1">
                  <c:v>1880</c:v>
                </c:pt>
                <c:pt idx="2">
                  <c:v>1880</c:v>
                </c:pt>
                <c:pt idx="3">
                  <c:v>1880</c:v>
                </c:pt>
                <c:pt idx="4">
                  <c:v>1885</c:v>
                </c:pt>
                <c:pt idx="5">
                  <c:v>1890</c:v>
                </c:pt>
                <c:pt idx="6">
                  <c:v>1890</c:v>
                </c:pt>
                <c:pt idx="7">
                  <c:v>1900</c:v>
                </c:pt>
                <c:pt idx="8">
                  <c:v>1930</c:v>
                </c:pt>
                <c:pt idx="9">
                  <c:v>1960</c:v>
                </c:pt>
                <c:pt idx="10">
                  <c:v>1970</c:v>
                </c:pt>
                <c:pt idx="11">
                  <c:v>1970</c:v>
                </c:pt>
                <c:pt idx="12">
                  <c:v>1970</c:v>
                </c:pt>
                <c:pt idx="13">
                  <c:v>1970</c:v>
                </c:pt>
                <c:pt idx="14">
                  <c:v>1980</c:v>
                </c:pt>
                <c:pt idx="15">
                  <c:v>1998</c:v>
                </c:pt>
                <c:pt idx="16">
                  <c:v>2010</c:v>
                </c:pt>
                <c:pt idx="17">
                  <c:v>2027</c:v>
                </c:pt>
                <c:pt idx="18">
                  <c:v>2050</c:v>
                </c:pt>
                <c:pt idx="19">
                  <c:v>2060</c:v>
                </c:pt>
                <c:pt idx="20">
                  <c:v>2060</c:v>
                </c:pt>
                <c:pt idx="21">
                  <c:v>2070</c:v>
                </c:pt>
                <c:pt idx="22">
                  <c:v>2070</c:v>
                </c:pt>
                <c:pt idx="23">
                  <c:v>2075</c:v>
                </c:pt>
                <c:pt idx="24">
                  <c:v>2080</c:v>
                </c:pt>
                <c:pt idx="25">
                  <c:v>2090</c:v>
                </c:pt>
                <c:pt idx="26">
                  <c:v>2100</c:v>
                </c:pt>
                <c:pt idx="27">
                  <c:v>2115</c:v>
                </c:pt>
                <c:pt idx="28">
                  <c:v>2115</c:v>
                </c:pt>
                <c:pt idx="29">
                  <c:v>2116</c:v>
                </c:pt>
                <c:pt idx="30">
                  <c:v>2120</c:v>
                </c:pt>
                <c:pt idx="31">
                  <c:v>2126</c:v>
                </c:pt>
                <c:pt idx="32">
                  <c:v>2140</c:v>
                </c:pt>
                <c:pt idx="33">
                  <c:v>2150</c:v>
                </c:pt>
                <c:pt idx="34">
                  <c:v>2150</c:v>
                </c:pt>
                <c:pt idx="35">
                  <c:v>2172</c:v>
                </c:pt>
                <c:pt idx="36">
                  <c:v>2180</c:v>
                </c:pt>
                <c:pt idx="37">
                  <c:v>2190</c:v>
                </c:pt>
                <c:pt idx="38">
                  <c:v>2193</c:v>
                </c:pt>
              </c:numCache>
            </c:numRef>
          </c:xVal>
          <c:yVal>
            <c:numRef>
              <c:f>'Fig 3b-LIPs July 22'!$P$2:$P$40</c:f>
              <c:numCache>
                <c:formatCode>General</c:formatCode>
                <c:ptCount val="39"/>
                <c:pt idx="0">
                  <c:v>6990000</c:v>
                </c:pt>
                <c:pt idx="1">
                  <c:v>6410000</c:v>
                </c:pt>
                <c:pt idx="2">
                  <c:v>6370000</c:v>
                </c:pt>
                <c:pt idx="3">
                  <c:v>6190000</c:v>
                </c:pt>
                <c:pt idx="4">
                  <c:v>4690000</c:v>
                </c:pt>
                <c:pt idx="5">
                  <c:v>4490000</c:v>
                </c:pt>
                <c:pt idx="6">
                  <c:v>4280000</c:v>
                </c:pt>
                <c:pt idx="7">
                  <c:v>4100000</c:v>
                </c:pt>
                <c:pt idx="8">
                  <c:v>4060000</c:v>
                </c:pt>
                <c:pt idx="9">
                  <c:v>3790000</c:v>
                </c:pt>
                <c:pt idx="10">
                  <c:v>3760000</c:v>
                </c:pt>
                <c:pt idx="11">
                  <c:v>3690000</c:v>
                </c:pt>
                <c:pt idx="12">
                  <c:v>3670000</c:v>
                </c:pt>
                <c:pt idx="13">
                  <c:v>3170000</c:v>
                </c:pt>
                <c:pt idx="14">
                  <c:v>3160000</c:v>
                </c:pt>
                <c:pt idx="15">
                  <c:v>2960000</c:v>
                </c:pt>
                <c:pt idx="16">
                  <c:v>2520000</c:v>
                </c:pt>
                <c:pt idx="17">
                  <c:v>2510000</c:v>
                </c:pt>
                <c:pt idx="18">
                  <c:v>2440000</c:v>
                </c:pt>
                <c:pt idx="19">
                  <c:v>2350000</c:v>
                </c:pt>
                <c:pt idx="20">
                  <c:v>1960000</c:v>
                </c:pt>
                <c:pt idx="21">
                  <c:v>1950000</c:v>
                </c:pt>
                <c:pt idx="22">
                  <c:v>1880000</c:v>
                </c:pt>
                <c:pt idx="23">
                  <c:v>1680000</c:v>
                </c:pt>
                <c:pt idx="24">
                  <c:v>1510000</c:v>
                </c:pt>
                <c:pt idx="25">
                  <c:v>1440000</c:v>
                </c:pt>
                <c:pt idx="26">
                  <c:v>1420000</c:v>
                </c:pt>
                <c:pt idx="27">
                  <c:v>1410000</c:v>
                </c:pt>
                <c:pt idx="28">
                  <c:v>1390000</c:v>
                </c:pt>
                <c:pt idx="29">
                  <c:v>1280000</c:v>
                </c:pt>
                <c:pt idx="30">
                  <c:v>1140000</c:v>
                </c:pt>
                <c:pt idx="31">
                  <c:v>980000</c:v>
                </c:pt>
                <c:pt idx="32">
                  <c:v>940000</c:v>
                </c:pt>
                <c:pt idx="33">
                  <c:v>930000</c:v>
                </c:pt>
                <c:pt idx="34">
                  <c:v>890000</c:v>
                </c:pt>
                <c:pt idx="35">
                  <c:v>820000</c:v>
                </c:pt>
                <c:pt idx="36">
                  <c:v>370000</c:v>
                </c:pt>
                <c:pt idx="37">
                  <c:v>80000</c:v>
                </c:pt>
                <c:pt idx="38">
                  <c:v>40000</c:v>
                </c:pt>
              </c:numCache>
            </c:numRef>
          </c:yVal>
          <c:smooth val="0"/>
          <c:extLst>
            <c:ext xmlns:c16="http://schemas.microsoft.com/office/drawing/2014/chart" uri="{C3380CC4-5D6E-409C-BE32-E72D297353CC}">
              <c16:uniqueId val="{00000001-83C3-A049-8C71-B55F5B9E2827}"/>
            </c:ext>
          </c:extLst>
        </c:ser>
        <c:ser>
          <c:idx val="2"/>
          <c:order val="2"/>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'Fig 3b-LIPs July 22'!$U$2:$U$40</c:f>
              <c:numCache>
                <c:formatCode>General</c:formatCode>
                <c:ptCount val="39"/>
                <c:pt idx="0">
                  <c:v>1840</c:v>
                </c:pt>
                <c:pt idx="1">
                  <c:v>1870</c:v>
                </c:pt>
                <c:pt idx="2">
                  <c:v>1870</c:v>
                </c:pt>
                <c:pt idx="3">
                  <c:v>1870</c:v>
                </c:pt>
                <c:pt idx="4">
                  <c:v>1870</c:v>
                </c:pt>
                <c:pt idx="5">
                  <c:v>1880</c:v>
                </c:pt>
                <c:pt idx="6">
                  <c:v>1880</c:v>
                </c:pt>
                <c:pt idx="7">
                  <c:v>1890</c:v>
                </c:pt>
                <c:pt idx="8">
                  <c:v>1900</c:v>
                </c:pt>
                <c:pt idx="9">
                  <c:v>1910</c:v>
                </c:pt>
                <c:pt idx="10">
                  <c:v>1930</c:v>
                </c:pt>
                <c:pt idx="11">
                  <c:v>1960</c:v>
                </c:pt>
                <c:pt idx="12">
                  <c:v>1970</c:v>
                </c:pt>
                <c:pt idx="13">
                  <c:v>1970</c:v>
                </c:pt>
                <c:pt idx="14">
                  <c:v>1970</c:v>
                </c:pt>
                <c:pt idx="15">
                  <c:v>1998</c:v>
                </c:pt>
                <c:pt idx="16">
                  <c:v>2010</c:v>
                </c:pt>
                <c:pt idx="17">
                  <c:v>2023</c:v>
                </c:pt>
                <c:pt idx="18">
                  <c:v>2030</c:v>
                </c:pt>
                <c:pt idx="19">
                  <c:v>2060</c:v>
                </c:pt>
                <c:pt idx="20">
                  <c:v>2060</c:v>
                </c:pt>
                <c:pt idx="21">
                  <c:v>2070</c:v>
                </c:pt>
                <c:pt idx="22">
                  <c:v>2070</c:v>
                </c:pt>
                <c:pt idx="23">
                  <c:v>2070</c:v>
                </c:pt>
                <c:pt idx="24">
                  <c:v>2075</c:v>
                </c:pt>
                <c:pt idx="25">
                  <c:v>2080</c:v>
                </c:pt>
                <c:pt idx="26">
                  <c:v>2080</c:v>
                </c:pt>
                <c:pt idx="27">
                  <c:v>2100</c:v>
                </c:pt>
                <c:pt idx="28">
                  <c:v>2108</c:v>
                </c:pt>
                <c:pt idx="29">
                  <c:v>2110</c:v>
                </c:pt>
                <c:pt idx="30">
                  <c:v>2111</c:v>
                </c:pt>
                <c:pt idx="31">
                  <c:v>2115</c:v>
                </c:pt>
                <c:pt idx="32">
                  <c:v>2115</c:v>
                </c:pt>
                <c:pt idx="33">
                  <c:v>2150</c:v>
                </c:pt>
                <c:pt idx="34">
                  <c:v>2150</c:v>
                </c:pt>
                <c:pt idx="35">
                  <c:v>2167</c:v>
                </c:pt>
                <c:pt idx="36">
                  <c:v>2180</c:v>
                </c:pt>
                <c:pt idx="37">
                  <c:v>2180</c:v>
                </c:pt>
                <c:pt idx="38">
                  <c:v>2190</c:v>
                </c:pt>
              </c:numCache>
            </c:numRef>
          </c:xVal>
          <c:yVal>
            <c:numRef>
              <c:f>'Fig 3b-LIPs July 22'!$X$2:$X$40</c:f>
              <c:numCache>
                <c:formatCode>General</c:formatCode>
                <c:ptCount val="39"/>
                <c:pt idx="0">
                  <c:v>6990000</c:v>
                </c:pt>
                <c:pt idx="1">
                  <c:v>6950000</c:v>
                </c:pt>
                <c:pt idx="2">
                  <c:v>6370000</c:v>
                </c:pt>
                <c:pt idx="3">
                  <c:v>6170000</c:v>
                </c:pt>
                <c:pt idx="4">
                  <c:v>5960000</c:v>
                </c:pt>
                <c:pt idx="5">
                  <c:v>5890000</c:v>
                </c:pt>
                <c:pt idx="6">
                  <c:v>5710000</c:v>
                </c:pt>
                <c:pt idx="7">
                  <c:v>4210000</c:v>
                </c:pt>
                <c:pt idx="8">
                  <c:v>4030000</c:v>
                </c:pt>
                <c:pt idx="9">
                  <c:v>3990000</c:v>
                </c:pt>
                <c:pt idx="10">
                  <c:v>3720000</c:v>
                </c:pt>
                <c:pt idx="11">
                  <c:v>3690000</c:v>
                </c:pt>
                <c:pt idx="12">
                  <c:v>3490000</c:v>
                </c:pt>
                <c:pt idx="13">
                  <c:v>2990000</c:v>
                </c:pt>
                <c:pt idx="14">
                  <c:v>2980000</c:v>
                </c:pt>
                <c:pt idx="15">
                  <c:v>2960000</c:v>
                </c:pt>
                <c:pt idx="16">
                  <c:v>2520000</c:v>
                </c:pt>
                <c:pt idx="17">
                  <c:v>2510000</c:v>
                </c:pt>
                <c:pt idx="18">
                  <c:v>2440000</c:v>
                </c:pt>
                <c:pt idx="19">
                  <c:v>2350000</c:v>
                </c:pt>
                <c:pt idx="20">
                  <c:v>1960000</c:v>
                </c:pt>
                <c:pt idx="21">
                  <c:v>1950000</c:v>
                </c:pt>
                <c:pt idx="22">
                  <c:v>1880000</c:v>
                </c:pt>
                <c:pt idx="23">
                  <c:v>1680000</c:v>
                </c:pt>
                <c:pt idx="24">
                  <c:v>1660000</c:v>
                </c:pt>
                <c:pt idx="25">
                  <c:v>1490000</c:v>
                </c:pt>
                <c:pt idx="26">
                  <c:v>1420000</c:v>
                </c:pt>
                <c:pt idx="27">
                  <c:v>1410000</c:v>
                </c:pt>
                <c:pt idx="28">
                  <c:v>1250000</c:v>
                </c:pt>
                <c:pt idx="29">
                  <c:v>1210000</c:v>
                </c:pt>
                <c:pt idx="30">
                  <c:v>1200000</c:v>
                </c:pt>
                <c:pt idx="31">
                  <c:v>1060000</c:v>
                </c:pt>
                <c:pt idx="32">
                  <c:v>1040000</c:v>
                </c:pt>
                <c:pt idx="33">
                  <c:v>930000</c:v>
                </c:pt>
                <c:pt idx="34">
                  <c:v>890000</c:v>
                </c:pt>
                <c:pt idx="35">
                  <c:v>820000</c:v>
                </c:pt>
                <c:pt idx="36">
                  <c:v>370000</c:v>
                </c:pt>
                <c:pt idx="37">
                  <c:v>80000</c:v>
                </c:pt>
                <c:pt idx="38">
                  <c:v>40000</c:v>
                </c:pt>
              </c:numCache>
            </c:numRef>
          </c:yVal>
          <c:smooth val="0"/>
          <c:extLst>
            <c:ext xmlns:c16="http://schemas.microsoft.com/office/drawing/2014/chart" uri="{C3380CC4-5D6E-409C-BE32-E72D297353CC}">
              <c16:uniqueId val="{00000002-83C3-A049-8C71-B55F5B9E2827}"/>
            </c:ext>
          </c:extLst>
        </c:ser>
        <c:dLbls>
          <c:showLegendKey val="0"/>
          <c:showVal val="0"/>
          <c:showCatName val="0"/>
          <c:showSerName val="0"/>
          <c:showPercent val="0"/>
          <c:showBubbleSize val="0"/>
        </c:dLbls>
        <c:axId val="1799125391"/>
        <c:axId val="1798940127"/>
      </c:scatterChart>
      <c:valAx>
        <c:axId val="1799125391"/>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8940127"/>
        <c:crosses val="autoZero"/>
        <c:crossBetween val="midCat"/>
      </c:valAx>
      <c:valAx>
        <c:axId val="1798940127"/>
        <c:scaling>
          <c:orientation val="minMax"/>
          <c:max val="10000000"/>
        </c:scaling>
        <c:delete val="0"/>
        <c:axPos val="r"/>
        <c:majorGridlines>
          <c:spPr>
            <a:ln w="9525" cap="flat" cmpd="sng" algn="ctr">
              <a:solidFill>
                <a:schemeClr val="tx1">
                  <a:lumMod val="15000"/>
                  <a:lumOff val="85000"/>
                </a:schemeClr>
              </a:solidFill>
              <a:round/>
            </a:ln>
            <a:effectLst/>
          </c:spPr>
        </c:majorGridlines>
        <c:numFmt formatCode="0.00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912539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081339007926857E-2"/>
          <c:y val="6.9325260515477632E-2"/>
          <c:w val="0.89622234440673643"/>
          <c:h val="0.80061441498538788"/>
        </c:manualLayout>
      </c:layout>
      <c:scatterChart>
        <c:scatterStyle val="lineMarker"/>
        <c:varyColors val="0"/>
        <c:ser>
          <c:idx val="0"/>
          <c:order val="0"/>
          <c:tx>
            <c:strRef>
              <c:f>'Fig 3c. Condie- crust June 22'!$X$3</c:f>
              <c:strCache>
                <c:ptCount val="1"/>
                <c:pt idx="0">
                  <c:v>Median Felsic Age (Ma) (onset subduction?)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'Fig 3c. Condie- crust June 22'!$X$4:$X$24</c:f>
              <c:numCache>
                <c:formatCode>General</c:formatCode>
                <c:ptCount val="21"/>
                <c:pt idx="0">
                  <c:v>1824</c:v>
                </c:pt>
                <c:pt idx="1">
                  <c:v>1850</c:v>
                </c:pt>
                <c:pt idx="2">
                  <c:v>1850</c:v>
                </c:pt>
                <c:pt idx="3">
                  <c:v>1850</c:v>
                </c:pt>
                <c:pt idx="4">
                  <c:v>1858</c:v>
                </c:pt>
                <c:pt idx="5">
                  <c:v>1860</c:v>
                </c:pt>
                <c:pt idx="6">
                  <c:v>1862</c:v>
                </c:pt>
                <c:pt idx="7">
                  <c:v>1867</c:v>
                </c:pt>
                <c:pt idx="8">
                  <c:v>1885</c:v>
                </c:pt>
                <c:pt idx="9">
                  <c:v>1900</c:v>
                </c:pt>
                <c:pt idx="10">
                  <c:v>1900</c:v>
                </c:pt>
                <c:pt idx="11">
                  <c:v>1920</c:v>
                </c:pt>
                <c:pt idx="12">
                  <c:v>1960</c:v>
                </c:pt>
                <c:pt idx="13">
                  <c:v>1968</c:v>
                </c:pt>
                <c:pt idx="14">
                  <c:v>1989</c:v>
                </c:pt>
                <c:pt idx="15">
                  <c:v>1998</c:v>
                </c:pt>
                <c:pt idx="16">
                  <c:v>1998</c:v>
                </c:pt>
                <c:pt idx="17">
                  <c:v>2100</c:v>
                </c:pt>
                <c:pt idx="18">
                  <c:v>2100</c:v>
                </c:pt>
                <c:pt idx="19">
                  <c:v>2100</c:v>
                </c:pt>
                <c:pt idx="20">
                  <c:v>2101</c:v>
                </c:pt>
              </c:numCache>
            </c:numRef>
          </c:xVal>
          <c:yVal>
            <c:numRef>
              <c:f>'Fig 3c. Condie- crust June 22'!$AH$4:$AH$24</c:f>
              <c:numCache>
                <c:formatCode>General</c:formatCode>
                <c:ptCount val="21"/>
                <c:pt idx="0">
                  <c:v>26616.35</c:v>
                </c:pt>
                <c:pt idx="1">
                  <c:v>26131.55</c:v>
                </c:pt>
                <c:pt idx="2">
                  <c:v>23014.75</c:v>
                </c:pt>
                <c:pt idx="3">
                  <c:v>22122.75</c:v>
                </c:pt>
                <c:pt idx="4">
                  <c:v>21068.25</c:v>
                </c:pt>
                <c:pt idx="5">
                  <c:v>20303.45</c:v>
                </c:pt>
                <c:pt idx="6">
                  <c:v>18587.45</c:v>
                </c:pt>
                <c:pt idx="7">
                  <c:v>17846.95</c:v>
                </c:pt>
                <c:pt idx="8">
                  <c:v>16910.95</c:v>
                </c:pt>
                <c:pt idx="9">
                  <c:v>15263.95</c:v>
                </c:pt>
                <c:pt idx="10">
                  <c:v>14677.35</c:v>
                </c:pt>
                <c:pt idx="11">
                  <c:v>13584.050000000001</c:v>
                </c:pt>
                <c:pt idx="12">
                  <c:v>12801.050000000001</c:v>
                </c:pt>
                <c:pt idx="13">
                  <c:v>11959.35</c:v>
                </c:pt>
                <c:pt idx="14">
                  <c:v>10495.35</c:v>
                </c:pt>
                <c:pt idx="15">
                  <c:v>9751.35</c:v>
                </c:pt>
                <c:pt idx="16">
                  <c:v>7752.15</c:v>
                </c:pt>
                <c:pt idx="17">
                  <c:v>5974.65</c:v>
                </c:pt>
                <c:pt idx="18">
                  <c:v>4589.8999999999996</c:v>
                </c:pt>
                <c:pt idx="19">
                  <c:v>2397.5</c:v>
                </c:pt>
                <c:pt idx="20">
                  <c:v>1392</c:v>
                </c:pt>
              </c:numCache>
            </c:numRef>
          </c:yVal>
          <c:smooth val="0"/>
          <c:extLst>
            <c:ext xmlns:c16="http://schemas.microsoft.com/office/drawing/2014/chart" uri="{C3380CC4-5D6E-409C-BE32-E72D297353CC}">
              <c16:uniqueId val="{00000000-0A16-6E49-9521-66D07093CB01}"/>
            </c:ext>
          </c:extLst>
        </c:ser>
        <c:ser>
          <c:idx val="1"/>
          <c:order val="1"/>
          <c:tx>
            <c:strRef>
              <c:f>'Fig 3c. Condie- crust June 22'!$AV$3</c:f>
              <c:strCache>
                <c:ptCount val="1"/>
                <c:pt idx="0">
                  <c:v>Minimum age</c:v>
                </c:pt>
              </c:strCache>
            </c:strRef>
          </c:tx>
          <c:spPr>
            <a:ln w="19050" cap="rnd">
              <a:solidFill>
                <a:schemeClr val="accent1">
                  <a:lumMod val="20000"/>
                  <a:lumOff val="80000"/>
                </a:schemeClr>
              </a:solidFill>
              <a:round/>
            </a:ln>
            <a:effectLst/>
          </c:spPr>
          <c:marker>
            <c:symbol val="circle"/>
            <c:size val="5"/>
            <c:spPr>
              <a:solidFill>
                <a:schemeClr val="accent2"/>
              </a:solidFill>
              <a:ln w="9525">
                <a:solidFill>
                  <a:schemeClr val="accent2"/>
                </a:solidFill>
              </a:ln>
              <a:effectLst/>
            </c:spPr>
          </c:marker>
          <c:xVal>
            <c:numRef>
              <c:f>'Fig 3c. Condie- crust June 22'!$AV$4:$AV$24</c:f>
              <c:numCache>
                <c:formatCode>General</c:formatCode>
                <c:ptCount val="21"/>
                <c:pt idx="0">
                  <c:v>1546</c:v>
                </c:pt>
                <c:pt idx="1">
                  <c:v>1631</c:v>
                </c:pt>
                <c:pt idx="2">
                  <c:v>1643</c:v>
                </c:pt>
                <c:pt idx="3">
                  <c:v>1662</c:v>
                </c:pt>
                <c:pt idx="4">
                  <c:v>1679</c:v>
                </c:pt>
                <c:pt idx="5">
                  <c:v>1776</c:v>
                </c:pt>
                <c:pt idx="6">
                  <c:v>1776</c:v>
                </c:pt>
                <c:pt idx="7">
                  <c:v>1786</c:v>
                </c:pt>
                <c:pt idx="8">
                  <c:v>1792</c:v>
                </c:pt>
                <c:pt idx="9">
                  <c:v>1796</c:v>
                </c:pt>
                <c:pt idx="10">
                  <c:v>1808</c:v>
                </c:pt>
                <c:pt idx="11">
                  <c:v>1824</c:v>
                </c:pt>
                <c:pt idx="12">
                  <c:v>1824</c:v>
                </c:pt>
                <c:pt idx="13">
                  <c:v>1840</c:v>
                </c:pt>
                <c:pt idx="14">
                  <c:v>1849</c:v>
                </c:pt>
                <c:pt idx="15">
                  <c:v>1850</c:v>
                </c:pt>
                <c:pt idx="16">
                  <c:v>1860</c:v>
                </c:pt>
                <c:pt idx="17">
                  <c:v>1900</c:v>
                </c:pt>
                <c:pt idx="18">
                  <c:v>1908</c:v>
                </c:pt>
                <c:pt idx="19">
                  <c:v>2038</c:v>
                </c:pt>
                <c:pt idx="20">
                  <c:v>2077</c:v>
                </c:pt>
              </c:numCache>
            </c:numRef>
          </c:xVal>
          <c:yVal>
            <c:numRef>
              <c:f>'Fig 3c. Condie- crust June 22'!$BE$4:$BE$24</c:f>
              <c:numCache>
                <c:formatCode>General</c:formatCode>
                <c:ptCount val="21"/>
                <c:pt idx="0">
                  <c:v>32340</c:v>
                </c:pt>
                <c:pt idx="1">
                  <c:v>30140</c:v>
                </c:pt>
                <c:pt idx="2">
                  <c:v>29140</c:v>
                </c:pt>
                <c:pt idx="3">
                  <c:v>28140</c:v>
                </c:pt>
                <c:pt idx="4">
                  <c:v>27280</c:v>
                </c:pt>
                <c:pt idx="5">
                  <c:v>25480</c:v>
                </c:pt>
                <c:pt idx="6">
                  <c:v>23480</c:v>
                </c:pt>
                <c:pt idx="7">
                  <c:v>20780</c:v>
                </c:pt>
                <c:pt idx="8">
                  <c:v>19330</c:v>
                </c:pt>
                <c:pt idx="9">
                  <c:v>18330</c:v>
                </c:pt>
                <c:pt idx="10">
                  <c:v>17530</c:v>
                </c:pt>
                <c:pt idx="11">
                  <c:v>16630</c:v>
                </c:pt>
                <c:pt idx="12">
                  <c:v>14530</c:v>
                </c:pt>
                <c:pt idx="13">
                  <c:v>11330</c:v>
                </c:pt>
                <c:pt idx="14">
                  <c:v>10380</c:v>
                </c:pt>
                <c:pt idx="15">
                  <c:v>9430</c:v>
                </c:pt>
                <c:pt idx="16">
                  <c:v>7930</c:v>
                </c:pt>
                <c:pt idx="17">
                  <c:v>6630</c:v>
                </c:pt>
                <c:pt idx="18">
                  <c:v>5930</c:v>
                </c:pt>
                <c:pt idx="19">
                  <c:v>4000</c:v>
                </c:pt>
                <c:pt idx="20">
                  <c:v>1500</c:v>
                </c:pt>
              </c:numCache>
            </c:numRef>
          </c:yVal>
          <c:smooth val="0"/>
          <c:extLst>
            <c:ext xmlns:c16="http://schemas.microsoft.com/office/drawing/2014/chart" uri="{C3380CC4-5D6E-409C-BE32-E72D297353CC}">
              <c16:uniqueId val="{00000001-0A16-6E49-9521-66D07093CB01}"/>
            </c:ext>
          </c:extLst>
        </c:ser>
        <c:ser>
          <c:idx val="2"/>
          <c:order val="2"/>
          <c:tx>
            <c:strRef>
              <c:f>'Fig 3c. Condie- crust June 22'!$BN$3</c:f>
              <c:strCache>
                <c:ptCount val="1"/>
                <c:pt idx="0">
                  <c:v>Maximum age</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'Fig 3c. Condie- crust June 22'!$BN$4:$BN$24</c:f>
              <c:numCache>
                <c:formatCode>General</c:formatCode>
                <c:ptCount val="21"/>
                <c:pt idx="0">
                  <c:v>1850</c:v>
                </c:pt>
                <c:pt idx="1">
                  <c:v>1852</c:v>
                </c:pt>
                <c:pt idx="2">
                  <c:v>1867</c:v>
                </c:pt>
                <c:pt idx="3">
                  <c:v>1876</c:v>
                </c:pt>
                <c:pt idx="4">
                  <c:v>1900</c:v>
                </c:pt>
                <c:pt idx="5">
                  <c:v>1908</c:v>
                </c:pt>
                <c:pt idx="6">
                  <c:v>1940</c:v>
                </c:pt>
                <c:pt idx="7">
                  <c:v>2032</c:v>
                </c:pt>
                <c:pt idx="8">
                  <c:v>2062</c:v>
                </c:pt>
                <c:pt idx="9">
                  <c:v>2080</c:v>
                </c:pt>
                <c:pt idx="10">
                  <c:v>2088</c:v>
                </c:pt>
                <c:pt idx="11">
                  <c:v>2091</c:v>
                </c:pt>
                <c:pt idx="12">
                  <c:v>2091</c:v>
                </c:pt>
                <c:pt idx="13">
                  <c:v>2125</c:v>
                </c:pt>
                <c:pt idx="14">
                  <c:v>2160</c:v>
                </c:pt>
                <c:pt idx="15">
                  <c:v>2162</c:v>
                </c:pt>
                <c:pt idx="16">
                  <c:v>2172</c:v>
                </c:pt>
                <c:pt idx="17">
                  <c:v>2174</c:v>
                </c:pt>
                <c:pt idx="18">
                  <c:v>2347</c:v>
                </c:pt>
                <c:pt idx="19">
                  <c:v>2414</c:v>
                </c:pt>
                <c:pt idx="20">
                  <c:v>2424</c:v>
                </c:pt>
              </c:numCache>
            </c:numRef>
          </c:xVal>
          <c:yVal>
            <c:numRef>
              <c:f>'Fig 3c. Condie- crust June 22'!$BX$4:$BX$24</c:f>
              <c:numCache>
                <c:formatCode>General</c:formatCode>
                <c:ptCount val="21"/>
                <c:pt idx="0">
                  <c:v>32340</c:v>
                </c:pt>
                <c:pt idx="1">
                  <c:v>30840</c:v>
                </c:pt>
                <c:pt idx="2">
                  <c:v>30040</c:v>
                </c:pt>
                <c:pt idx="3">
                  <c:v>29090</c:v>
                </c:pt>
                <c:pt idx="4">
                  <c:v>25890</c:v>
                </c:pt>
                <c:pt idx="5">
                  <c:v>25190</c:v>
                </c:pt>
                <c:pt idx="6">
                  <c:v>24190</c:v>
                </c:pt>
                <c:pt idx="7">
                  <c:v>22890</c:v>
                </c:pt>
                <c:pt idx="8">
                  <c:v>21990</c:v>
                </c:pt>
                <c:pt idx="9">
                  <c:v>21130</c:v>
                </c:pt>
                <c:pt idx="10">
                  <c:v>20180</c:v>
                </c:pt>
                <c:pt idx="11">
                  <c:v>18250</c:v>
                </c:pt>
                <c:pt idx="12">
                  <c:v>17250</c:v>
                </c:pt>
                <c:pt idx="13">
                  <c:v>15450</c:v>
                </c:pt>
                <c:pt idx="14">
                  <c:v>13950</c:v>
                </c:pt>
                <c:pt idx="15">
                  <c:v>11950</c:v>
                </c:pt>
                <c:pt idx="16">
                  <c:v>9450</c:v>
                </c:pt>
                <c:pt idx="17">
                  <c:v>7350</c:v>
                </c:pt>
                <c:pt idx="18">
                  <c:v>5150</c:v>
                </c:pt>
                <c:pt idx="19">
                  <c:v>4150</c:v>
                </c:pt>
                <c:pt idx="20">
                  <c:v>2700</c:v>
                </c:pt>
              </c:numCache>
            </c:numRef>
          </c:yVal>
          <c:smooth val="0"/>
          <c:extLst>
            <c:ext xmlns:c16="http://schemas.microsoft.com/office/drawing/2014/chart" uri="{C3380CC4-5D6E-409C-BE32-E72D297353CC}">
              <c16:uniqueId val="{00000002-0A16-6E49-9521-66D07093CB01}"/>
            </c:ext>
          </c:extLst>
        </c:ser>
        <c:ser>
          <c:idx val="3"/>
          <c:order val="3"/>
          <c:tx>
            <c:strRef>
              <c:f>'Fig 3c. Condie- crust June 22'!$CH$3</c:f>
              <c:strCache>
                <c:ptCount val="1"/>
                <c:pt idx="0">
                  <c:v>Onset deformation or acccretion (Ma)</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'Fig 3c. Condie- crust June 22'!$CH$4:$CH$24</c:f>
              <c:numCache>
                <c:formatCode>0</c:formatCode>
                <c:ptCount val="21"/>
                <c:pt idx="0">
                  <c:v>1800</c:v>
                </c:pt>
                <c:pt idx="1">
                  <c:v>1830</c:v>
                </c:pt>
                <c:pt idx="2">
                  <c:v>1840</c:v>
                </c:pt>
                <c:pt idx="3">
                  <c:v>1850</c:v>
                </c:pt>
                <c:pt idx="4">
                  <c:v>1869</c:v>
                </c:pt>
                <c:pt idx="5">
                  <c:v>1870</c:v>
                </c:pt>
                <c:pt idx="6">
                  <c:v>1875</c:v>
                </c:pt>
                <c:pt idx="7">
                  <c:v>1880</c:v>
                </c:pt>
                <c:pt idx="8">
                  <c:v>1880</c:v>
                </c:pt>
                <c:pt idx="9">
                  <c:v>1890</c:v>
                </c:pt>
                <c:pt idx="10">
                  <c:v>1890</c:v>
                </c:pt>
                <c:pt idx="11">
                  <c:v>1900</c:v>
                </c:pt>
                <c:pt idx="12">
                  <c:v>1900</c:v>
                </c:pt>
                <c:pt idx="13">
                  <c:v>1900</c:v>
                </c:pt>
                <c:pt idx="14">
                  <c:v>1900</c:v>
                </c:pt>
                <c:pt idx="15">
                  <c:v>1920</c:v>
                </c:pt>
                <c:pt idx="16">
                  <c:v>1965</c:v>
                </c:pt>
                <c:pt idx="17">
                  <c:v>1985</c:v>
                </c:pt>
                <c:pt idx="18">
                  <c:v>2040</c:v>
                </c:pt>
                <c:pt idx="19">
                  <c:v>2100</c:v>
                </c:pt>
                <c:pt idx="20">
                  <c:v>2150</c:v>
                </c:pt>
              </c:numCache>
            </c:numRef>
          </c:xVal>
          <c:yVal>
            <c:numRef>
              <c:f>'Fig 3c. Condie- crust June 22'!$CO$4:$CO$24</c:f>
              <c:numCache>
                <c:formatCode>General</c:formatCode>
                <c:ptCount val="21"/>
                <c:pt idx="0">
                  <c:v>32340</c:v>
                </c:pt>
                <c:pt idx="1">
                  <c:v>30240</c:v>
                </c:pt>
                <c:pt idx="2">
                  <c:v>27040</c:v>
                </c:pt>
                <c:pt idx="3">
                  <c:v>26240</c:v>
                </c:pt>
                <c:pt idx="4">
                  <c:v>25290</c:v>
                </c:pt>
                <c:pt idx="5">
                  <c:v>24590</c:v>
                </c:pt>
                <c:pt idx="6">
                  <c:v>23690</c:v>
                </c:pt>
                <c:pt idx="7">
                  <c:v>22830</c:v>
                </c:pt>
                <c:pt idx="8">
                  <c:v>21830</c:v>
                </c:pt>
                <c:pt idx="9">
                  <c:v>20830</c:v>
                </c:pt>
                <c:pt idx="10">
                  <c:v>19330</c:v>
                </c:pt>
                <c:pt idx="11">
                  <c:v>17880</c:v>
                </c:pt>
                <c:pt idx="12">
                  <c:v>15680</c:v>
                </c:pt>
                <c:pt idx="13">
                  <c:v>13880</c:v>
                </c:pt>
                <c:pt idx="14">
                  <c:v>12580</c:v>
                </c:pt>
                <c:pt idx="15">
                  <c:v>11080</c:v>
                </c:pt>
                <c:pt idx="16">
                  <c:v>10130</c:v>
                </c:pt>
                <c:pt idx="17">
                  <c:v>9130</c:v>
                </c:pt>
                <c:pt idx="18">
                  <c:v>7130</c:v>
                </c:pt>
                <c:pt idx="19">
                  <c:v>5200</c:v>
                </c:pt>
                <c:pt idx="20">
                  <c:v>2500</c:v>
                </c:pt>
              </c:numCache>
            </c:numRef>
          </c:yVal>
          <c:smooth val="0"/>
          <c:extLst>
            <c:ext xmlns:c16="http://schemas.microsoft.com/office/drawing/2014/chart" uri="{C3380CC4-5D6E-409C-BE32-E72D297353CC}">
              <c16:uniqueId val="{00000000-BF95-E14B-AD3C-A32011D64705}"/>
            </c:ext>
          </c:extLst>
        </c:ser>
        <c:ser>
          <c:idx val="4"/>
          <c:order val="4"/>
          <c:tx>
            <c:v>End deformation</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'Fig 3c. Condie- crust June 22'!$CY$4:$CY$24</c:f>
              <c:numCache>
                <c:formatCode>General</c:formatCode>
                <c:ptCount val="21"/>
                <c:pt idx="0">
                  <c:v>1650</c:v>
                </c:pt>
                <c:pt idx="1">
                  <c:v>1780</c:v>
                </c:pt>
                <c:pt idx="2">
                  <c:v>1780</c:v>
                </c:pt>
                <c:pt idx="3">
                  <c:v>1800</c:v>
                </c:pt>
                <c:pt idx="4">
                  <c:v>1800</c:v>
                </c:pt>
                <c:pt idx="5">
                  <c:v>1820</c:v>
                </c:pt>
                <c:pt idx="6">
                  <c:v>1830</c:v>
                </c:pt>
                <c:pt idx="7">
                  <c:v>1830</c:v>
                </c:pt>
                <c:pt idx="8">
                  <c:v>1840</c:v>
                </c:pt>
                <c:pt idx="9">
                  <c:v>1844</c:v>
                </c:pt>
                <c:pt idx="10">
                  <c:v>1845</c:v>
                </c:pt>
                <c:pt idx="11">
                  <c:v>1850</c:v>
                </c:pt>
                <c:pt idx="12">
                  <c:v>1850</c:v>
                </c:pt>
                <c:pt idx="13">
                  <c:v>1850</c:v>
                </c:pt>
                <c:pt idx="14">
                  <c:v>1870</c:v>
                </c:pt>
                <c:pt idx="15">
                  <c:v>1870</c:v>
                </c:pt>
                <c:pt idx="16">
                  <c:v>1930</c:v>
                </c:pt>
                <c:pt idx="17">
                  <c:v>1940</c:v>
                </c:pt>
                <c:pt idx="18">
                  <c:v>1960</c:v>
                </c:pt>
                <c:pt idx="19">
                  <c:v>1980</c:v>
                </c:pt>
                <c:pt idx="20">
                  <c:v>2000</c:v>
                </c:pt>
              </c:numCache>
            </c:numRef>
          </c:xVal>
          <c:yVal>
            <c:numRef>
              <c:f>'Fig 3c. Condie- crust June 22'!$DE$4:$DE$24</c:f>
              <c:numCache>
                <c:formatCode>General</c:formatCode>
                <c:ptCount val="21"/>
                <c:pt idx="0">
                  <c:v>29640</c:v>
                </c:pt>
                <c:pt idx="1">
                  <c:v>27840</c:v>
                </c:pt>
                <c:pt idx="2">
                  <c:v>25740</c:v>
                </c:pt>
                <c:pt idx="3">
                  <c:v>24940</c:v>
                </c:pt>
                <c:pt idx="4">
                  <c:v>21740</c:v>
                </c:pt>
                <c:pt idx="5">
                  <c:v>20240</c:v>
                </c:pt>
                <c:pt idx="6">
                  <c:v>19290</c:v>
                </c:pt>
                <c:pt idx="7">
                  <c:v>18290</c:v>
                </c:pt>
                <c:pt idx="8">
                  <c:v>16790</c:v>
                </c:pt>
                <c:pt idx="9">
                  <c:v>15890</c:v>
                </c:pt>
                <c:pt idx="10">
                  <c:v>15190</c:v>
                </c:pt>
                <c:pt idx="11">
                  <c:v>14330</c:v>
                </c:pt>
                <c:pt idx="12">
                  <c:v>13330</c:v>
                </c:pt>
                <c:pt idx="13">
                  <c:v>11880</c:v>
                </c:pt>
                <c:pt idx="14">
                  <c:v>10580</c:v>
                </c:pt>
                <c:pt idx="15">
                  <c:v>8380</c:v>
                </c:pt>
                <c:pt idx="16">
                  <c:v>7430</c:v>
                </c:pt>
                <c:pt idx="17">
                  <c:v>5430</c:v>
                </c:pt>
                <c:pt idx="18">
                  <c:v>4430</c:v>
                </c:pt>
                <c:pt idx="19">
                  <c:v>2500</c:v>
                </c:pt>
                <c:pt idx="20">
                  <c:v>2700</c:v>
                </c:pt>
              </c:numCache>
            </c:numRef>
          </c:yVal>
          <c:smooth val="0"/>
          <c:extLst>
            <c:ext xmlns:c16="http://schemas.microsoft.com/office/drawing/2014/chart" uri="{C3380CC4-5D6E-409C-BE32-E72D297353CC}">
              <c16:uniqueId val="{00000000-CD70-1946-AA28-2498D5E1DE6A}"/>
            </c:ext>
          </c:extLst>
        </c:ser>
        <c:dLbls>
          <c:showLegendKey val="0"/>
          <c:showVal val="0"/>
          <c:showCatName val="0"/>
          <c:showSerName val="0"/>
          <c:showPercent val="0"/>
          <c:showBubbleSize val="0"/>
        </c:dLbls>
        <c:axId val="1268595536"/>
        <c:axId val="1270436624"/>
      </c:scatterChart>
      <c:valAx>
        <c:axId val="1268595536"/>
        <c:scaling>
          <c:orientation val="maxMin"/>
          <c:max val="2200"/>
          <c:min val="18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0436624"/>
        <c:crosses val="autoZero"/>
        <c:crossBetween val="midCat"/>
      </c:valAx>
      <c:valAx>
        <c:axId val="1270436624"/>
        <c:scaling>
          <c:orientation val="minMax"/>
          <c:max val="40000"/>
          <c:min val="0"/>
        </c:scaling>
        <c:delete val="0"/>
        <c:axPos val="r"/>
        <c:majorGridlines>
          <c:spPr>
            <a:ln w="9525" cap="flat" cmpd="sng" algn="ctr">
              <a:solidFill>
                <a:schemeClr val="tx1">
                  <a:lumMod val="15000"/>
                  <a:lumOff val="85000"/>
                </a:schemeClr>
              </a:solidFill>
              <a:round/>
            </a:ln>
            <a:effectLst/>
          </c:spPr>
        </c:majorGridlines>
        <c:numFmt formatCode="0.00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859553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v>Bekker</c:v>
          </c:tx>
          <c:marker>
            <c:symbol val="none"/>
          </c:marker>
          <c:xVal>
            <c:numRef>
              <c:f>'Fig 3c. Condie- crust June 22'!$AU$41:$AU$60</c:f>
              <c:numCache>
                <c:formatCode>General</c:formatCode>
                <c:ptCount val="20"/>
              </c:numCache>
            </c:numRef>
          </c:xVal>
          <c:yVal>
            <c:numRef>
              <c:f>'Fig 3c. Condie- crust June 22'!$BO$41:$BO$60</c:f>
              <c:numCache>
                <c:formatCode>General</c:formatCode>
                <c:ptCount val="20"/>
              </c:numCache>
            </c:numRef>
          </c:yVal>
          <c:smooth val="0"/>
          <c:extLst>
            <c:ext xmlns:c16="http://schemas.microsoft.com/office/drawing/2014/chart" uri="{C3380CC4-5D6E-409C-BE32-E72D297353CC}">
              <c16:uniqueId val="{00000000-81CC-704D-A96B-3124DE20A770}"/>
            </c:ext>
          </c:extLst>
        </c:ser>
        <c:ser>
          <c:idx val="3"/>
          <c:order val="1"/>
          <c:tx>
            <c:strRef>
              <c:f>'Fig 3c. Condie- crust June 22'!$BP$40</c:f>
              <c:strCache>
                <c:ptCount val="1"/>
              </c:strCache>
            </c:strRef>
          </c:tx>
          <c:marker>
            <c:symbol val="none"/>
          </c:marker>
          <c:xVal>
            <c:numRef>
              <c:f>'Fig 3c. Condie- crust June 22'!$AU$41:$AU$60</c:f>
              <c:numCache>
                <c:formatCode>General</c:formatCode>
                <c:ptCount val="20"/>
              </c:numCache>
            </c:numRef>
          </c:xVal>
          <c:yVal>
            <c:numRef>
              <c:f>'Fig 3c. Condie- crust June 22'!$BP$41:$BP$60</c:f>
              <c:numCache>
                <c:formatCode>_(* #,##0.0_);_(* \(#,##0.0\);_(* "-"?_);_(@_)</c:formatCode>
                <c:ptCount val="20"/>
              </c:numCache>
            </c:numRef>
          </c:yVal>
          <c:smooth val="0"/>
          <c:extLst>
            <c:ext xmlns:c16="http://schemas.microsoft.com/office/drawing/2014/chart" uri="{C3380CC4-5D6E-409C-BE32-E72D297353CC}">
              <c16:uniqueId val="{00000001-81CC-704D-A96B-3124DE20A770}"/>
            </c:ext>
          </c:extLst>
        </c:ser>
        <c:ser>
          <c:idx val="4"/>
          <c:order val="2"/>
          <c:tx>
            <c:v>min age</c:v>
          </c:tx>
          <c:marker>
            <c:symbol val="none"/>
          </c:marker>
          <c:xVal>
            <c:numRef>
              <c:f>'Fig 3c. Condie- crust June 22'!$BX$41:$BX$60</c:f>
              <c:numCache>
                <c:formatCode>General</c:formatCode>
                <c:ptCount val="20"/>
              </c:numCache>
            </c:numRef>
          </c:xVal>
          <c:yVal>
            <c:numRef>
              <c:f>'Fig 3c. Condie- crust June 22'!$CC$41:$CC$60</c:f>
              <c:numCache>
                <c:formatCode>_(* #,##0.0_);_(* \(#,##0.0\);_(* "-"?_);_(@_)</c:formatCode>
                <c:ptCount val="20"/>
              </c:numCache>
            </c:numRef>
          </c:yVal>
          <c:smooth val="0"/>
          <c:extLst>
            <c:ext xmlns:c16="http://schemas.microsoft.com/office/drawing/2014/chart" uri="{C3380CC4-5D6E-409C-BE32-E72D297353CC}">
              <c16:uniqueId val="{00000002-81CC-704D-A96B-3124DE20A770}"/>
            </c:ext>
          </c:extLst>
        </c:ser>
        <c:ser>
          <c:idx val="5"/>
          <c:order val="3"/>
          <c:tx>
            <c:v>Max age</c:v>
          </c:tx>
          <c:marker>
            <c:symbol val="none"/>
          </c:marker>
          <c:xVal>
            <c:numRef>
              <c:f>'Fig 3c. Condie- crust June 22'!$CJ$41:$CJ$60</c:f>
              <c:numCache>
                <c:formatCode>General</c:formatCode>
                <c:ptCount val="20"/>
              </c:numCache>
            </c:numRef>
          </c:xVal>
          <c:yVal>
            <c:numRef>
              <c:f>'Fig 3c. Condie- crust June 22'!$CN$41:$CN$60</c:f>
              <c:numCache>
                <c:formatCode>_(* #,##0.0_);_(* \(#,##0.0\);_(* "-"?_);_(@_)</c:formatCode>
                <c:ptCount val="20"/>
              </c:numCache>
            </c:numRef>
          </c:yVal>
          <c:smooth val="0"/>
          <c:extLst>
            <c:ext xmlns:c16="http://schemas.microsoft.com/office/drawing/2014/chart" uri="{C3380CC4-5D6E-409C-BE32-E72D297353CC}">
              <c16:uniqueId val="{00000003-81CC-704D-A96B-3124DE20A770}"/>
            </c:ext>
          </c:extLst>
        </c:ser>
        <c:ser>
          <c:idx val="17"/>
          <c:order val="4"/>
          <c:tx>
            <c:v>Bekker</c:v>
          </c:tx>
          <c:spPr>
            <a:ln w="19050" cap="rnd">
              <a:solidFill>
                <a:schemeClr val="accent6">
                  <a:lumMod val="50000"/>
                </a:schemeClr>
              </a:solidFill>
              <a:round/>
            </a:ln>
            <a:effectLst/>
          </c:spPr>
          <c:marker>
            <c:symbol val="none"/>
          </c:marker>
          <c:xVal>
            <c:numRef>
              <c:f>'Fig 3c. Condie- crust June 22'!$AU$41:$AU$60</c:f>
              <c:numCache>
                <c:formatCode>General</c:formatCode>
                <c:ptCount val="20"/>
              </c:numCache>
            </c:numRef>
          </c:xVal>
          <c:yVal>
            <c:numRef>
              <c:f>'Fig 3c. Condie- crust June 22'!$BO$41:$BO$60</c:f>
              <c:numCache>
                <c:formatCode>General</c:formatCode>
                <c:ptCount val="20"/>
              </c:numCache>
            </c:numRef>
          </c:yVal>
          <c:smooth val="0"/>
          <c:extLst>
            <c:ext xmlns:c16="http://schemas.microsoft.com/office/drawing/2014/chart" uri="{C3380CC4-5D6E-409C-BE32-E72D297353CC}">
              <c16:uniqueId val="{00000004-81CC-704D-A96B-3124DE20A770}"/>
            </c:ext>
          </c:extLst>
        </c:ser>
        <c:ser>
          <c:idx val="18"/>
          <c:order val="5"/>
          <c:tx>
            <c:strRef>
              <c:f>'Fig 3c. Condie- crust June 22'!$BP$40</c:f>
              <c:strCache>
                <c:ptCount val="1"/>
              </c:strCache>
            </c:strRef>
          </c:tx>
          <c:spPr>
            <a:ln w="19050" cap="rnd">
              <a:solidFill>
                <a:schemeClr val="accent2">
                  <a:lumMod val="70000"/>
                  <a:lumOff val="30000"/>
                </a:schemeClr>
              </a:solidFill>
              <a:round/>
            </a:ln>
            <a:effectLst/>
          </c:spPr>
          <c:marker>
            <c:symbol val="none"/>
          </c:marker>
          <c:dPt>
            <c:idx val="9"/>
            <c:bubble3D val="0"/>
            <c:extLst>
              <c:ext xmlns:c16="http://schemas.microsoft.com/office/drawing/2014/chart" uri="{C3380CC4-5D6E-409C-BE32-E72D297353CC}">
                <c16:uniqueId val="{00000005-81CC-704D-A96B-3124DE20A770}"/>
              </c:ext>
            </c:extLst>
          </c:dPt>
          <c:xVal>
            <c:numRef>
              <c:f>'Fig 3c. Condie- crust June 22'!$AU$41:$AU$60</c:f>
              <c:numCache>
                <c:formatCode>General</c:formatCode>
                <c:ptCount val="20"/>
              </c:numCache>
            </c:numRef>
          </c:xVal>
          <c:yVal>
            <c:numRef>
              <c:f>'Fig 3c. Condie- crust June 22'!$BP$41:$BP$60</c:f>
              <c:numCache>
                <c:formatCode>_(* #,##0.0_);_(* \(#,##0.0\);_(* "-"?_);_(@_)</c:formatCode>
                <c:ptCount val="20"/>
              </c:numCache>
            </c:numRef>
          </c:yVal>
          <c:smooth val="0"/>
          <c:extLst>
            <c:ext xmlns:c16="http://schemas.microsoft.com/office/drawing/2014/chart" uri="{C3380CC4-5D6E-409C-BE32-E72D297353CC}">
              <c16:uniqueId val="{00000006-81CC-704D-A96B-3124DE20A770}"/>
            </c:ext>
          </c:extLst>
        </c:ser>
        <c:ser>
          <c:idx val="0"/>
          <c:order val="6"/>
          <c:tx>
            <c:v>min age</c:v>
          </c:tx>
          <c:spPr>
            <a:ln w="19050" cap="rnd">
              <a:solidFill>
                <a:schemeClr val="accent2"/>
              </a:solidFill>
              <a:round/>
            </a:ln>
            <a:effectLst/>
          </c:spPr>
          <c:marker>
            <c:symbol val="none"/>
          </c:marker>
          <c:dPt>
            <c:idx val="11"/>
            <c:bubble3D val="0"/>
            <c:extLst>
              <c:ext xmlns:c16="http://schemas.microsoft.com/office/drawing/2014/chart" uri="{C3380CC4-5D6E-409C-BE32-E72D297353CC}">
                <c16:uniqueId val="{00000007-81CC-704D-A96B-3124DE20A770}"/>
              </c:ext>
            </c:extLst>
          </c:dPt>
          <c:xVal>
            <c:numRef>
              <c:f>'Fig 3c. Condie- crust June 22'!$BX$41:$BX$60</c:f>
              <c:numCache>
                <c:formatCode>General</c:formatCode>
                <c:ptCount val="20"/>
              </c:numCache>
            </c:numRef>
          </c:xVal>
          <c:yVal>
            <c:numRef>
              <c:f>'Fig 3c. Condie- crust June 22'!$CC$41:$CC$60</c:f>
              <c:numCache>
                <c:formatCode>_(* #,##0.0_);_(* \(#,##0.0\);_(* "-"?_);_(@_)</c:formatCode>
                <c:ptCount val="20"/>
              </c:numCache>
            </c:numRef>
          </c:yVal>
          <c:smooth val="0"/>
          <c:extLst>
            <c:ext xmlns:c16="http://schemas.microsoft.com/office/drawing/2014/chart" uri="{C3380CC4-5D6E-409C-BE32-E72D297353CC}">
              <c16:uniqueId val="{00000008-81CC-704D-A96B-3124DE20A770}"/>
            </c:ext>
          </c:extLst>
        </c:ser>
        <c:ser>
          <c:idx val="1"/>
          <c:order val="7"/>
          <c:tx>
            <c:v>Max age</c:v>
          </c:tx>
          <c:spPr>
            <a:ln w="19050" cap="rnd">
              <a:solidFill>
                <a:schemeClr val="accent4"/>
              </a:solidFill>
              <a:round/>
            </a:ln>
            <a:effectLst/>
          </c:spPr>
          <c:marker>
            <c:symbol val="none"/>
          </c:marker>
          <c:xVal>
            <c:numRef>
              <c:f>'Fig 3c. Condie- crust June 22'!$CJ$41:$CJ$60</c:f>
              <c:numCache>
                <c:formatCode>General</c:formatCode>
                <c:ptCount val="20"/>
              </c:numCache>
            </c:numRef>
          </c:xVal>
          <c:yVal>
            <c:numRef>
              <c:f>'Fig 3c. Condie- crust June 22'!$CN$41:$CN$60</c:f>
              <c:numCache>
                <c:formatCode>_(* #,##0.0_);_(* \(#,##0.0\);_(* "-"?_);_(@_)</c:formatCode>
                <c:ptCount val="20"/>
              </c:numCache>
            </c:numRef>
          </c:yVal>
          <c:smooth val="0"/>
          <c:extLst>
            <c:ext xmlns:c16="http://schemas.microsoft.com/office/drawing/2014/chart" uri="{C3380CC4-5D6E-409C-BE32-E72D297353CC}">
              <c16:uniqueId val="{00000009-81CC-704D-A96B-3124DE20A770}"/>
            </c:ext>
          </c:extLst>
        </c:ser>
        <c:dLbls>
          <c:showLegendKey val="0"/>
          <c:showVal val="0"/>
          <c:showCatName val="0"/>
          <c:showSerName val="0"/>
          <c:showPercent val="0"/>
          <c:showBubbleSize val="0"/>
        </c:dLbls>
        <c:axId val="1264155856"/>
        <c:axId val="1401664208"/>
      </c:scatterChart>
      <c:valAx>
        <c:axId val="1264155856"/>
        <c:scaling>
          <c:orientation val="minMax"/>
          <c:max val="2400"/>
          <c:min val="18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1664208"/>
        <c:crosses val="autoZero"/>
        <c:crossBetween val="midCat"/>
      </c:valAx>
      <c:valAx>
        <c:axId val="1401664208"/>
        <c:scaling>
          <c:orientation val="minMax"/>
          <c:max val="14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4155856"/>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v>Maximum age</c:v>
          </c:tx>
          <c:spPr>
            <a:ln w="25400">
              <a:solidFill>
                <a:schemeClr val="tx1">
                  <a:lumMod val="25000"/>
                  <a:lumOff val="75000"/>
                </a:schemeClr>
              </a:solidFill>
            </a:ln>
          </c:spPr>
          <c:xVal>
            <c:numRef>
              <c:f>'IF wo dep. rate'!$R$3:$R$58</c:f>
              <c:numCache>
                <c:formatCode>General</c:formatCode>
                <c:ptCount val="56"/>
                <c:pt idx="0">
                  <c:v>1865</c:v>
                </c:pt>
                <c:pt idx="1">
                  <c:v>1879.1</c:v>
                </c:pt>
                <c:pt idx="2">
                  <c:v>1886.26</c:v>
                </c:pt>
                <c:pt idx="3">
                  <c:v>1897</c:v>
                </c:pt>
                <c:pt idx="4">
                  <c:v>1897</c:v>
                </c:pt>
                <c:pt idx="5">
                  <c:v>1899</c:v>
                </c:pt>
                <c:pt idx="6">
                  <c:v>1901</c:v>
                </c:pt>
                <c:pt idx="7">
                  <c:v>1906</c:v>
                </c:pt>
                <c:pt idx="8">
                  <c:v>1907</c:v>
                </c:pt>
                <c:pt idx="9">
                  <c:v>1913</c:v>
                </c:pt>
                <c:pt idx="10">
                  <c:v>1980</c:v>
                </c:pt>
                <c:pt idx="11">
                  <c:v>2050</c:v>
                </c:pt>
                <c:pt idx="12">
                  <c:v>2100</c:v>
                </c:pt>
                <c:pt idx="13">
                  <c:v>2125</c:v>
                </c:pt>
                <c:pt idx="14">
                  <c:v>2150</c:v>
                </c:pt>
                <c:pt idx="15">
                  <c:v>2150</c:v>
                </c:pt>
                <c:pt idx="16">
                  <c:v>2178</c:v>
                </c:pt>
                <c:pt idx="17">
                  <c:v>2200</c:v>
                </c:pt>
                <c:pt idx="18">
                  <c:v>2250</c:v>
                </c:pt>
                <c:pt idx="19">
                  <c:v>2250</c:v>
                </c:pt>
                <c:pt idx="20">
                  <c:v>2370</c:v>
                </c:pt>
                <c:pt idx="21">
                  <c:v>2450</c:v>
                </c:pt>
                <c:pt idx="22">
                  <c:v>2450.6</c:v>
                </c:pt>
                <c:pt idx="23">
                  <c:v>2452</c:v>
                </c:pt>
                <c:pt idx="24">
                  <c:v>2462</c:v>
                </c:pt>
                <c:pt idx="25">
                  <c:v>2467</c:v>
                </c:pt>
                <c:pt idx="26">
                  <c:v>2472</c:v>
                </c:pt>
                <c:pt idx="27">
                  <c:v>2480</c:v>
                </c:pt>
                <c:pt idx="28">
                  <c:v>2486</c:v>
                </c:pt>
                <c:pt idx="29">
                  <c:v>2495</c:v>
                </c:pt>
                <c:pt idx="30">
                  <c:v>2500</c:v>
                </c:pt>
                <c:pt idx="31">
                  <c:v>2500</c:v>
                </c:pt>
                <c:pt idx="32">
                  <c:v>2500</c:v>
                </c:pt>
                <c:pt idx="33">
                  <c:v>2500</c:v>
                </c:pt>
                <c:pt idx="34">
                  <c:v>2511</c:v>
                </c:pt>
                <c:pt idx="35">
                  <c:v>2550</c:v>
                </c:pt>
                <c:pt idx="36">
                  <c:v>2555</c:v>
                </c:pt>
                <c:pt idx="37">
                  <c:v>2560</c:v>
                </c:pt>
                <c:pt idx="38">
                  <c:v>2602</c:v>
                </c:pt>
                <c:pt idx="39">
                  <c:v>2622</c:v>
                </c:pt>
                <c:pt idx="40">
                  <c:v>2707</c:v>
                </c:pt>
                <c:pt idx="41">
                  <c:v>2750</c:v>
                </c:pt>
                <c:pt idx="42">
                  <c:v>2750</c:v>
                </c:pt>
                <c:pt idx="43">
                  <c:v>2750</c:v>
                </c:pt>
                <c:pt idx="44">
                  <c:v>2750</c:v>
                </c:pt>
                <c:pt idx="45">
                  <c:v>2750</c:v>
                </c:pt>
                <c:pt idx="46">
                  <c:v>2830</c:v>
                </c:pt>
                <c:pt idx="47">
                  <c:v>2900</c:v>
                </c:pt>
                <c:pt idx="48">
                  <c:v>2920</c:v>
                </c:pt>
                <c:pt idx="49">
                  <c:v>3000</c:v>
                </c:pt>
                <c:pt idx="50">
                  <c:v>3010</c:v>
                </c:pt>
                <c:pt idx="51">
                  <c:v>3010</c:v>
                </c:pt>
                <c:pt idx="52">
                  <c:v>3100</c:v>
                </c:pt>
                <c:pt idx="53">
                  <c:v>3140</c:v>
                </c:pt>
                <c:pt idx="54">
                  <c:v>3280</c:v>
                </c:pt>
                <c:pt idx="55">
                  <c:v>3830</c:v>
                </c:pt>
              </c:numCache>
            </c:numRef>
          </c:xVal>
          <c:yVal>
            <c:numRef>
              <c:f>'IF wo dep. rate'!$U$3:$U$58</c:f>
              <c:numCache>
                <c:formatCode>General</c:formatCode>
                <c:ptCount val="56"/>
                <c:pt idx="0">
                  <c:v>946583</c:v>
                </c:pt>
                <c:pt idx="1">
                  <c:v>946582.5</c:v>
                </c:pt>
                <c:pt idx="2">
                  <c:v>846582.5</c:v>
                </c:pt>
                <c:pt idx="3">
                  <c:v>836582.5</c:v>
                </c:pt>
                <c:pt idx="4">
                  <c:v>836582.5</c:v>
                </c:pt>
                <c:pt idx="5">
                  <c:v>836582.5</c:v>
                </c:pt>
                <c:pt idx="6">
                  <c:v>836582.5</c:v>
                </c:pt>
                <c:pt idx="7">
                  <c:v>836582.5</c:v>
                </c:pt>
                <c:pt idx="8">
                  <c:v>826582.5</c:v>
                </c:pt>
                <c:pt idx="9">
                  <c:v>826582</c:v>
                </c:pt>
                <c:pt idx="10">
                  <c:v>826581.5</c:v>
                </c:pt>
                <c:pt idx="11">
                  <c:v>826581</c:v>
                </c:pt>
                <c:pt idx="12">
                  <c:v>826481</c:v>
                </c:pt>
                <c:pt idx="13">
                  <c:v>826480.5</c:v>
                </c:pt>
                <c:pt idx="14">
                  <c:v>826480</c:v>
                </c:pt>
                <c:pt idx="15">
                  <c:v>826479.5</c:v>
                </c:pt>
                <c:pt idx="16">
                  <c:v>826379.5</c:v>
                </c:pt>
                <c:pt idx="17">
                  <c:v>826379</c:v>
                </c:pt>
                <c:pt idx="18">
                  <c:v>826378.5</c:v>
                </c:pt>
                <c:pt idx="19">
                  <c:v>826278.5</c:v>
                </c:pt>
                <c:pt idx="20">
                  <c:v>826128.5</c:v>
                </c:pt>
                <c:pt idx="21">
                  <c:v>816128.5</c:v>
                </c:pt>
                <c:pt idx="22">
                  <c:v>797128.5</c:v>
                </c:pt>
                <c:pt idx="23">
                  <c:v>797118.5</c:v>
                </c:pt>
                <c:pt idx="24">
                  <c:v>778118.5</c:v>
                </c:pt>
                <c:pt idx="25">
                  <c:v>778118</c:v>
                </c:pt>
                <c:pt idx="26">
                  <c:v>748118</c:v>
                </c:pt>
                <c:pt idx="27">
                  <c:v>748117.5</c:v>
                </c:pt>
                <c:pt idx="28">
                  <c:v>748117</c:v>
                </c:pt>
                <c:pt idx="29">
                  <c:v>748116.5</c:v>
                </c:pt>
                <c:pt idx="30">
                  <c:v>648116.5</c:v>
                </c:pt>
                <c:pt idx="31">
                  <c:v>598116.5</c:v>
                </c:pt>
                <c:pt idx="32">
                  <c:v>498116.5</c:v>
                </c:pt>
                <c:pt idx="33">
                  <c:v>398116.5</c:v>
                </c:pt>
                <c:pt idx="34">
                  <c:v>98116.5</c:v>
                </c:pt>
                <c:pt idx="35">
                  <c:v>85116.5</c:v>
                </c:pt>
                <c:pt idx="36">
                  <c:v>84116.5</c:v>
                </c:pt>
                <c:pt idx="37">
                  <c:v>81116.5</c:v>
                </c:pt>
                <c:pt idx="38">
                  <c:v>81116</c:v>
                </c:pt>
                <c:pt idx="39">
                  <c:v>64116</c:v>
                </c:pt>
                <c:pt idx="40">
                  <c:v>63116</c:v>
                </c:pt>
                <c:pt idx="41">
                  <c:v>62116</c:v>
                </c:pt>
                <c:pt idx="42">
                  <c:v>12116</c:v>
                </c:pt>
                <c:pt idx="43">
                  <c:v>11116</c:v>
                </c:pt>
                <c:pt idx="44">
                  <c:v>11115.5</c:v>
                </c:pt>
                <c:pt idx="45">
                  <c:v>1115.5</c:v>
                </c:pt>
                <c:pt idx="46">
                  <c:v>1114.5</c:v>
                </c:pt>
                <c:pt idx="47">
                  <c:v>1114</c:v>
                </c:pt>
                <c:pt idx="48">
                  <c:v>1113.5</c:v>
                </c:pt>
                <c:pt idx="49">
                  <c:v>1113</c:v>
                </c:pt>
                <c:pt idx="50">
                  <c:v>113</c:v>
                </c:pt>
                <c:pt idx="51">
                  <c:v>103</c:v>
                </c:pt>
                <c:pt idx="52">
                  <c:v>3</c:v>
                </c:pt>
                <c:pt idx="53">
                  <c:v>2.5</c:v>
                </c:pt>
                <c:pt idx="54">
                  <c:v>1.5</c:v>
                </c:pt>
                <c:pt idx="55">
                  <c:v>1</c:v>
                </c:pt>
              </c:numCache>
            </c:numRef>
          </c:yVal>
          <c:smooth val="0"/>
          <c:extLst>
            <c:ext xmlns:c16="http://schemas.microsoft.com/office/drawing/2014/chart" uri="{C3380CC4-5D6E-409C-BE32-E72D297353CC}">
              <c16:uniqueId val="{00000030-1CD6-C14A-914B-D1407AD731B7}"/>
            </c:ext>
          </c:extLst>
        </c:ser>
        <c:ser>
          <c:idx val="3"/>
          <c:order val="1"/>
          <c:tx>
            <c:v>Minimum age</c:v>
          </c:tx>
          <c:xVal>
            <c:numRef>
              <c:f>'IF wo dep. rate'!$F$3:$F$58</c:f>
              <c:numCache>
                <c:formatCode>General</c:formatCode>
                <c:ptCount val="56"/>
                <c:pt idx="0">
                  <c:v>1835</c:v>
                </c:pt>
                <c:pt idx="1">
                  <c:v>1855</c:v>
                </c:pt>
                <c:pt idx="2">
                  <c:v>1855</c:v>
                </c:pt>
                <c:pt idx="3">
                  <c:v>1868.78</c:v>
                </c:pt>
                <c:pt idx="4">
                  <c:v>1868.78</c:v>
                </c:pt>
                <c:pt idx="5">
                  <c:v>1873</c:v>
                </c:pt>
                <c:pt idx="6">
                  <c:v>1876.5</c:v>
                </c:pt>
                <c:pt idx="7">
                  <c:v>1880</c:v>
                </c:pt>
                <c:pt idx="8">
                  <c:v>1882</c:v>
                </c:pt>
                <c:pt idx="9">
                  <c:v>1883</c:v>
                </c:pt>
                <c:pt idx="10">
                  <c:v>1888</c:v>
                </c:pt>
                <c:pt idx="11">
                  <c:v>1950</c:v>
                </c:pt>
                <c:pt idx="12">
                  <c:v>1978</c:v>
                </c:pt>
                <c:pt idx="13">
                  <c:v>2020</c:v>
                </c:pt>
                <c:pt idx="14">
                  <c:v>2035</c:v>
                </c:pt>
                <c:pt idx="15">
                  <c:v>2050</c:v>
                </c:pt>
                <c:pt idx="16">
                  <c:v>2050</c:v>
                </c:pt>
                <c:pt idx="17">
                  <c:v>2100</c:v>
                </c:pt>
                <c:pt idx="18">
                  <c:v>2150</c:v>
                </c:pt>
                <c:pt idx="19">
                  <c:v>2150</c:v>
                </c:pt>
                <c:pt idx="20">
                  <c:v>2270</c:v>
                </c:pt>
                <c:pt idx="21">
                  <c:v>2350.6</c:v>
                </c:pt>
                <c:pt idx="22">
                  <c:v>2395</c:v>
                </c:pt>
                <c:pt idx="23">
                  <c:v>2400</c:v>
                </c:pt>
                <c:pt idx="24">
                  <c:v>2400</c:v>
                </c:pt>
                <c:pt idx="25">
                  <c:v>2400</c:v>
                </c:pt>
                <c:pt idx="26">
                  <c:v>2400</c:v>
                </c:pt>
                <c:pt idx="27">
                  <c:v>2400</c:v>
                </c:pt>
                <c:pt idx="28">
                  <c:v>2440</c:v>
                </c:pt>
                <c:pt idx="29">
                  <c:v>2446</c:v>
                </c:pt>
                <c:pt idx="30">
                  <c:v>2450</c:v>
                </c:pt>
                <c:pt idx="31">
                  <c:v>2450</c:v>
                </c:pt>
                <c:pt idx="32">
                  <c:v>2455</c:v>
                </c:pt>
                <c:pt idx="33">
                  <c:v>2455</c:v>
                </c:pt>
                <c:pt idx="34">
                  <c:v>2458</c:v>
                </c:pt>
                <c:pt idx="35">
                  <c:v>2470</c:v>
                </c:pt>
                <c:pt idx="36">
                  <c:v>2474</c:v>
                </c:pt>
                <c:pt idx="37">
                  <c:v>2479</c:v>
                </c:pt>
                <c:pt idx="38">
                  <c:v>2480</c:v>
                </c:pt>
                <c:pt idx="39">
                  <c:v>2570</c:v>
                </c:pt>
                <c:pt idx="40">
                  <c:v>2592</c:v>
                </c:pt>
                <c:pt idx="41">
                  <c:v>2600</c:v>
                </c:pt>
                <c:pt idx="42">
                  <c:v>2606</c:v>
                </c:pt>
                <c:pt idx="43">
                  <c:v>2650</c:v>
                </c:pt>
                <c:pt idx="44">
                  <c:v>2650</c:v>
                </c:pt>
                <c:pt idx="45">
                  <c:v>2693</c:v>
                </c:pt>
                <c:pt idx="46">
                  <c:v>2700</c:v>
                </c:pt>
                <c:pt idx="47">
                  <c:v>2700</c:v>
                </c:pt>
                <c:pt idx="48">
                  <c:v>2700</c:v>
                </c:pt>
                <c:pt idx="49">
                  <c:v>2730</c:v>
                </c:pt>
                <c:pt idx="50">
                  <c:v>2740</c:v>
                </c:pt>
                <c:pt idx="51">
                  <c:v>2910</c:v>
                </c:pt>
                <c:pt idx="52">
                  <c:v>2910</c:v>
                </c:pt>
                <c:pt idx="53">
                  <c:v>3060</c:v>
                </c:pt>
                <c:pt idx="54">
                  <c:v>3180</c:v>
                </c:pt>
                <c:pt idx="55">
                  <c:v>3690</c:v>
                </c:pt>
              </c:numCache>
            </c:numRef>
          </c:xVal>
          <c:yVal>
            <c:numRef>
              <c:f>'IF wo dep. rate'!$J$3:$J$58</c:f>
              <c:numCache>
                <c:formatCode>General</c:formatCode>
                <c:ptCount val="56"/>
                <c:pt idx="0">
                  <c:v>946583</c:v>
                </c:pt>
                <c:pt idx="1">
                  <c:v>946582.5</c:v>
                </c:pt>
                <c:pt idx="2">
                  <c:v>946582</c:v>
                </c:pt>
                <c:pt idx="3">
                  <c:v>946581.5</c:v>
                </c:pt>
                <c:pt idx="4">
                  <c:v>936581.5</c:v>
                </c:pt>
                <c:pt idx="5">
                  <c:v>936581.5</c:v>
                </c:pt>
                <c:pt idx="6">
                  <c:v>936581.5</c:v>
                </c:pt>
                <c:pt idx="7">
                  <c:v>836581.5</c:v>
                </c:pt>
                <c:pt idx="8">
                  <c:v>836581</c:v>
                </c:pt>
                <c:pt idx="9">
                  <c:v>826581</c:v>
                </c:pt>
                <c:pt idx="10">
                  <c:v>826581</c:v>
                </c:pt>
                <c:pt idx="11">
                  <c:v>826581</c:v>
                </c:pt>
                <c:pt idx="12">
                  <c:v>826481</c:v>
                </c:pt>
                <c:pt idx="13">
                  <c:v>826480.5</c:v>
                </c:pt>
                <c:pt idx="14">
                  <c:v>826480</c:v>
                </c:pt>
                <c:pt idx="15">
                  <c:v>826479.5</c:v>
                </c:pt>
                <c:pt idx="16">
                  <c:v>826379.5</c:v>
                </c:pt>
                <c:pt idx="17">
                  <c:v>826379</c:v>
                </c:pt>
                <c:pt idx="18">
                  <c:v>826378.5</c:v>
                </c:pt>
                <c:pt idx="19">
                  <c:v>826228.5</c:v>
                </c:pt>
                <c:pt idx="20">
                  <c:v>826128.5</c:v>
                </c:pt>
                <c:pt idx="21">
                  <c:v>826118.5</c:v>
                </c:pt>
                <c:pt idx="22">
                  <c:v>816118.5</c:v>
                </c:pt>
                <c:pt idx="23">
                  <c:v>716118.5</c:v>
                </c:pt>
                <c:pt idx="24">
                  <c:v>716118</c:v>
                </c:pt>
                <c:pt idx="25">
                  <c:v>416118</c:v>
                </c:pt>
                <c:pt idx="26">
                  <c:v>316118</c:v>
                </c:pt>
                <c:pt idx="27">
                  <c:v>216118</c:v>
                </c:pt>
                <c:pt idx="28">
                  <c:v>166118</c:v>
                </c:pt>
                <c:pt idx="29">
                  <c:v>147118</c:v>
                </c:pt>
                <c:pt idx="30">
                  <c:v>128118</c:v>
                </c:pt>
                <c:pt idx="31">
                  <c:v>128117.5</c:v>
                </c:pt>
                <c:pt idx="32">
                  <c:v>127117.5</c:v>
                </c:pt>
                <c:pt idx="33">
                  <c:v>97117.5</c:v>
                </c:pt>
                <c:pt idx="34">
                  <c:v>94117.5</c:v>
                </c:pt>
                <c:pt idx="35">
                  <c:v>94117</c:v>
                </c:pt>
                <c:pt idx="36">
                  <c:v>94116</c:v>
                </c:pt>
                <c:pt idx="37">
                  <c:v>94115.5</c:v>
                </c:pt>
                <c:pt idx="38">
                  <c:v>81115.5</c:v>
                </c:pt>
                <c:pt idx="39">
                  <c:v>81115</c:v>
                </c:pt>
                <c:pt idx="40">
                  <c:v>81114.5</c:v>
                </c:pt>
                <c:pt idx="41">
                  <c:v>64114.5</c:v>
                </c:pt>
                <c:pt idx="42">
                  <c:v>63114.5</c:v>
                </c:pt>
                <c:pt idx="43">
                  <c:v>62114.5</c:v>
                </c:pt>
                <c:pt idx="44">
                  <c:v>52114.5</c:v>
                </c:pt>
                <c:pt idx="45">
                  <c:v>52114</c:v>
                </c:pt>
                <c:pt idx="46">
                  <c:v>51114</c:v>
                </c:pt>
                <c:pt idx="47">
                  <c:v>51113.5</c:v>
                </c:pt>
                <c:pt idx="48">
                  <c:v>51112.5</c:v>
                </c:pt>
                <c:pt idx="49">
                  <c:v>50112.5</c:v>
                </c:pt>
                <c:pt idx="50">
                  <c:v>50112</c:v>
                </c:pt>
                <c:pt idx="51">
                  <c:v>112</c:v>
                </c:pt>
                <c:pt idx="52">
                  <c:v>12</c:v>
                </c:pt>
                <c:pt idx="53">
                  <c:v>2</c:v>
                </c:pt>
                <c:pt idx="54">
                  <c:v>1.5</c:v>
                </c:pt>
                <c:pt idx="55">
                  <c:v>1</c:v>
                </c:pt>
              </c:numCache>
            </c:numRef>
          </c:yVal>
          <c:smooth val="0"/>
          <c:extLst>
            <c:ext xmlns:c16="http://schemas.microsoft.com/office/drawing/2014/chart" uri="{C3380CC4-5D6E-409C-BE32-E72D297353CC}">
              <c16:uniqueId val="{00000031-1CD6-C14A-914B-D1407AD731B7}"/>
            </c:ext>
          </c:extLst>
        </c:ser>
        <c:ser>
          <c:idx val="0"/>
          <c:order val="2"/>
          <c:tx>
            <c:v>Average age</c:v>
          </c:tx>
          <c:spPr>
            <a:ln w="25400" cap="rnd">
              <a:solidFill>
                <a:schemeClr val="tx1">
                  <a:lumMod val="25000"/>
                  <a:lumOff val="75000"/>
                </a:schemeClr>
              </a:solidFill>
              <a:round/>
            </a:ln>
            <a:effectLst/>
          </c:spPr>
          <c:marker>
            <c:symbol val="circle"/>
            <c:size val="5"/>
            <c:spPr>
              <a:solidFill>
                <a:schemeClr val="accent1"/>
              </a:solidFill>
              <a:ln w="9525">
                <a:solidFill>
                  <a:schemeClr val="accent1"/>
                </a:solidFill>
              </a:ln>
              <a:effectLst/>
            </c:spPr>
          </c:marker>
          <c:xVal>
            <c:numRef>
              <c:f>'IF wo dep. rate'!$Z$3:$Z$58</c:f>
              <c:numCache>
                <c:formatCode>General</c:formatCode>
                <c:ptCount val="56"/>
                <c:pt idx="0">
                  <c:v>1850</c:v>
                </c:pt>
                <c:pt idx="1">
                  <c:v>1877.52</c:v>
                </c:pt>
                <c:pt idx="2">
                  <c:v>1877.52</c:v>
                </c:pt>
                <c:pt idx="3">
                  <c:v>1877.8</c:v>
                </c:pt>
                <c:pt idx="4">
                  <c:v>1880</c:v>
                </c:pt>
                <c:pt idx="5">
                  <c:v>1880</c:v>
                </c:pt>
                <c:pt idx="6">
                  <c:v>1884</c:v>
                </c:pt>
                <c:pt idx="7">
                  <c:v>1887</c:v>
                </c:pt>
                <c:pt idx="8">
                  <c:v>1890</c:v>
                </c:pt>
                <c:pt idx="9">
                  <c:v>1891</c:v>
                </c:pt>
                <c:pt idx="10">
                  <c:v>1930</c:v>
                </c:pt>
                <c:pt idx="11">
                  <c:v>2000</c:v>
                </c:pt>
                <c:pt idx="12">
                  <c:v>2060</c:v>
                </c:pt>
                <c:pt idx="13">
                  <c:v>2078</c:v>
                </c:pt>
                <c:pt idx="14">
                  <c:v>2080</c:v>
                </c:pt>
                <c:pt idx="15">
                  <c:v>2100</c:v>
                </c:pt>
                <c:pt idx="16">
                  <c:v>2100</c:v>
                </c:pt>
                <c:pt idx="17">
                  <c:v>2150</c:v>
                </c:pt>
                <c:pt idx="18">
                  <c:v>2200</c:v>
                </c:pt>
                <c:pt idx="19">
                  <c:v>2200</c:v>
                </c:pt>
                <c:pt idx="20">
                  <c:v>2320</c:v>
                </c:pt>
                <c:pt idx="21">
                  <c:v>2400.6</c:v>
                </c:pt>
                <c:pt idx="22">
                  <c:v>2431</c:v>
                </c:pt>
                <c:pt idx="23">
                  <c:v>2445</c:v>
                </c:pt>
                <c:pt idx="24">
                  <c:v>2445</c:v>
                </c:pt>
                <c:pt idx="25">
                  <c:v>2449</c:v>
                </c:pt>
                <c:pt idx="26">
                  <c:v>2450</c:v>
                </c:pt>
                <c:pt idx="27">
                  <c:v>2450</c:v>
                </c:pt>
                <c:pt idx="28">
                  <c:v>2450</c:v>
                </c:pt>
                <c:pt idx="29">
                  <c:v>2450</c:v>
                </c:pt>
                <c:pt idx="30">
                  <c:v>2461</c:v>
                </c:pt>
                <c:pt idx="31">
                  <c:v>2465</c:v>
                </c:pt>
                <c:pt idx="32">
                  <c:v>2465</c:v>
                </c:pt>
                <c:pt idx="33">
                  <c:v>2480</c:v>
                </c:pt>
                <c:pt idx="34">
                  <c:v>2495</c:v>
                </c:pt>
                <c:pt idx="35">
                  <c:v>2500</c:v>
                </c:pt>
                <c:pt idx="36">
                  <c:v>2505</c:v>
                </c:pt>
                <c:pt idx="37">
                  <c:v>2520</c:v>
                </c:pt>
                <c:pt idx="38">
                  <c:v>2597</c:v>
                </c:pt>
                <c:pt idx="39">
                  <c:v>2610</c:v>
                </c:pt>
                <c:pt idx="40">
                  <c:v>2614</c:v>
                </c:pt>
                <c:pt idx="41">
                  <c:v>2700</c:v>
                </c:pt>
                <c:pt idx="42">
                  <c:v>2700</c:v>
                </c:pt>
                <c:pt idx="43">
                  <c:v>2700</c:v>
                </c:pt>
                <c:pt idx="44">
                  <c:v>2725</c:v>
                </c:pt>
                <c:pt idx="45">
                  <c:v>2735</c:v>
                </c:pt>
                <c:pt idx="46">
                  <c:v>2745</c:v>
                </c:pt>
                <c:pt idx="47">
                  <c:v>2765</c:v>
                </c:pt>
                <c:pt idx="48">
                  <c:v>2800</c:v>
                </c:pt>
                <c:pt idx="49">
                  <c:v>2825</c:v>
                </c:pt>
                <c:pt idx="50">
                  <c:v>2920</c:v>
                </c:pt>
                <c:pt idx="51">
                  <c:v>2960</c:v>
                </c:pt>
                <c:pt idx="52">
                  <c:v>2960</c:v>
                </c:pt>
                <c:pt idx="53">
                  <c:v>3080</c:v>
                </c:pt>
                <c:pt idx="54">
                  <c:v>3230</c:v>
                </c:pt>
                <c:pt idx="55">
                  <c:v>3760</c:v>
                </c:pt>
              </c:numCache>
            </c:numRef>
          </c:xVal>
          <c:yVal>
            <c:numRef>
              <c:f>'IF wo dep. rate'!$AF$3:$AF$58</c:f>
              <c:numCache>
                <c:formatCode>General</c:formatCode>
                <c:ptCount val="56"/>
                <c:pt idx="0">
                  <c:v>946583</c:v>
                </c:pt>
                <c:pt idx="1">
                  <c:v>946582.5</c:v>
                </c:pt>
                <c:pt idx="2">
                  <c:v>936582.5</c:v>
                </c:pt>
                <c:pt idx="3">
                  <c:v>936582.5</c:v>
                </c:pt>
                <c:pt idx="4">
                  <c:v>836582.5</c:v>
                </c:pt>
                <c:pt idx="5">
                  <c:v>836582.5</c:v>
                </c:pt>
                <c:pt idx="6">
                  <c:v>836582</c:v>
                </c:pt>
                <c:pt idx="7">
                  <c:v>836581.5</c:v>
                </c:pt>
                <c:pt idx="8">
                  <c:v>836581.5</c:v>
                </c:pt>
                <c:pt idx="9">
                  <c:v>826581.5</c:v>
                </c:pt>
                <c:pt idx="10">
                  <c:v>826581.5</c:v>
                </c:pt>
                <c:pt idx="11">
                  <c:v>826581</c:v>
                </c:pt>
                <c:pt idx="12">
                  <c:v>826481</c:v>
                </c:pt>
                <c:pt idx="13">
                  <c:v>826480.5</c:v>
                </c:pt>
                <c:pt idx="14">
                  <c:v>826480</c:v>
                </c:pt>
                <c:pt idx="15">
                  <c:v>826479.5</c:v>
                </c:pt>
                <c:pt idx="16">
                  <c:v>826379.5</c:v>
                </c:pt>
                <c:pt idx="17">
                  <c:v>826379</c:v>
                </c:pt>
                <c:pt idx="18">
                  <c:v>826378.5</c:v>
                </c:pt>
                <c:pt idx="19">
                  <c:v>826228.5</c:v>
                </c:pt>
                <c:pt idx="20">
                  <c:v>826128.5</c:v>
                </c:pt>
                <c:pt idx="21">
                  <c:v>816128.5</c:v>
                </c:pt>
                <c:pt idx="22">
                  <c:v>816118.5</c:v>
                </c:pt>
                <c:pt idx="23">
                  <c:v>816118</c:v>
                </c:pt>
                <c:pt idx="24">
                  <c:v>797118</c:v>
                </c:pt>
                <c:pt idx="25">
                  <c:v>697118</c:v>
                </c:pt>
                <c:pt idx="26">
                  <c:v>678118</c:v>
                </c:pt>
                <c:pt idx="27">
                  <c:v>628118</c:v>
                </c:pt>
                <c:pt idx="28">
                  <c:v>528118</c:v>
                </c:pt>
                <c:pt idx="29">
                  <c:v>428118</c:v>
                </c:pt>
                <c:pt idx="30">
                  <c:v>128118</c:v>
                </c:pt>
                <c:pt idx="31">
                  <c:v>98118</c:v>
                </c:pt>
                <c:pt idx="32">
                  <c:v>98117.5</c:v>
                </c:pt>
                <c:pt idx="33">
                  <c:v>98117</c:v>
                </c:pt>
                <c:pt idx="34">
                  <c:v>98116.5</c:v>
                </c:pt>
                <c:pt idx="35">
                  <c:v>85116.5</c:v>
                </c:pt>
                <c:pt idx="36">
                  <c:v>84116.5</c:v>
                </c:pt>
                <c:pt idx="37">
                  <c:v>81116.5</c:v>
                </c:pt>
                <c:pt idx="38">
                  <c:v>81116</c:v>
                </c:pt>
                <c:pt idx="39">
                  <c:v>64116</c:v>
                </c:pt>
                <c:pt idx="40">
                  <c:v>64115</c:v>
                </c:pt>
                <c:pt idx="41">
                  <c:v>63115</c:v>
                </c:pt>
                <c:pt idx="42">
                  <c:v>62115</c:v>
                </c:pt>
                <c:pt idx="43">
                  <c:v>52115</c:v>
                </c:pt>
                <c:pt idx="44">
                  <c:v>52114.5</c:v>
                </c:pt>
                <c:pt idx="45">
                  <c:v>51114.5</c:v>
                </c:pt>
                <c:pt idx="46">
                  <c:v>51114</c:v>
                </c:pt>
                <c:pt idx="47">
                  <c:v>1114</c:v>
                </c:pt>
                <c:pt idx="48">
                  <c:v>1113.5</c:v>
                </c:pt>
                <c:pt idx="49">
                  <c:v>113.5</c:v>
                </c:pt>
                <c:pt idx="50">
                  <c:v>113</c:v>
                </c:pt>
                <c:pt idx="51">
                  <c:v>112</c:v>
                </c:pt>
                <c:pt idx="52">
                  <c:v>102</c:v>
                </c:pt>
                <c:pt idx="53">
                  <c:v>2</c:v>
                </c:pt>
                <c:pt idx="54">
                  <c:v>1.5</c:v>
                </c:pt>
                <c:pt idx="55">
                  <c:v>1</c:v>
                </c:pt>
              </c:numCache>
            </c:numRef>
          </c:yVal>
          <c:smooth val="0"/>
          <c:extLst>
            <c:ext xmlns:c16="http://schemas.microsoft.com/office/drawing/2014/chart" uri="{C3380CC4-5D6E-409C-BE32-E72D297353CC}">
              <c16:uniqueId val="{0000002D-1CD6-C14A-914B-D1407AD731B7}"/>
            </c:ext>
          </c:extLst>
        </c:ser>
        <c:dLbls>
          <c:showLegendKey val="0"/>
          <c:showVal val="0"/>
          <c:showCatName val="0"/>
          <c:showSerName val="0"/>
          <c:showPercent val="0"/>
          <c:showBubbleSize val="0"/>
        </c:dLbls>
        <c:axId val="1352133887"/>
        <c:axId val="1361951887"/>
      </c:scatterChart>
      <c:valAx>
        <c:axId val="1352133887"/>
        <c:scaling>
          <c:orientation val="maxMin"/>
          <c:max val="2200"/>
          <c:min val="18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951887"/>
        <c:crosses val="autoZero"/>
        <c:crossBetween val="midCat"/>
      </c:valAx>
      <c:valAx>
        <c:axId val="1361951887"/>
        <c:scaling>
          <c:orientation val="minMax"/>
          <c:min val="800000"/>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2133887"/>
        <c:crosses val="autoZero"/>
        <c:crossBetween val="midCat"/>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303643724696355E-2"/>
          <c:y val="3.2586558044806514E-2"/>
          <c:w val="0.93691383212725943"/>
          <c:h val="0.93034976025145533"/>
        </c:manualLayout>
      </c:layout>
      <c:scatterChart>
        <c:scatterStyle val="lineMarker"/>
        <c:varyColors val="0"/>
        <c:ser>
          <c:idx val="2"/>
          <c:order val="0"/>
          <c:tx>
            <c:v>Maximum age</c:v>
          </c:tx>
          <c:xVal>
            <c:numRef>
              <c:f>'IF wo dep. rate'!$Y$72:$Y$95</c:f>
              <c:numCache>
                <c:formatCode>General</c:formatCode>
                <c:ptCount val="24"/>
                <c:pt idx="0">
                  <c:v>1870</c:v>
                </c:pt>
                <c:pt idx="1">
                  <c:v>1870</c:v>
                </c:pt>
                <c:pt idx="2">
                  <c:v>1874</c:v>
                </c:pt>
                <c:pt idx="3">
                  <c:v>1878.5</c:v>
                </c:pt>
                <c:pt idx="4">
                  <c:v>1886.26</c:v>
                </c:pt>
                <c:pt idx="5">
                  <c:v>1886.26</c:v>
                </c:pt>
                <c:pt idx="6">
                  <c:v>1889</c:v>
                </c:pt>
                <c:pt idx="7">
                  <c:v>1891</c:v>
                </c:pt>
                <c:pt idx="8">
                  <c:v>1892</c:v>
                </c:pt>
                <c:pt idx="9">
                  <c:v>1895</c:v>
                </c:pt>
                <c:pt idx="10">
                  <c:v>1910</c:v>
                </c:pt>
                <c:pt idx="11">
                  <c:v>1913</c:v>
                </c:pt>
                <c:pt idx="12">
                  <c:v>1928</c:v>
                </c:pt>
                <c:pt idx="13">
                  <c:v>2100</c:v>
                </c:pt>
                <c:pt idx="14">
                  <c:v>2125</c:v>
                </c:pt>
                <c:pt idx="15">
                  <c:v>2170</c:v>
                </c:pt>
                <c:pt idx="16">
                  <c:v>2200</c:v>
                </c:pt>
                <c:pt idx="17">
                  <c:v>2216</c:v>
                </c:pt>
                <c:pt idx="18">
                  <c:v>2236</c:v>
                </c:pt>
                <c:pt idx="19">
                  <c:v>2300</c:v>
                </c:pt>
                <c:pt idx="20">
                  <c:v>2310</c:v>
                </c:pt>
                <c:pt idx="21">
                  <c:v>2380</c:v>
                </c:pt>
                <c:pt idx="22">
                  <c:v>2426</c:v>
                </c:pt>
                <c:pt idx="23">
                  <c:v>2615</c:v>
                </c:pt>
              </c:numCache>
            </c:numRef>
          </c:xVal>
          <c:yVal>
            <c:numRef>
              <c:f>'IF wo dep. rate'!$Z$72:$Z$95</c:f>
              <c:numCache>
                <c:formatCode>0.00E+00</c:formatCode>
                <c:ptCount val="24"/>
                <c:pt idx="0">
                  <c:v>275980405955.38385</c:v>
                </c:pt>
                <c:pt idx="1">
                  <c:v>273684277716.89069</c:v>
                </c:pt>
                <c:pt idx="2">
                  <c:v>257643469864.99078</c:v>
                </c:pt>
                <c:pt idx="3">
                  <c:v>249289073708.30078</c:v>
                </c:pt>
                <c:pt idx="4">
                  <c:v>194734702255.23987</c:v>
                </c:pt>
                <c:pt idx="5">
                  <c:v>192531832374.89987</c:v>
                </c:pt>
                <c:pt idx="6">
                  <c:v>176491024523.04388</c:v>
                </c:pt>
                <c:pt idx="7">
                  <c:v>176110195097.13989</c:v>
                </c:pt>
                <c:pt idx="8">
                  <c:v>167755798940.44989</c:v>
                </c:pt>
                <c:pt idx="9">
                  <c:v>167666384861.47589</c:v>
                </c:pt>
                <c:pt idx="10">
                  <c:v>166869130031.26489</c:v>
                </c:pt>
                <c:pt idx="11">
                  <c:v>145410694280.5199</c:v>
                </c:pt>
                <c:pt idx="12">
                  <c:v>143691622960.2099</c:v>
                </c:pt>
                <c:pt idx="13">
                  <c:v>143691382960.2099</c:v>
                </c:pt>
                <c:pt idx="14">
                  <c:v>141972311639.8999</c:v>
                </c:pt>
                <c:pt idx="15">
                  <c:v>141972049139.8999</c:v>
                </c:pt>
                <c:pt idx="16">
                  <c:v>140922049139.8999</c:v>
                </c:pt>
                <c:pt idx="17">
                  <c:v>140752049139.8999</c:v>
                </c:pt>
                <c:pt idx="18">
                  <c:v>140744549139.8999</c:v>
                </c:pt>
                <c:pt idx="19">
                  <c:v>124703741288</c:v>
                </c:pt>
                <c:pt idx="20">
                  <c:v>124663741288</c:v>
                </c:pt>
                <c:pt idx="21">
                  <c:v>62503820644</c:v>
                </c:pt>
                <c:pt idx="22">
                  <c:v>62384920644</c:v>
                </c:pt>
                <c:pt idx="23">
                  <c:v>225000000</c:v>
                </c:pt>
              </c:numCache>
            </c:numRef>
          </c:yVal>
          <c:smooth val="0"/>
          <c:extLst>
            <c:ext xmlns:c16="http://schemas.microsoft.com/office/drawing/2014/chart" uri="{C3380CC4-5D6E-409C-BE32-E72D297353CC}">
              <c16:uniqueId val="{00000000-CC74-9249-AC0F-BDF8FFCB9E1F}"/>
            </c:ext>
          </c:extLst>
        </c:ser>
        <c:ser>
          <c:idx val="3"/>
          <c:order val="1"/>
          <c:tx>
            <c:v>Minimum age</c:v>
          </c:tx>
          <c:xVal>
            <c:numRef>
              <c:f>'IF wo dep. rate'!$K$72:$K$95</c:f>
              <c:numCache>
                <c:formatCode>General</c:formatCode>
                <c:ptCount val="24"/>
                <c:pt idx="0">
                  <c:v>1804</c:v>
                </c:pt>
                <c:pt idx="1">
                  <c:v>1832</c:v>
                </c:pt>
                <c:pt idx="2">
                  <c:v>1855</c:v>
                </c:pt>
                <c:pt idx="3">
                  <c:v>1856</c:v>
                </c:pt>
                <c:pt idx="4">
                  <c:v>1868.78</c:v>
                </c:pt>
                <c:pt idx="5">
                  <c:v>1868.78</c:v>
                </c:pt>
                <c:pt idx="6">
                  <c:v>1870</c:v>
                </c:pt>
                <c:pt idx="7">
                  <c:v>1870</c:v>
                </c:pt>
                <c:pt idx="8">
                  <c:v>1870</c:v>
                </c:pt>
                <c:pt idx="9">
                  <c:v>1874</c:v>
                </c:pt>
                <c:pt idx="10">
                  <c:v>1878.5</c:v>
                </c:pt>
                <c:pt idx="11">
                  <c:v>1881</c:v>
                </c:pt>
                <c:pt idx="12">
                  <c:v>1891</c:v>
                </c:pt>
                <c:pt idx="13">
                  <c:v>1895</c:v>
                </c:pt>
                <c:pt idx="14">
                  <c:v>1974</c:v>
                </c:pt>
                <c:pt idx="15">
                  <c:v>2000</c:v>
                </c:pt>
                <c:pt idx="16">
                  <c:v>2000</c:v>
                </c:pt>
                <c:pt idx="17">
                  <c:v>2035</c:v>
                </c:pt>
                <c:pt idx="18">
                  <c:v>2080</c:v>
                </c:pt>
                <c:pt idx="19">
                  <c:v>2100</c:v>
                </c:pt>
                <c:pt idx="20">
                  <c:v>2100</c:v>
                </c:pt>
                <c:pt idx="21">
                  <c:v>2200</c:v>
                </c:pt>
                <c:pt idx="22">
                  <c:v>2266</c:v>
                </c:pt>
                <c:pt idx="23">
                  <c:v>2393</c:v>
                </c:pt>
              </c:numCache>
            </c:numRef>
          </c:xVal>
          <c:yVal>
            <c:numRef>
              <c:f>'IF wo dep. rate'!$L$72:$L$95</c:f>
              <c:numCache>
                <c:formatCode>0.00E+00</c:formatCode>
                <c:ptCount val="24"/>
                <c:pt idx="0">
                  <c:v>275980405955.38385</c:v>
                </c:pt>
                <c:pt idx="1">
                  <c:v>275183151125.17285</c:v>
                </c:pt>
                <c:pt idx="2">
                  <c:v>259142343273.27298</c:v>
                </c:pt>
                <c:pt idx="3">
                  <c:v>257423271952.96298</c:v>
                </c:pt>
                <c:pt idx="4">
                  <c:v>257333857873.98898</c:v>
                </c:pt>
                <c:pt idx="5">
                  <c:v>255130987993.64899</c:v>
                </c:pt>
                <c:pt idx="6">
                  <c:v>239090180141.793</c:v>
                </c:pt>
                <c:pt idx="7">
                  <c:v>236794051903.2998</c:v>
                </c:pt>
                <c:pt idx="8">
                  <c:v>215335616152.55481</c:v>
                </c:pt>
                <c:pt idx="9">
                  <c:v>199294808300.65491</c:v>
                </c:pt>
                <c:pt idx="10">
                  <c:v>190940412143.9649</c:v>
                </c:pt>
                <c:pt idx="11">
                  <c:v>136386040690.90398</c:v>
                </c:pt>
                <c:pt idx="12">
                  <c:v>136005211264.99998</c:v>
                </c:pt>
                <c:pt idx="13">
                  <c:v>127650815108.31</c:v>
                </c:pt>
                <c:pt idx="14">
                  <c:v>127650575108.31</c:v>
                </c:pt>
                <c:pt idx="15">
                  <c:v>125931503788</c:v>
                </c:pt>
                <c:pt idx="16">
                  <c:v>125761503788</c:v>
                </c:pt>
                <c:pt idx="17">
                  <c:v>125721503788</c:v>
                </c:pt>
                <c:pt idx="18">
                  <c:v>125721241288</c:v>
                </c:pt>
                <c:pt idx="19">
                  <c:v>124671241288</c:v>
                </c:pt>
                <c:pt idx="20">
                  <c:v>124663741288</c:v>
                </c:pt>
                <c:pt idx="21">
                  <c:v>124544841288</c:v>
                </c:pt>
                <c:pt idx="22">
                  <c:v>124319841288</c:v>
                </c:pt>
                <c:pt idx="23">
                  <c:v>62159920644</c:v>
                </c:pt>
              </c:numCache>
            </c:numRef>
          </c:yVal>
          <c:smooth val="0"/>
          <c:extLst>
            <c:ext xmlns:c16="http://schemas.microsoft.com/office/drawing/2014/chart" uri="{C3380CC4-5D6E-409C-BE32-E72D297353CC}">
              <c16:uniqueId val="{00000001-CC74-9249-AC0F-BDF8FFCB9E1F}"/>
            </c:ext>
          </c:extLst>
        </c:ser>
        <c:dLbls>
          <c:showLegendKey val="0"/>
          <c:showVal val="0"/>
          <c:showCatName val="0"/>
          <c:showSerName val="0"/>
          <c:showPercent val="0"/>
          <c:showBubbleSize val="0"/>
        </c:dLbls>
        <c:axId val="1352133887"/>
        <c:axId val="1361951887"/>
      </c:scatterChart>
      <c:valAx>
        <c:axId val="1352133887"/>
        <c:scaling>
          <c:orientation val="maxMin"/>
          <c:max val="2200"/>
          <c:min val="18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951887"/>
        <c:crosses val="autoZero"/>
        <c:crossBetween val="midCat"/>
      </c:valAx>
      <c:valAx>
        <c:axId val="1361951887"/>
        <c:scaling>
          <c:orientation val="minMax"/>
          <c:min val="800000"/>
        </c:scaling>
        <c:delete val="0"/>
        <c:axPos val="r"/>
        <c:majorGridlines>
          <c:spPr>
            <a:ln w="9525" cap="flat" cmpd="sng" algn="ctr">
              <a:solidFill>
                <a:schemeClr val="tx1">
                  <a:lumMod val="15000"/>
                  <a:lumOff val="85000"/>
                </a:schemeClr>
              </a:solidFill>
              <a:round/>
            </a:ln>
            <a:effectLst/>
          </c:spPr>
        </c:majorGridlines>
        <c:numFmt formatCode="0.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2133887"/>
        <c:crosses val="autoZero"/>
        <c:crossBetween val="midCat"/>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303643724696355E-2"/>
          <c:y val="3.2586558044806514E-2"/>
          <c:w val="0.93691383212725943"/>
          <c:h val="0.93034976025145533"/>
        </c:manualLayout>
      </c:layout>
      <c:scatterChart>
        <c:scatterStyle val="lineMarker"/>
        <c:varyColors val="0"/>
        <c:ser>
          <c:idx val="2"/>
          <c:order val="0"/>
          <c:tx>
            <c:v>Maximum age</c:v>
          </c:tx>
          <c:xVal>
            <c:numRef>
              <c:f>'IF wo dep. rate'!$Y$72:$Y$95</c:f>
              <c:numCache>
                <c:formatCode>General</c:formatCode>
                <c:ptCount val="24"/>
                <c:pt idx="0">
                  <c:v>1870</c:v>
                </c:pt>
                <c:pt idx="1">
                  <c:v>1870</c:v>
                </c:pt>
                <c:pt idx="2">
                  <c:v>1874</c:v>
                </c:pt>
                <c:pt idx="3">
                  <c:v>1878.5</c:v>
                </c:pt>
                <c:pt idx="4">
                  <c:v>1886.26</c:v>
                </c:pt>
                <c:pt idx="5">
                  <c:v>1886.26</c:v>
                </c:pt>
                <c:pt idx="6">
                  <c:v>1889</c:v>
                </c:pt>
                <c:pt idx="7">
                  <c:v>1891</c:v>
                </c:pt>
                <c:pt idx="8">
                  <c:v>1892</c:v>
                </c:pt>
                <c:pt idx="9">
                  <c:v>1895</c:v>
                </c:pt>
                <c:pt idx="10">
                  <c:v>1910</c:v>
                </c:pt>
                <c:pt idx="11">
                  <c:v>1913</c:v>
                </c:pt>
                <c:pt idx="12">
                  <c:v>1928</c:v>
                </c:pt>
                <c:pt idx="13">
                  <c:v>2100</c:v>
                </c:pt>
                <c:pt idx="14">
                  <c:v>2125</c:v>
                </c:pt>
                <c:pt idx="15">
                  <c:v>2170</c:v>
                </c:pt>
                <c:pt idx="16">
                  <c:v>2200</c:v>
                </c:pt>
                <c:pt idx="17">
                  <c:v>2216</c:v>
                </c:pt>
                <c:pt idx="18">
                  <c:v>2236</c:v>
                </c:pt>
                <c:pt idx="19">
                  <c:v>2300</c:v>
                </c:pt>
                <c:pt idx="20">
                  <c:v>2310</c:v>
                </c:pt>
                <c:pt idx="21">
                  <c:v>2380</c:v>
                </c:pt>
                <c:pt idx="22">
                  <c:v>2426</c:v>
                </c:pt>
                <c:pt idx="23">
                  <c:v>2615</c:v>
                </c:pt>
              </c:numCache>
            </c:numRef>
          </c:xVal>
          <c:yVal>
            <c:numRef>
              <c:f>'IF wo dep. rate'!$AA$72:$AA$95</c:f>
              <c:numCache>
                <c:formatCode>General</c:formatCode>
                <c:ptCount val="24"/>
                <c:pt idx="0">
                  <c:v>5160.3999999999996</c:v>
                </c:pt>
                <c:pt idx="1">
                  <c:v>5030.3999999999996</c:v>
                </c:pt>
                <c:pt idx="2">
                  <c:v>4847.3999999999996</c:v>
                </c:pt>
                <c:pt idx="3">
                  <c:v>4619.3999999999996</c:v>
                </c:pt>
                <c:pt idx="4">
                  <c:v>4244.3999999999996</c:v>
                </c:pt>
                <c:pt idx="5">
                  <c:v>4054.4</c:v>
                </c:pt>
                <c:pt idx="6">
                  <c:v>3825.8</c:v>
                </c:pt>
                <c:pt idx="7">
                  <c:v>3025.8</c:v>
                </c:pt>
                <c:pt idx="8">
                  <c:v>1959</c:v>
                </c:pt>
                <c:pt idx="9">
                  <c:v>1716</c:v>
                </c:pt>
                <c:pt idx="10">
                  <c:v>1706</c:v>
                </c:pt>
                <c:pt idx="11">
                  <c:v>1456</c:v>
                </c:pt>
                <c:pt idx="12">
                  <c:v>1436</c:v>
                </c:pt>
                <c:pt idx="13">
                  <c:v>1336</c:v>
                </c:pt>
                <c:pt idx="14">
                  <c:v>1236</c:v>
                </c:pt>
                <c:pt idx="15">
                  <c:v>1200</c:v>
                </c:pt>
                <c:pt idx="16">
                  <c:v>1180</c:v>
                </c:pt>
                <c:pt idx="17">
                  <c:v>1080</c:v>
                </c:pt>
                <c:pt idx="18">
                  <c:v>1030</c:v>
                </c:pt>
                <c:pt idx="19">
                  <c:v>1010</c:v>
                </c:pt>
                <c:pt idx="20">
                  <c:v>950</c:v>
                </c:pt>
                <c:pt idx="21">
                  <c:v>910</c:v>
                </c:pt>
                <c:pt idx="22">
                  <c:v>510</c:v>
                </c:pt>
                <c:pt idx="23">
                  <c:v>450</c:v>
                </c:pt>
              </c:numCache>
            </c:numRef>
          </c:yVal>
          <c:smooth val="0"/>
          <c:extLst>
            <c:ext xmlns:c16="http://schemas.microsoft.com/office/drawing/2014/chart" uri="{C3380CC4-5D6E-409C-BE32-E72D297353CC}">
              <c16:uniqueId val="{00000000-434B-7346-9FE6-4D2EA5657F30}"/>
            </c:ext>
          </c:extLst>
        </c:ser>
        <c:ser>
          <c:idx val="3"/>
          <c:order val="1"/>
          <c:tx>
            <c:v>Minimum age</c:v>
          </c:tx>
          <c:xVal>
            <c:numRef>
              <c:f>'IF wo dep. rate'!$K$72:$K$95</c:f>
              <c:numCache>
                <c:formatCode>General</c:formatCode>
                <c:ptCount val="24"/>
                <c:pt idx="0">
                  <c:v>1804</c:v>
                </c:pt>
                <c:pt idx="1">
                  <c:v>1832</c:v>
                </c:pt>
                <c:pt idx="2">
                  <c:v>1855</c:v>
                </c:pt>
                <c:pt idx="3">
                  <c:v>1856</c:v>
                </c:pt>
                <c:pt idx="4">
                  <c:v>1868.78</c:v>
                </c:pt>
                <c:pt idx="5">
                  <c:v>1868.78</c:v>
                </c:pt>
                <c:pt idx="6">
                  <c:v>1870</c:v>
                </c:pt>
                <c:pt idx="7">
                  <c:v>1870</c:v>
                </c:pt>
                <c:pt idx="8">
                  <c:v>1870</c:v>
                </c:pt>
                <c:pt idx="9">
                  <c:v>1874</c:v>
                </c:pt>
                <c:pt idx="10">
                  <c:v>1878.5</c:v>
                </c:pt>
                <c:pt idx="11">
                  <c:v>1881</c:v>
                </c:pt>
                <c:pt idx="12">
                  <c:v>1891</c:v>
                </c:pt>
                <c:pt idx="13">
                  <c:v>1895</c:v>
                </c:pt>
                <c:pt idx="14">
                  <c:v>1974</c:v>
                </c:pt>
                <c:pt idx="15">
                  <c:v>2000</c:v>
                </c:pt>
                <c:pt idx="16">
                  <c:v>2000</c:v>
                </c:pt>
                <c:pt idx="17">
                  <c:v>2035</c:v>
                </c:pt>
                <c:pt idx="18">
                  <c:v>2080</c:v>
                </c:pt>
                <c:pt idx="19">
                  <c:v>2100</c:v>
                </c:pt>
                <c:pt idx="20">
                  <c:v>2100</c:v>
                </c:pt>
                <c:pt idx="21">
                  <c:v>2200</c:v>
                </c:pt>
                <c:pt idx="22">
                  <c:v>2266</c:v>
                </c:pt>
                <c:pt idx="23">
                  <c:v>2393</c:v>
                </c:pt>
              </c:numCache>
            </c:numRef>
          </c:xVal>
          <c:yVal>
            <c:numRef>
              <c:f>'IF wo dep. rate'!$M$72:$M$95</c:f>
              <c:numCache>
                <c:formatCode>General</c:formatCode>
                <c:ptCount val="24"/>
                <c:pt idx="0">
                  <c:v>5160.4000000000005</c:v>
                </c:pt>
                <c:pt idx="1">
                  <c:v>5150.4000000000005</c:v>
                </c:pt>
                <c:pt idx="2">
                  <c:v>5130.4000000000005</c:v>
                </c:pt>
                <c:pt idx="3">
                  <c:v>5110.4000000000005</c:v>
                </c:pt>
                <c:pt idx="4">
                  <c:v>4867.4000000000005</c:v>
                </c:pt>
                <c:pt idx="5">
                  <c:v>4677.4000000000005</c:v>
                </c:pt>
                <c:pt idx="6">
                  <c:v>4448.8</c:v>
                </c:pt>
                <c:pt idx="7">
                  <c:v>4318.8</c:v>
                </c:pt>
                <c:pt idx="8">
                  <c:v>4068.8</c:v>
                </c:pt>
                <c:pt idx="9">
                  <c:v>3885.8</c:v>
                </c:pt>
                <c:pt idx="10">
                  <c:v>3657.8</c:v>
                </c:pt>
                <c:pt idx="11">
                  <c:v>3282.8</c:v>
                </c:pt>
                <c:pt idx="12">
                  <c:v>2482.8000000000002</c:v>
                </c:pt>
                <c:pt idx="13">
                  <c:v>1416</c:v>
                </c:pt>
                <c:pt idx="14">
                  <c:v>1316</c:v>
                </c:pt>
                <c:pt idx="15">
                  <c:v>1216</c:v>
                </c:pt>
                <c:pt idx="16">
                  <c:v>1116</c:v>
                </c:pt>
                <c:pt idx="17">
                  <c:v>1056</c:v>
                </c:pt>
                <c:pt idx="18">
                  <c:v>1020</c:v>
                </c:pt>
                <c:pt idx="19">
                  <c:v>1000</c:v>
                </c:pt>
                <c:pt idx="20">
                  <c:v>950</c:v>
                </c:pt>
                <c:pt idx="21">
                  <c:v>550</c:v>
                </c:pt>
                <c:pt idx="22">
                  <c:v>100</c:v>
                </c:pt>
                <c:pt idx="23">
                  <c:v>60</c:v>
                </c:pt>
              </c:numCache>
            </c:numRef>
          </c:yVal>
          <c:smooth val="0"/>
          <c:extLst>
            <c:ext xmlns:c16="http://schemas.microsoft.com/office/drawing/2014/chart" uri="{C3380CC4-5D6E-409C-BE32-E72D297353CC}">
              <c16:uniqueId val="{00000001-434B-7346-9FE6-4D2EA5657F30}"/>
            </c:ext>
          </c:extLst>
        </c:ser>
        <c:dLbls>
          <c:showLegendKey val="0"/>
          <c:showVal val="0"/>
          <c:showCatName val="0"/>
          <c:showSerName val="0"/>
          <c:showPercent val="0"/>
          <c:showBubbleSize val="0"/>
        </c:dLbls>
        <c:axId val="1352133887"/>
        <c:axId val="1361951887"/>
      </c:scatterChart>
      <c:valAx>
        <c:axId val="1352133887"/>
        <c:scaling>
          <c:orientation val="maxMin"/>
          <c:max val="2200"/>
          <c:min val="18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951887"/>
        <c:crosses val="autoZero"/>
        <c:crossBetween val="midCat"/>
      </c:valAx>
      <c:valAx>
        <c:axId val="1361951887"/>
        <c:scaling>
          <c:orientation val="minMax"/>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2133887"/>
        <c:crosses val="autoZero"/>
        <c:crossBetween val="midCat"/>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Onset ages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 accretionary lengths'!$E$1</c:f>
              <c:strCache>
                <c:ptCount val="1"/>
                <c:pt idx="0">
                  <c:v>Onset age</c:v>
                </c:pt>
              </c:strCache>
            </c:strRef>
          </c:tx>
          <c:spPr>
            <a:ln w="19050" cap="rnd">
              <a:solidFill>
                <a:schemeClr val="accent2"/>
              </a:solidFill>
              <a:round/>
            </a:ln>
            <a:effectLst/>
          </c:spPr>
          <c:marker>
            <c:symbol val="none"/>
          </c:marker>
          <c:xVal>
            <c:numRef>
              <c:f>' accretionary lengths'!$E$2:$E$15</c:f>
              <c:numCache>
                <c:formatCode>0</c:formatCode>
                <c:ptCount val="14"/>
                <c:pt idx="0">
                  <c:v>1800</c:v>
                </c:pt>
                <c:pt idx="1">
                  <c:v>1830</c:v>
                </c:pt>
                <c:pt idx="2">
                  <c:v>1869</c:v>
                </c:pt>
                <c:pt idx="3">
                  <c:v>1870</c:v>
                </c:pt>
                <c:pt idx="4">
                  <c:v>1875</c:v>
                </c:pt>
                <c:pt idx="5">
                  <c:v>1880</c:v>
                </c:pt>
                <c:pt idx="6">
                  <c:v>1880</c:v>
                </c:pt>
                <c:pt idx="7">
                  <c:v>1890</c:v>
                </c:pt>
                <c:pt idx="8">
                  <c:v>1900</c:v>
                </c:pt>
                <c:pt idx="9">
                  <c:v>1900</c:v>
                </c:pt>
                <c:pt idx="10">
                  <c:v>1920</c:v>
                </c:pt>
                <c:pt idx="11">
                  <c:v>2040</c:v>
                </c:pt>
                <c:pt idx="12">
                  <c:v>2150</c:v>
                </c:pt>
              </c:numCache>
            </c:numRef>
          </c:xVal>
          <c:yVal>
            <c:numRef>
              <c:f>' accretionary lengths'!$G$2:$G$15</c:f>
              <c:numCache>
                <c:formatCode>General</c:formatCode>
                <c:ptCount val="14"/>
                <c:pt idx="0">
                  <c:v>19890</c:v>
                </c:pt>
                <c:pt idx="1">
                  <c:v>17790</c:v>
                </c:pt>
                <c:pt idx="2">
                  <c:v>14590</c:v>
                </c:pt>
                <c:pt idx="3">
                  <c:v>13890</c:v>
                </c:pt>
                <c:pt idx="4">
                  <c:v>12990</c:v>
                </c:pt>
                <c:pt idx="5">
                  <c:v>12130</c:v>
                </c:pt>
                <c:pt idx="6">
                  <c:v>11130</c:v>
                </c:pt>
                <c:pt idx="7">
                  <c:v>10130</c:v>
                </c:pt>
                <c:pt idx="8">
                  <c:v>8680</c:v>
                </c:pt>
                <c:pt idx="9">
                  <c:v>7180</c:v>
                </c:pt>
                <c:pt idx="10">
                  <c:v>5380</c:v>
                </c:pt>
                <c:pt idx="11">
                  <c:v>4430</c:v>
                </c:pt>
                <c:pt idx="12">
                  <c:v>2500</c:v>
                </c:pt>
              </c:numCache>
            </c:numRef>
          </c:yVal>
          <c:smooth val="0"/>
          <c:extLst>
            <c:ext xmlns:c16="http://schemas.microsoft.com/office/drawing/2014/chart" uri="{C3380CC4-5D6E-409C-BE32-E72D297353CC}">
              <c16:uniqueId val="{00000000-1D87-AD48-9567-F09AFC856345}"/>
            </c:ext>
          </c:extLst>
        </c:ser>
        <c:ser>
          <c:idx val="0"/>
          <c:order val="1"/>
          <c:tx>
            <c:strRef>
              <c:f>' accretionary lengths'!$A$1</c:f>
              <c:strCache>
                <c:ptCount val="1"/>
                <c:pt idx="0">
                  <c:v>Median Felsic age</c:v>
                </c:pt>
              </c:strCache>
            </c:strRef>
          </c:tx>
          <c:spPr>
            <a:ln w="19050" cap="rnd">
              <a:solidFill>
                <a:schemeClr val="accent1"/>
              </a:solidFill>
              <a:round/>
            </a:ln>
            <a:effectLst/>
          </c:spPr>
          <c:marker>
            <c:symbol val="none"/>
          </c:marker>
          <c:xVal>
            <c:numRef>
              <c:f>' accretionary lengths'!$A$2:$A$15</c:f>
              <c:numCache>
                <c:formatCode>General</c:formatCode>
                <c:ptCount val="14"/>
                <c:pt idx="1">
                  <c:v>1850</c:v>
                </c:pt>
                <c:pt idx="2">
                  <c:v>1850</c:v>
                </c:pt>
                <c:pt idx="3">
                  <c:v>1862</c:v>
                </c:pt>
                <c:pt idx="4">
                  <c:v>1867</c:v>
                </c:pt>
                <c:pt idx="5">
                  <c:v>1885</c:v>
                </c:pt>
                <c:pt idx="6">
                  <c:v>1900</c:v>
                </c:pt>
                <c:pt idx="7">
                  <c:v>1920</c:v>
                </c:pt>
                <c:pt idx="8">
                  <c:v>1960</c:v>
                </c:pt>
                <c:pt idx="9">
                  <c:v>1998</c:v>
                </c:pt>
                <c:pt idx="10">
                  <c:v>1998</c:v>
                </c:pt>
                <c:pt idx="11">
                  <c:v>2100</c:v>
                </c:pt>
                <c:pt idx="12">
                  <c:v>2100</c:v>
                </c:pt>
                <c:pt idx="13">
                  <c:v>2101</c:v>
                </c:pt>
              </c:numCache>
            </c:numRef>
          </c:xVal>
          <c:yVal>
            <c:numRef>
              <c:f>' accretionary lengths'!$C$2:$C$15</c:f>
              <c:numCache>
                <c:formatCode>General</c:formatCode>
                <c:ptCount val="14"/>
                <c:pt idx="1">
                  <c:v>19890</c:v>
                </c:pt>
                <c:pt idx="2">
                  <c:v>16690</c:v>
                </c:pt>
                <c:pt idx="3">
                  <c:v>15690</c:v>
                </c:pt>
                <c:pt idx="4">
                  <c:v>14830</c:v>
                </c:pt>
                <c:pt idx="5">
                  <c:v>13830</c:v>
                </c:pt>
                <c:pt idx="6">
                  <c:v>12030</c:v>
                </c:pt>
                <c:pt idx="7">
                  <c:v>11330</c:v>
                </c:pt>
                <c:pt idx="8">
                  <c:v>10430</c:v>
                </c:pt>
                <c:pt idx="9">
                  <c:v>9480</c:v>
                </c:pt>
                <c:pt idx="10">
                  <c:v>7380</c:v>
                </c:pt>
                <c:pt idx="11">
                  <c:v>5450</c:v>
                </c:pt>
                <c:pt idx="12">
                  <c:v>4000</c:v>
                </c:pt>
                <c:pt idx="13">
                  <c:v>1500</c:v>
                </c:pt>
              </c:numCache>
            </c:numRef>
          </c:yVal>
          <c:smooth val="0"/>
          <c:extLst>
            <c:ext xmlns:c16="http://schemas.microsoft.com/office/drawing/2014/chart" uri="{C3380CC4-5D6E-409C-BE32-E72D297353CC}">
              <c16:uniqueId val="{00000000-7649-5A4D-897D-56258EF68125}"/>
            </c:ext>
          </c:extLst>
        </c:ser>
        <c:dLbls>
          <c:showLegendKey val="0"/>
          <c:showVal val="0"/>
          <c:showCatName val="0"/>
          <c:showSerName val="0"/>
          <c:showPercent val="0"/>
          <c:showBubbleSize val="0"/>
        </c:dLbls>
        <c:axId val="645480608"/>
        <c:axId val="645605904"/>
      </c:scatterChart>
      <c:valAx>
        <c:axId val="645480608"/>
        <c:scaling>
          <c:orientation val="minMax"/>
          <c:max val="2200"/>
          <c:min val="18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605904"/>
        <c:crosses val="autoZero"/>
        <c:crossBetween val="midCat"/>
      </c:valAx>
      <c:valAx>
        <c:axId val="645605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48060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Collisional Orogen</a:t>
            </a:r>
            <a:r>
              <a:rPr lang="en-US" baseline="0"/>
              <a: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'collisional lengths'!$E$1</c:f>
              <c:strCache>
                <c:ptCount val="1"/>
                <c:pt idx="0">
                  <c:v>Onset age</c:v>
                </c:pt>
              </c:strCache>
            </c:strRef>
          </c:tx>
          <c:spPr>
            <a:ln w="19050" cap="rnd">
              <a:solidFill>
                <a:schemeClr val="accent2"/>
              </a:solidFill>
              <a:round/>
            </a:ln>
            <a:effectLst/>
          </c:spPr>
          <c:marker>
            <c:symbol val="none"/>
          </c:marker>
          <c:xVal>
            <c:numRef>
              <c:f>'collisional lengths'!$E$2:$E$22</c:f>
              <c:numCache>
                <c:formatCode>0</c:formatCode>
                <c:ptCount val="21"/>
                <c:pt idx="0">
                  <c:v>1840</c:v>
                </c:pt>
                <c:pt idx="1">
                  <c:v>1850</c:v>
                </c:pt>
                <c:pt idx="2">
                  <c:v>1890</c:v>
                </c:pt>
                <c:pt idx="3">
                  <c:v>1900</c:v>
                </c:pt>
                <c:pt idx="4">
                  <c:v>1900</c:v>
                </c:pt>
                <c:pt idx="5">
                  <c:v>1965</c:v>
                </c:pt>
                <c:pt idx="6">
                  <c:v>1985</c:v>
                </c:pt>
                <c:pt idx="7">
                  <c:v>2100</c:v>
                </c:pt>
              </c:numCache>
            </c:numRef>
          </c:xVal>
          <c:yVal>
            <c:numRef>
              <c:f>'collisional lengths'!$G$2:$G$22</c:f>
              <c:numCache>
                <c:formatCode>General</c:formatCode>
                <c:ptCount val="21"/>
                <c:pt idx="0">
                  <c:v>12450</c:v>
                </c:pt>
                <c:pt idx="1">
                  <c:v>11650</c:v>
                </c:pt>
                <c:pt idx="2">
                  <c:v>10700</c:v>
                </c:pt>
                <c:pt idx="3">
                  <c:v>9200</c:v>
                </c:pt>
                <c:pt idx="4">
                  <c:v>7900</c:v>
                </c:pt>
                <c:pt idx="5">
                  <c:v>5700</c:v>
                </c:pt>
                <c:pt idx="6">
                  <c:v>4700</c:v>
                </c:pt>
                <c:pt idx="7">
                  <c:v>2700</c:v>
                </c:pt>
              </c:numCache>
            </c:numRef>
          </c:yVal>
          <c:smooth val="0"/>
          <c:extLst>
            <c:ext xmlns:c16="http://schemas.microsoft.com/office/drawing/2014/chart" uri="{C3380CC4-5D6E-409C-BE32-E72D297353CC}">
              <c16:uniqueId val="{00000000-FC49-174C-BE48-A16C561EA978}"/>
            </c:ext>
          </c:extLst>
        </c:ser>
        <c:ser>
          <c:idx val="0"/>
          <c:order val="1"/>
          <c:tx>
            <c:strRef>
              <c:f>'collisional lengths'!$A$1</c:f>
              <c:strCache>
                <c:ptCount val="1"/>
                <c:pt idx="0">
                  <c:v>Median Felsic age</c:v>
                </c:pt>
              </c:strCache>
            </c:strRef>
          </c:tx>
          <c:spPr>
            <a:ln w="19050" cap="rnd">
              <a:solidFill>
                <a:schemeClr val="accent1"/>
              </a:solidFill>
              <a:round/>
            </a:ln>
            <a:effectLst/>
          </c:spPr>
          <c:marker>
            <c:symbol val="none"/>
          </c:marker>
          <c:xVal>
            <c:numRef>
              <c:f>'collisional lengths'!$A$2:$A$9</c:f>
              <c:numCache>
                <c:formatCode>General</c:formatCode>
                <c:ptCount val="8"/>
                <c:pt idx="0">
                  <c:v>1824</c:v>
                </c:pt>
                <c:pt idx="1">
                  <c:v>1850</c:v>
                </c:pt>
                <c:pt idx="2">
                  <c:v>1858</c:v>
                </c:pt>
                <c:pt idx="3">
                  <c:v>1860</c:v>
                </c:pt>
                <c:pt idx="4">
                  <c:v>1900</c:v>
                </c:pt>
                <c:pt idx="5">
                  <c:v>1968</c:v>
                </c:pt>
                <c:pt idx="6">
                  <c:v>1989</c:v>
                </c:pt>
                <c:pt idx="7">
                  <c:v>2100</c:v>
                </c:pt>
              </c:numCache>
            </c:numRef>
          </c:xVal>
          <c:yVal>
            <c:numRef>
              <c:f>'collisional lengths'!$C$2:$C$9</c:f>
              <c:numCache>
                <c:formatCode>General</c:formatCode>
                <c:ptCount val="8"/>
                <c:pt idx="0">
                  <c:v>12450</c:v>
                </c:pt>
                <c:pt idx="1">
                  <c:v>11650</c:v>
                </c:pt>
                <c:pt idx="2">
                  <c:v>10150</c:v>
                </c:pt>
                <c:pt idx="3">
                  <c:v>9200</c:v>
                </c:pt>
                <c:pt idx="4">
                  <c:v>7000</c:v>
                </c:pt>
                <c:pt idx="5">
                  <c:v>5700</c:v>
                </c:pt>
                <c:pt idx="6">
                  <c:v>3700</c:v>
                </c:pt>
                <c:pt idx="7">
                  <c:v>2700</c:v>
                </c:pt>
              </c:numCache>
            </c:numRef>
          </c:yVal>
          <c:smooth val="0"/>
          <c:extLst>
            <c:ext xmlns:c16="http://schemas.microsoft.com/office/drawing/2014/chart" uri="{C3380CC4-5D6E-409C-BE32-E72D297353CC}">
              <c16:uniqueId val="{00000003-A45C-5941-8D24-4CCBE8DF3093}"/>
            </c:ext>
          </c:extLst>
        </c:ser>
        <c:dLbls>
          <c:showLegendKey val="0"/>
          <c:showVal val="0"/>
          <c:showCatName val="0"/>
          <c:showSerName val="0"/>
          <c:showPercent val="0"/>
          <c:showBubbleSize val="0"/>
        </c:dLbls>
        <c:axId val="645480608"/>
        <c:axId val="645605904"/>
      </c:scatterChart>
      <c:valAx>
        <c:axId val="645480608"/>
        <c:scaling>
          <c:orientation val="minMax"/>
          <c:max val="2200"/>
          <c:min val="18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605904"/>
        <c:crosses val="autoZero"/>
        <c:crossBetween val="midCat"/>
      </c:valAx>
      <c:valAx>
        <c:axId val="645605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48060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35</xdr:row>
      <xdr:rowOff>0</xdr:rowOff>
    </xdr:from>
    <xdr:to>
      <xdr:col>6</xdr:col>
      <xdr:colOff>228600</xdr:colOff>
      <xdr:row>35</xdr:row>
      <xdr:rowOff>12700</xdr:rowOff>
    </xdr:to>
    <xdr:pic>
      <xdr:nvPicPr>
        <xdr:cNvPr id="3" name="Picture 2" descr="single bond">
          <a:extLst>
            <a:ext uri="{FF2B5EF4-FFF2-40B4-BE49-F238E27FC236}">
              <a16:creationId xmlns:a16="http://schemas.microsoft.com/office/drawing/2014/main" id="{770A1DF9-9CD8-F54E-89CD-50EB8D3F7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0" y="6553200"/>
          <a:ext cx="2286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504521</xdr:colOff>
      <xdr:row>4</xdr:row>
      <xdr:rowOff>121781</xdr:rowOff>
    </xdr:from>
    <xdr:to>
      <xdr:col>47</xdr:col>
      <xdr:colOff>67850</xdr:colOff>
      <xdr:row>20</xdr:row>
      <xdr:rowOff>199894</xdr:rowOff>
    </xdr:to>
    <xdr:graphicFrame macro="">
      <xdr:nvGraphicFramePr>
        <xdr:cNvPr id="3" name="Chart 2">
          <a:extLst>
            <a:ext uri="{FF2B5EF4-FFF2-40B4-BE49-F238E27FC236}">
              <a16:creationId xmlns:a16="http://schemas.microsoft.com/office/drawing/2014/main" id="{68CD73C4-E7F7-B641-8358-085F28BDA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620890</xdr:colOff>
      <xdr:row>4</xdr:row>
      <xdr:rowOff>120268</xdr:rowOff>
    </xdr:from>
    <xdr:to>
      <xdr:col>23</xdr:col>
      <xdr:colOff>795663</xdr:colOff>
      <xdr:row>25</xdr:row>
      <xdr:rowOff>70556</xdr:rowOff>
    </xdr:to>
    <xdr:graphicFrame macro="">
      <xdr:nvGraphicFramePr>
        <xdr:cNvPr id="4" name="Chart 3">
          <a:extLst>
            <a:ext uri="{FF2B5EF4-FFF2-40B4-BE49-F238E27FC236}">
              <a16:creationId xmlns:a16="http://schemas.microsoft.com/office/drawing/2014/main" id="{5C447EE3-45E2-0B45-B1A1-C9C81C5793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621325</xdr:colOff>
      <xdr:row>26</xdr:row>
      <xdr:rowOff>121683</xdr:rowOff>
    </xdr:from>
    <xdr:to>
      <xdr:col>12</xdr:col>
      <xdr:colOff>417199</xdr:colOff>
      <xdr:row>55</xdr:row>
      <xdr:rowOff>98164</xdr:rowOff>
    </xdr:to>
    <xdr:graphicFrame macro="">
      <xdr:nvGraphicFramePr>
        <xdr:cNvPr id="2" name="Chart 1">
          <a:extLst>
            <a:ext uri="{FF2B5EF4-FFF2-40B4-BE49-F238E27FC236}">
              <a16:creationId xmlns:a16="http://schemas.microsoft.com/office/drawing/2014/main" id="{240120C4-C2FE-8F47-8591-4DD4ABF209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59</xdr:col>
      <xdr:colOff>109316</xdr:colOff>
      <xdr:row>62</xdr:row>
      <xdr:rowOff>195806</xdr:rowOff>
    </xdr:from>
    <xdr:to>
      <xdr:col>64</xdr:col>
      <xdr:colOff>581949</xdr:colOff>
      <xdr:row>76</xdr:row>
      <xdr:rowOff>13183</xdr:rowOff>
    </xdr:to>
    <xdr:graphicFrame macro="">
      <xdr:nvGraphicFramePr>
        <xdr:cNvPr id="3" name="Chart 2">
          <a:extLst>
            <a:ext uri="{FF2B5EF4-FFF2-40B4-BE49-F238E27FC236}">
              <a16:creationId xmlns:a16="http://schemas.microsoft.com/office/drawing/2014/main" id="{E6B9FCF3-C44E-194E-8E08-6E234B1D3B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35</xdr:col>
      <xdr:colOff>152400</xdr:colOff>
      <xdr:row>0</xdr:row>
      <xdr:rowOff>139700</xdr:rowOff>
    </xdr:from>
    <xdr:to>
      <xdr:col>50</xdr:col>
      <xdr:colOff>127000</xdr:colOff>
      <xdr:row>26</xdr:row>
      <xdr:rowOff>127000</xdr:rowOff>
    </xdr:to>
    <xdr:graphicFrame macro="">
      <xdr:nvGraphicFramePr>
        <xdr:cNvPr id="6" name="Chart 5">
          <a:extLst>
            <a:ext uri="{FF2B5EF4-FFF2-40B4-BE49-F238E27FC236}">
              <a16:creationId xmlns:a16="http://schemas.microsoft.com/office/drawing/2014/main" id="{EB606F90-AA4A-F540-ACD5-4479D37D53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65070</xdr:colOff>
      <xdr:row>70</xdr:row>
      <xdr:rowOff>77912</xdr:rowOff>
    </xdr:from>
    <xdr:to>
      <xdr:col>43</xdr:col>
      <xdr:colOff>39670</xdr:colOff>
      <xdr:row>100</xdr:row>
      <xdr:rowOff>39812</xdr:rowOff>
    </xdr:to>
    <xdr:graphicFrame macro="">
      <xdr:nvGraphicFramePr>
        <xdr:cNvPr id="7" name="Chart 6">
          <a:extLst>
            <a:ext uri="{FF2B5EF4-FFF2-40B4-BE49-F238E27FC236}">
              <a16:creationId xmlns:a16="http://schemas.microsoft.com/office/drawing/2014/main" id="{4BD59A2A-D982-C242-888D-40F1815504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14270</xdr:colOff>
      <xdr:row>102</xdr:row>
      <xdr:rowOff>128427</xdr:rowOff>
    </xdr:from>
    <xdr:to>
      <xdr:col>42</xdr:col>
      <xdr:colOff>816510</xdr:colOff>
      <xdr:row>133</xdr:row>
      <xdr:rowOff>76057</xdr:rowOff>
    </xdr:to>
    <xdr:graphicFrame macro="">
      <xdr:nvGraphicFramePr>
        <xdr:cNvPr id="4" name="Chart 3">
          <a:extLst>
            <a:ext uri="{FF2B5EF4-FFF2-40B4-BE49-F238E27FC236}">
              <a16:creationId xmlns:a16="http://schemas.microsoft.com/office/drawing/2014/main" id="{DF790820-9837-094A-9A47-281B504DA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476250</xdr:colOff>
      <xdr:row>0</xdr:row>
      <xdr:rowOff>101600</xdr:rowOff>
    </xdr:from>
    <xdr:to>
      <xdr:col>16</xdr:col>
      <xdr:colOff>695476</xdr:colOff>
      <xdr:row>27</xdr:row>
      <xdr:rowOff>120952</xdr:rowOff>
    </xdr:to>
    <xdr:graphicFrame macro="">
      <xdr:nvGraphicFramePr>
        <xdr:cNvPr id="2" name="Chart 1">
          <a:extLst>
            <a:ext uri="{FF2B5EF4-FFF2-40B4-BE49-F238E27FC236}">
              <a16:creationId xmlns:a16="http://schemas.microsoft.com/office/drawing/2014/main" id="{2DD77EF0-7B29-CC4B-AEC8-93DE5B5865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476250</xdr:colOff>
      <xdr:row>0</xdr:row>
      <xdr:rowOff>101600</xdr:rowOff>
    </xdr:from>
    <xdr:to>
      <xdr:col>17</xdr:col>
      <xdr:colOff>304800</xdr:colOff>
      <xdr:row>14</xdr:row>
      <xdr:rowOff>0</xdr:rowOff>
    </xdr:to>
    <xdr:graphicFrame macro="">
      <xdr:nvGraphicFramePr>
        <xdr:cNvPr id="2" name="Chart 1">
          <a:extLst>
            <a:ext uri="{FF2B5EF4-FFF2-40B4-BE49-F238E27FC236}">
              <a16:creationId xmlns:a16="http://schemas.microsoft.com/office/drawing/2014/main" id="{BF7AB97D-7EA3-4A43-9478-2274E522C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196850</xdr:colOff>
      <xdr:row>2</xdr:row>
      <xdr:rowOff>139700</xdr:rowOff>
    </xdr:from>
    <xdr:to>
      <xdr:col>21</xdr:col>
      <xdr:colOff>368300</xdr:colOff>
      <xdr:row>13</xdr:row>
      <xdr:rowOff>393700</xdr:rowOff>
    </xdr:to>
    <xdr:graphicFrame macro="">
      <xdr:nvGraphicFramePr>
        <xdr:cNvPr id="2" name="Chart 1">
          <a:extLst>
            <a:ext uri="{FF2B5EF4-FFF2-40B4-BE49-F238E27FC236}">
              <a16:creationId xmlns:a16="http://schemas.microsoft.com/office/drawing/2014/main" id="{582E87F4-2C5E-C041-A60C-FC34FE099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15</xdr:row>
      <xdr:rowOff>0</xdr:rowOff>
    </xdr:from>
    <xdr:to>
      <xdr:col>21</xdr:col>
      <xdr:colOff>171450</xdr:colOff>
      <xdr:row>25</xdr:row>
      <xdr:rowOff>558800</xdr:rowOff>
    </xdr:to>
    <xdr:graphicFrame macro="">
      <xdr:nvGraphicFramePr>
        <xdr:cNvPr id="3" name="Chart 2">
          <a:extLst>
            <a:ext uri="{FF2B5EF4-FFF2-40B4-BE49-F238E27FC236}">
              <a16:creationId xmlns:a16="http://schemas.microsoft.com/office/drawing/2014/main" id="{8BA78713-1C28-E944-8B4F-642FB9646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ciencedirect.com/science/article/abs/pii/S030192681730444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ECAAE-C380-8B46-BA8B-022FA1285450}">
  <dimension ref="A1:AC206"/>
  <sheetViews>
    <sheetView tabSelected="1" zoomScale="65" zoomScaleNormal="65" workbookViewId="0">
      <selection activeCell="J37" sqref="J37"/>
    </sheetView>
  </sheetViews>
  <sheetFormatPr baseColWidth="10" defaultRowHeight="14"/>
  <cols>
    <col min="1" max="1" width="44.33203125" style="77" customWidth="1"/>
    <col min="2" max="2" width="10.83203125" style="77"/>
    <col min="3" max="3" width="16.83203125" style="77" customWidth="1"/>
    <col min="4" max="4" width="10.83203125" style="77" customWidth="1"/>
    <col min="5" max="5" width="10.33203125" style="78" customWidth="1"/>
    <col min="6" max="6" width="7.6640625" style="77" customWidth="1"/>
    <col min="7" max="7" width="12.83203125" style="77" customWidth="1"/>
    <col min="8" max="9" width="7.6640625" style="77" customWidth="1"/>
    <col min="10" max="10" width="20" style="77" customWidth="1"/>
    <col min="11" max="11" width="16" style="105" customWidth="1"/>
    <col min="12" max="12" width="17" style="105" customWidth="1"/>
    <col min="13" max="13" width="17.1640625" style="105" customWidth="1"/>
    <col min="14" max="15" width="17" style="105" customWidth="1"/>
    <col min="16" max="17" width="17.1640625" style="105" customWidth="1"/>
    <col min="18" max="18" width="18.83203125" style="105" customWidth="1"/>
    <col min="19" max="21" width="10.83203125" style="77"/>
    <col min="22" max="22" width="16.5" style="77" customWidth="1"/>
    <col min="23" max="16384" width="10.83203125" style="77"/>
  </cols>
  <sheetData>
    <row r="1" spans="1:29" s="81" customFormat="1" ht="31" customHeight="1">
      <c r="A1" s="81" t="s">
        <v>82</v>
      </c>
      <c r="B1" s="81" t="s">
        <v>260</v>
      </c>
      <c r="C1" s="81" t="s">
        <v>80</v>
      </c>
      <c r="D1" s="81" t="s">
        <v>230</v>
      </c>
      <c r="E1" s="89" t="s">
        <v>231</v>
      </c>
      <c r="F1" s="87" t="s">
        <v>81</v>
      </c>
      <c r="G1" s="87" t="s">
        <v>124</v>
      </c>
      <c r="H1" s="87" t="s">
        <v>125</v>
      </c>
      <c r="I1" s="87" t="s">
        <v>126</v>
      </c>
      <c r="J1" s="107" t="s">
        <v>219</v>
      </c>
      <c r="K1" s="103" t="s">
        <v>708</v>
      </c>
      <c r="L1" s="103" t="s">
        <v>236</v>
      </c>
      <c r="M1" s="103" t="s">
        <v>709</v>
      </c>
      <c r="N1" s="103"/>
      <c r="O1" s="103"/>
      <c r="P1" s="103"/>
      <c r="Q1" s="103"/>
      <c r="R1" s="103"/>
    </row>
    <row r="2" spans="1:29" s="206" customFormat="1" ht="15">
      <c r="A2" s="206" t="s">
        <v>96</v>
      </c>
      <c r="B2" s="206" t="s">
        <v>266</v>
      </c>
      <c r="C2" s="206" t="s">
        <v>97</v>
      </c>
      <c r="D2" s="210">
        <v>10</v>
      </c>
      <c r="E2" s="211">
        <v>797254830.21099901</v>
      </c>
      <c r="F2" s="205"/>
      <c r="G2" s="205"/>
      <c r="H2" s="205">
        <f>1865-15</f>
        <v>1850</v>
      </c>
      <c r="I2" s="205">
        <v>1883</v>
      </c>
      <c r="J2" s="205" t="s">
        <v>256</v>
      </c>
      <c r="K2" s="205" t="s">
        <v>539</v>
      </c>
      <c r="L2" s="206" t="s">
        <v>242</v>
      </c>
      <c r="N2" s="206" t="s">
        <v>243</v>
      </c>
      <c r="O2" s="207" t="s">
        <v>703</v>
      </c>
    </row>
    <row r="3" spans="1:29" s="206" customFormat="1" ht="15">
      <c r="A3" s="206" t="s">
        <v>87</v>
      </c>
      <c r="C3" s="206" t="s">
        <v>99</v>
      </c>
      <c r="D3" s="210">
        <v>700</v>
      </c>
      <c r="E3" s="212">
        <v>380829425.90399897</v>
      </c>
      <c r="F3" s="205">
        <v>1886</v>
      </c>
      <c r="G3" s="205">
        <v>2</v>
      </c>
      <c r="H3" s="205">
        <f t="shared" ref="H3" si="0">F3-G3</f>
        <v>1884</v>
      </c>
      <c r="I3" s="205">
        <f t="shared" ref="I3" si="1">F3+G3</f>
        <v>1888</v>
      </c>
      <c r="J3" s="205">
        <v>500</v>
      </c>
      <c r="K3" s="206" t="s">
        <v>512</v>
      </c>
      <c r="L3" s="206" t="s">
        <v>286</v>
      </c>
      <c r="M3" s="208"/>
      <c r="N3" s="208" t="s">
        <v>556</v>
      </c>
      <c r="O3" s="206" t="s">
        <v>688</v>
      </c>
      <c r="P3" s="208" t="s">
        <v>687</v>
      </c>
      <c r="Q3" s="205" t="s">
        <v>565</v>
      </c>
      <c r="R3" s="205" t="s">
        <v>566</v>
      </c>
      <c r="S3" s="205" t="s">
        <v>567</v>
      </c>
      <c r="T3" s="205" t="s">
        <v>568</v>
      </c>
      <c r="U3" s="205" t="s">
        <v>569</v>
      </c>
      <c r="V3" s="205" t="s">
        <v>570</v>
      </c>
      <c r="W3" s="205" t="s">
        <v>571</v>
      </c>
    </row>
    <row r="4" spans="1:29" s="206" customFormat="1" ht="15">
      <c r="A4" s="206" t="s">
        <v>94</v>
      </c>
      <c r="C4" s="206" t="s">
        <v>95</v>
      </c>
      <c r="D4" s="210">
        <f>20</f>
        <v>20</v>
      </c>
      <c r="E4" s="211">
        <v>1719071320.3099899</v>
      </c>
      <c r="F4" s="205"/>
      <c r="G4" s="205"/>
      <c r="H4" s="205">
        <v>1855</v>
      </c>
      <c r="I4" s="205">
        <v>1913</v>
      </c>
      <c r="J4" s="206" t="s">
        <v>256</v>
      </c>
      <c r="K4" s="205" t="s">
        <v>690</v>
      </c>
      <c r="L4" s="205" t="s">
        <v>274</v>
      </c>
      <c r="M4" s="206" t="s">
        <v>273</v>
      </c>
      <c r="N4" s="209" t="s">
        <v>691</v>
      </c>
      <c r="O4" s="209" t="s">
        <v>241</v>
      </c>
      <c r="P4" s="206" t="s">
        <v>275</v>
      </c>
      <c r="U4" s="205"/>
    </row>
    <row r="5" spans="1:29" s="206" customFormat="1" ht="15">
      <c r="A5" s="206" t="s">
        <v>87</v>
      </c>
      <c r="C5" s="206" t="s">
        <v>88</v>
      </c>
      <c r="D5" s="210">
        <v>190</v>
      </c>
      <c r="E5" s="212">
        <v>2202869880.3400002</v>
      </c>
      <c r="F5" s="205">
        <v>1877.52</v>
      </c>
      <c r="G5" s="205">
        <v>8.74</v>
      </c>
      <c r="H5" s="205">
        <v>1850</v>
      </c>
      <c r="I5" s="205">
        <f>F5+G5</f>
        <v>1886.26</v>
      </c>
      <c r="J5" s="205">
        <v>60</v>
      </c>
      <c r="L5" s="205" t="s">
        <v>515</v>
      </c>
      <c r="M5" s="206" t="s">
        <v>293</v>
      </c>
      <c r="N5" s="205" t="s">
        <v>572</v>
      </c>
      <c r="O5" s="207" t="s">
        <v>594</v>
      </c>
      <c r="R5" s="205"/>
      <c r="S5" s="205"/>
    </row>
    <row r="6" spans="1:29" s="206" customFormat="1" ht="15">
      <c r="A6" s="206" t="s">
        <v>87</v>
      </c>
      <c r="C6" s="206" t="s">
        <v>89</v>
      </c>
      <c r="D6" s="210">
        <f>750*0.3048</f>
        <v>228.60000000000002</v>
      </c>
      <c r="E6" s="212">
        <v>16040807851.856001</v>
      </c>
      <c r="F6" s="205">
        <v>1877.52</v>
      </c>
      <c r="G6" s="205">
        <v>8.74</v>
      </c>
      <c r="H6" s="205">
        <v>1850</v>
      </c>
      <c r="I6" s="205">
        <f>F6+G6</f>
        <v>1886.26</v>
      </c>
      <c r="J6" s="205">
        <v>121</v>
      </c>
      <c r="K6" s="205" t="s">
        <v>507</v>
      </c>
      <c r="L6" s="205" t="s">
        <v>515</v>
      </c>
      <c r="M6" s="205"/>
      <c r="N6" s="205" t="s">
        <v>573</v>
      </c>
      <c r="O6" s="205" t="s">
        <v>594</v>
      </c>
      <c r="P6" s="205" t="s">
        <v>574</v>
      </c>
      <c r="Q6" s="205" t="s">
        <v>661</v>
      </c>
      <c r="S6" s="205"/>
    </row>
    <row r="7" spans="1:29" s="206" customFormat="1" ht="15">
      <c r="A7" s="206" t="s">
        <v>92</v>
      </c>
      <c r="C7" s="213" t="s">
        <v>93</v>
      </c>
      <c r="D7" s="214">
        <f>130</f>
        <v>130</v>
      </c>
      <c r="E7" s="212">
        <f>(55695928.6213999+59671095.9182+16704849.8682+54924592.3655+23391756.5925+262603751.821+44438223.0046+1052404766.92999+315947523.25+73558384.3634999+175192677.618+81189772.3006999+59714355.3027999+20690560.5368)</f>
        <v>2296128238.4931893</v>
      </c>
      <c r="F7" s="205"/>
      <c r="G7" s="205"/>
      <c r="H7" s="205">
        <v>1870</v>
      </c>
      <c r="I7" s="215" t="s">
        <v>283</v>
      </c>
      <c r="J7" s="206" t="s">
        <v>284</v>
      </c>
      <c r="K7" s="205" t="s">
        <v>685</v>
      </c>
      <c r="L7" s="208" t="s">
        <v>516</v>
      </c>
      <c r="N7" s="205" t="s">
        <v>575</v>
      </c>
      <c r="O7" s="205" t="s">
        <v>630</v>
      </c>
      <c r="P7" s="208" t="s">
        <v>555</v>
      </c>
      <c r="R7" s="205"/>
      <c r="S7" s="208"/>
      <c r="T7" s="205"/>
    </row>
    <row r="8" spans="1:29" s="206" customFormat="1" ht="15">
      <c r="A8" s="206" t="s">
        <v>267</v>
      </c>
      <c r="C8" s="206" t="s">
        <v>91</v>
      </c>
      <c r="D8" s="210">
        <f>375</f>
        <v>375</v>
      </c>
      <c r="E8" s="212">
        <f>12752965879.5+117683212.923999+2257775660.03+1348324042.04999+5415567949.6+2057071642.36999+811180296.203999+3725351131.61+4845831545.51+419577327.728999+564509694.559999+4556700320.78999+5416339065.14999+533486114.064+4556700320.78999+1025392476.54999+1562261148.53999+1562261148.53999+1025392476.54999</f>
        <v>54554371453.060921</v>
      </c>
      <c r="F8" s="205"/>
      <c r="G8" s="205"/>
      <c r="H8" s="205">
        <v>1878.5</v>
      </c>
      <c r="I8" s="215" t="s">
        <v>283</v>
      </c>
      <c r="J8" s="206" t="s">
        <v>282</v>
      </c>
      <c r="K8" s="205" t="s">
        <v>281</v>
      </c>
      <c r="L8" s="205" t="s">
        <v>514</v>
      </c>
      <c r="N8" s="205" t="s">
        <v>609</v>
      </c>
      <c r="O8" s="208" t="s">
        <v>555</v>
      </c>
      <c r="P8" s="205" t="s">
        <v>576</v>
      </c>
      <c r="Q8" s="205" t="s">
        <v>577</v>
      </c>
      <c r="R8" s="205" t="s">
        <v>578</v>
      </c>
      <c r="S8" s="205" t="s">
        <v>579</v>
      </c>
      <c r="T8" s="205" t="s">
        <v>616</v>
      </c>
      <c r="U8" s="205" t="s">
        <v>581</v>
      </c>
      <c r="V8" s="205" t="s">
        <v>582</v>
      </c>
      <c r="W8" s="205" t="s">
        <v>662</v>
      </c>
      <c r="X8" s="205" t="s">
        <v>583</v>
      </c>
      <c r="Y8" s="205" t="s">
        <v>580</v>
      </c>
      <c r="Z8" s="205"/>
      <c r="AA8" s="205"/>
      <c r="AB8" s="205"/>
      <c r="AC8" s="205"/>
    </row>
    <row r="9" spans="1:29" s="206" customFormat="1" ht="15">
      <c r="A9" s="206" t="s">
        <v>87</v>
      </c>
      <c r="C9" s="206" t="s">
        <v>503</v>
      </c>
      <c r="D9" s="210">
        <f>3500*0.3048</f>
        <v>1066.8</v>
      </c>
      <c r="E9" s="212">
        <v>8354396156.68999</v>
      </c>
      <c r="F9" s="205"/>
      <c r="G9" s="205"/>
      <c r="H9" s="205">
        <v>1891</v>
      </c>
      <c r="I9" s="215" t="s">
        <v>283</v>
      </c>
      <c r="J9" s="206" t="s">
        <v>282</v>
      </c>
      <c r="K9" s="206" t="s">
        <v>285</v>
      </c>
      <c r="L9" s="208" t="s">
        <v>519</v>
      </c>
      <c r="M9" s="208" t="s">
        <v>556</v>
      </c>
      <c r="N9" s="206" t="s">
        <v>693</v>
      </c>
      <c r="O9" s="205" t="s">
        <v>692</v>
      </c>
      <c r="P9" s="205" t="s">
        <v>584</v>
      </c>
      <c r="Q9" s="205" t="s">
        <v>585</v>
      </c>
      <c r="R9" s="205"/>
      <c r="S9" s="205"/>
    </row>
    <row r="10" spans="1:29" s="206" customFormat="1" ht="15">
      <c r="A10" s="206" t="s">
        <v>298</v>
      </c>
      <c r="C10" s="206" t="s">
        <v>100</v>
      </c>
      <c r="D10" s="210">
        <f>400-150</f>
        <v>250</v>
      </c>
      <c r="E10" s="212">
        <v>21458435750.744999</v>
      </c>
      <c r="F10" s="205">
        <v>1890</v>
      </c>
      <c r="G10" s="205">
        <v>20</v>
      </c>
      <c r="H10" s="205">
        <f>F10-G10</f>
        <v>1870</v>
      </c>
      <c r="I10" s="205">
        <f>F10+G10</f>
        <v>1910</v>
      </c>
      <c r="J10" s="205">
        <v>12</v>
      </c>
      <c r="K10" s="205" t="s">
        <v>296</v>
      </c>
      <c r="L10" s="205" t="s">
        <v>586</v>
      </c>
      <c r="M10" s="206" t="s">
        <v>686</v>
      </c>
      <c r="N10" s="205" t="s">
        <v>586</v>
      </c>
      <c r="O10" s="206" t="s">
        <v>694</v>
      </c>
      <c r="P10" s="206" t="s">
        <v>695</v>
      </c>
      <c r="Q10" s="205" t="s">
        <v>584</v>
      </c>
      <c r="R10" s="205" t="s">
        <v>585</v>
      </c>
      <c r="T10" s="205"/>
    </row>
    <row r="11" spans="1:29" s="206" customFormat="1" ht="15">
      <c r="A11" s="206" t="s">
        <v>268</v>
      </c>
      <c r="B11" s="206" t="s">
        <v>280</v>
      </c>
      <c r="C11" s="206" t="s">
        <v>277</v>
      </c>
      <c r="D11" s="210">
        <v>183</v>
      </c>
      <c r="E11" s="216">
        <f>16040807851.8999</f>
        <v>16040807851.8999</v>
      </c>
      <c r="F11" s="205"/>
      <c r="G11" s="205"/>
      <c r="H11" s="205">
        <v>1870</v>
      </c>
      <c r="I11" s="215" t="s">
        <v>283</v>
      </c>
      <c r="J11" s="206" t="s">
        <v>284</v>
      </c>
      <c r="K11" s="205" t="s">
        <v>279</v>
      </c>
      <c r="L11" s="206" t="s">
        <v>553</v>
      </c>
      <c r="M11" s="206" t="s">
        <v>288</v>
      </c>
      <c r="N11" s="206" t="s">
        <v>233</v>
      </c>
      <c r="O11" s="208" t="s">
        <v>653</v>
      </c>
      <c r="P11" s="208" t="s">
        <v>654</v>
      </c>
      <c r="Q11" s="205" t="s">
        <v>548</v>
      </c>
    </row>
    <row r="12" spans="1:29" s="206" customFormat="1" ht="15">
      <c r="A12" s="206" t="s">
        <v>291</v>
      </c>
      <c r="C12" s="206" t="s">
        <v>292</v>
      </c>
      <c r="D12" s="210">
        <v>228</v>
      </c>
      <c r="E12" s="212">
        <v>8354396156.68999</v>
      </c>
      <c r="F12" s="205"/>
      <c r="G12" s="205"/>
      <c r="H12" s="205">
        <v>1874</v>
      </c>
      <c r="I12" s="215" t="s">
        <v>283</v>
      </c>
      <c r="J12" s="205" t="s">
        <v>284</v>
      </c>
      <c r="K12" s="206" t="s">
        <v>295</v>
      </c>
      <c r="L12" s="206" t="s">
        <v>693</v>
      </c>
      <c r="M12" s="206" t="s">
        <v>532</v>
      </c>
      <c r="N12" s="205" t="s">
        <v>587</v>
      </c>
      <c r="O12" s="208" t="s">
        <v>556</v>
      </c>
      <c r="P12" s="205" t="s">
        <v>588</v>
      </c>
      <c r="Q12" s="205" t="s">
        <v>590</v>
      </c>
      <c r="R12" s="209"/>
    </row>
    <row r="13" spans="1:29" s="206" customFormat="1" ht="15">
      <c r="A13" s="206" t="s">
        <v>289</v>
      </c>
      <c r="C13" s="206" t="s">
        <v>290</v>
      </c>
      <c r="D13" s="210">
        <f>30+152+61</f>
        <v>243</v>
      </c>
      <c r="E13" s="212">
        <v>89414078.974000007</v>
      </c>
      <c r="F13" s="205">
        <v>1874</v>
      </c>
      <c r="G13" s="205">
        <v>18</v>
      </c>
      <c r="H13" s="205">
        <f>F13-G13</f>
        <v>1856</v>
      </c>
      <c r="I13" s="205">
        <f>F13+G13</f>
        <v>1892</v>
      </c>
      <c r="J13" s="205">
        <f>61+152</f>
        <v>213</v>
      </c>
      <c r="K13" s="205" t="s">
        <v>294</v>
      </c>
      <c r="L13" s="206" t="s">
        <v>693</v>
      </c>
      <c r="M13" s="206" t="s">
        <v>531</v>
      </c>
      <c r="N13" s="205" t="s">
        <v>692</v>
      </c>
      <c r="O13" s="208" t="s">
        <v>556</v>
      </c>
      <c r="P13" s="205" t="s">
        <v>589</v>
      </c>
      <c r="Q13" s="208" t="s">
        <v>591</v>
      </c>
      <c r="S13" s="208"/>
      <c r="T13" s="205"/>
      <c r="U13" s="208"/>
      <c r="V13" s="208"/>
    </row>
    <row r="14" spans="1:29" s="206" customFormat="1" ht="15">
      <c r="A14" s="206" t="s">
        <v>96</v>
      </c>
      <c r="B14" s="206" t="s">
        <v>265</v>
      </c>
      <c r="C14" s="206" t="s">
        <v>102</v>
      </c>
      <c r="D14" s="206">
        <v>100</v>
      </c>
      <c r="E14" s="216">
        <f>12000*20</f>
        <v>240000</v>
      </c>
      <c r="F14" s="205"/>
      <c r="G14" s="205"/>
      <c r="H14" s="205">
        <v>1895</v>
      </c>
      <c r="I14" s="205">
        <v>1928</v>
      </c>
      <c r="J14" s="205" t="s">
        <v>256</v>
      </c>
      <c r="K14" s="205" t="s">
        <v>704</v>
      </c>
      <c r="L14" s="206" t="s">
        <v>242</v>
      </c>
      <c r="M14" s="206" t="s">
        <v>246</v>
      </c>
      <c r="N14" s="206" t="s">
        <v>220</v>
      </c>
      <c r="O14" s="205" t="s">
        <v>544</v>
      </c>
      <c r="T14" s="205"/>
      <c r="Y14" s="205"/>
    </row>
    <row r="15" spans="1:29" s="206" customFormat="1" ht="15">
      <c r="A15" s="206" t="s">
        <v>118</v>
      </c>
      <c r="B15" s="206" t="s">
        <v>119</v>
      </c>
      <c r="C15" s="206" t="s">
        <v>270</v>
      </c>
      <c r="D15" s="206">
        <v>100</v>
      </c>
      <c r="E15" s="217">
        <f>170*(1000^2)</f>
        <v>170000000</v>
      </c>
      <c r="F15" s="205"/>
      <c r="G15" s="205"/>
      <c r="H15" s="205">
        <v>2000</v>
      </c>
      <c r="I15" s="205">
        <v>2200</v>
      </c>
      <c r="J15" s="205" t="s">
        <v>256</v>
      </c>
      <c r="K15" s="205" t="s">
        <v>300</v>
      </c>
      <c r="L15" s="205" t="s">
        <v>559</v>
      </c>
      <c r="M15" s="205" t="s">
        <v>540</v>
      </c>
      <c r="N15" s="205" t="s">
        <v>545</v>
      </c>
      <c r="O15" s="205" t="s">
        <v>705</v>
      </c>
      <c r="Q15" s="205"/>
    </row>
    <row r="16" spans="1:29" s="206" customFormat="1" ht="15">
      <c r="A16" s="206" t="s">
        <v>98</v>
      </c>
      <c r="C16" s="206" t="s">
        <v>271</v>
      </c>
      <c r="D16" s="206">
        <v>100</v>
      </c>
      <c r="E16" s="216">
        <f>1719071320.30999</f>
        <v>1719071320.3099899</v>
      </c>
      <c r="F16" s="205"/>
      <c r="G16" s="205"/>
      <c r="H16" s="205">
        <v>1974</v>
      </c>
      <c r="I16" s="205">
        <v>2100</v>
      </c>
      <c r="J16" s="205" t="s">
        <v>256</v>
      </c>
      <c r="K16" s="205" t="s">
        <v>272</v>
      </c>
      <c r="L16" s="205" t="s">
        <v>275</v>
      </c>
      <c r="M16" s="206" t="s">
        <v>232</v>
      </c>
      <c r="N16" s="206" t="s">
        <v>229</v>
      </c>
      <c r="O16" s="206" t="s">
        <v>225</v>
      </c>
      <c r="P16" s="206" t="s">
        <v>226</v>
      </c>
      <c r="Q16" s="206" t="s">
        <v>227</v>
      </c>
    </row>
    <row r="17" spans="1:24" s="206" customFormat="1" ht="15">
      <c r="A17" s="206" t="s">
        <v>108</v>
      </c>
      <c r="C17" s="206" t="s">
        <v>228</v>
      </c>
      <c r="D17" s="206">
        <v>36</v>
      </c>
      <c r="E17" s="216">
        <f>3500*75</f>
        <v>262500</v>
      </c>
      <c r="F17" s="205">
        <v>2080</v>
      </c>
      <c r="G17" s="205">
        <v>45</v>
      </c>
      <c r="H17" s="205">
        <f>F17-G17</f>
        <v>2035</v>
      </c>
      <c r="I17" s="205">
        <f>F17+G17</f>
        <v>2125</v>
      </c>
      <c r="J17" s="205" t="s">
        <v>256</v>
      </c>
      <c r="K17" s="205" t="s">
        <v>301</v>
      </c>
      <c r="L17" s="205" t="s">
        <v>534</v>
      </c>
      <c r="M17" s="206" t="s">
        <v>248</v>
      </c>
      <c r="N17" s="205" t="s">
        <v>530</v>
      </c>
      <c r="O17" s="205" t="s">
        <v>517</v>
      </c>
      <c r="P17" s="218" t="s">
        <v>706</v>
      </c>
    </row>
    <row r="18" spans="1:24" s="206" customFormat="1" ht="15">
      <c r="A18" s="206" t="s">
        <v>110</v>
      </c>
      <c r="B18" s="206" t="s">
        <v>276</v>
      </c>
      <c r="C18" s="206" t="s">
        <v>244</v>
      </c>
      <c r="D18" s="206">
        <v>20</v>
      </c>
      <c r="E18" s="216">
        <f>16040807851.8999</f>
        <v>16040807851.8999</v>
      </c>
      <c r="F18" s="205"/>
      <c r="G18" s="205"/>
      <c r="H18" s="205">
        <f>1746+86</f>
        <v>1832</v>
      </c>
      <c r="I18" s="205">
        <f>2197+39</f>
        <v>2236</v>
      </c>
      <c r="J18" s="208" t="s">
        <v>256</v>
      </c>
      <c r="K18" s="206" t="s">
        <v>278</v>
      </c>
      <c r="L18" s="207" t="s">
        <v>542</v>
      </c>
      <c r="M18" s="206" t="s">
        <v>234</v>
      </c>
      <c r="N18" s="205" t="s">
        <v>654</v>
      </c>
      <c r="O18" s="206" t="s">
        <v>235</v>
      </c>
      <c r="P18" s="205" t="s">
        <v>548</v>
      </c>
      <c r="U18" s="205"/>
    </row>
    <row r="19" spans="1:24" s="206" customFormat="1" ht="15">
      <c r="A19" s="206" t="s">
        <v>112</v>
      </c>
      <c r="C19" s="206" t="s">
        <v>113</v>
      </c>
      <c r="D19" s="206">
        <v>60</v>
      </c>
      <c r="E19" s="216">
        <f>10000*4000</f>
        <v>40000000</v>
      </c>
      <c r="F19" s="205"/>
      <c r="G19" s="205"/>
      <c r="H19" s="205">
        <v>2000</v>
      </c>
      <c r="I19" s="205">
        <v>2300</v>
      </c>
      <c r="J19" s="208" t="s">
        <v>256</v>
      </c>
      <c r="K19" s="206" t="s">
        <v>538</v>
      </c>
      <c r="M19" s="205" t="s">
        <v>536</v>
      </c>
      <c r="N19" s="207" t="s">
        <v>597</v>
      </c>
      <c r="O19" s="205" t="s">
        <v>529</v>
      </c>
      <c r="P19" s="209" t="s">
        <v>595</v>
      </c>
      <c r="Q19" s="205" t="s">
        <v>701</v>
      </c>
      <c r="R19" s="205"/>
      <c r="S19" s="209"/>
      <c r="T19" s="205"/>
    </row>
    <row r="20" spans="1:24" s="206" customFormat="1" ht="15">
      <c r="A20" s="206" t="s">
        <v>105</v>
      </c>
      <c r="C20" s="206" t="s">
        <v>221</v>
      </c>
      <c r="D20" s="206">
        <v>20</v>
      </c>
      <c r="E20" s="216">
        <f>(150*1000)*(7000)</f>
        <v>1050000000</v>
      </c>
      <c r="G20" s="205"/>
      <c r="H20" s="205">
        <v>2080</v>
      </c>
      <c r="I20" s="205">
        <v>2170</v>
      </c>
      <c r="J20" s="208" t="s">
        <v>256</v>
      </c>
      <c r="K20" s="206" t="s">
        <v>533</v>
      </c>
      <c r="L20" s="208" t="s">
        <v>543</v>
      </c>
      <c r="M20" s="206" t="s">
        <v>535</v>
      </c>
      <c r="N20" s="206" t="s">
        <v>223</v>
      </c>
      <c r="O20" s="206" t="s">
        <v>222</v>
      </c>
      <c r="P20" s="205" t="s">
        <v>561</v>
      </c>
      <c r="Q20" s="205" t="s">
        <v>550</v>
      </c>
      <c r="S20" s="205"/>
      <c r="T20" s="205"/>
      <c r="V20" s="205"/>
    </row>
    <row r="21" spans="1:24" s="206" customFormat="1" ht="15">
      <c r="A21" s="206" t="s">
        <v>114</v>
      </c>
      <c r="B21" s="206" t="s">
        <v>115</v>
      </c>
      <c r="C21" s="205" t="s">
        <v>261</v>
      </c>
      <c r="D21" s="206">
        <v>50</v>
      </c>
      <c r="E21" s="216">
        <f>1500*5000</f>
        <v>7500000</v>
      </c>
      <c r="F21" s="205"/>
      <c r="G21" s="205"/>
      <c r="H21" s="205">
        <v>2100</v>
      </c>
      <c r="I21" s="205">
        <v>2216</v>
      </c>
      <c r="J21" s="208" t="s">
        <v>256</v>
      </c>
      <c r="K21" s="206" t="s">
        <v>269</v>
      </c>
      <c r="L21" s="205" t="s">
        <v>667</v>
      </c>
      <c r="M21" s="205" t="s">
        <v>245</v>
      </c>
      <c r="N21" s="205" t="s">
        <v>528</v>
      </c>
      <c r="O21" s="205" t="s">
        <v>518</v>
      </c>
      <c r="P21" s="205" t="s">
        <v>707</v>
      </c>
      <c r="Q21" s="205" t="s">
        <v>667</v>
      </c>
      <c r="R21" s="205"/>
      <c r="S21" s="205"/>
      <c r="T21" s="205"/>
      <c r="U21" s="205"/>
    </row>
    <row r="22" spans="1:24" s="206" customFormat="1" ht="15">
      <c r="A22" s="206" t="s">
        <v>103</v>
      </c>
      <c r="B22" s="206" t="s">
        <v>263</v>
      </c>
      <c r="C22" s="206" t="s">
        <v>262</v>
      </c>
      <c r="D22" s="206">
        <v>400</v>
      </c>
      <c r="E22" s="216">
        <f>(20.5*1000)*5.8*1000</f>
        <v>118900000</v>
      </c>
      <c r="G22" s="205"/>
      <c r="H22" s="205">
        <v>2100</v>
      </c>
      <c r="I22" s="205">
        <v>2380</v>
      </c>
      <c r="J22" s="208" t="s">
        <v>256</v>
      </c>
      <c r="K22" s="205" t="s">
        <v>541</v>
      </c>
      <c r="L22" s="206" t="s">
        <v>287</v>
      </c>
      <c r="M22" s="206" t="s">
        <v>258</v>
      </c>
      <c r="N22" s="219" t="s">
        <v>224</v>
      </c>
      <c r="O22" s="205" t="s">
        <v>560</v>
      </c>
      <c r="P22" s="205" t="s">
        <v>549</v>
      </c>
      <c r="R22" s="219"/>
      <c r="S22" s="205"/>
      <c r="T22" s="205"/>
      <c r="U22" s="205"/>
    </row>
    <row r="23" spans="1:24" s="206" customFormat="1" ht="15">
      <c r="A23" s="206" t="s">
        <v>122</v>
      </c>
      <c r="C23" s="206" t="s">
        <v>123</v>
      </c>
      <c r="D23" s="206">
        <v>450</v>
      </c>
      <c r="E23" s="216">
        <f>45000*5000</f>
        <v>225000000</v>
      </c>
      <c r="F23" s="205"/>
      <c r="G23" s="205"/>
      <c r="H23" s="205">
        <v>2200</v>
      </c>
      <c r="I23" s="205">
        <v>2615</v>
      </c>
      <c r="J23" s="208" t="s">
        <v>256</v>
      </c>
      <c r="K23" s="205" t="s">
        <v>702</v>
      </c>
      <c r="L23" s="205" t="s">
        <v>696</v>
      </c>
      <c r="M23" s="206" t="s">
        <v>249</v>
      </c>
      <c r="N23" s="205"/>
      <c r="O23" s="205"/>
      <c r="P23" s="206" t="s">
        <v>249</v>
      </c>
      <c r="R23" s="205" t="s">
        <v>527</v>
      </c>
      <c r="S23" s="205" t="s">
        <v>558</v>
      </c>
    </row>
    <row r="24" spans="1:24" s="206" customFormat="1" ht="15">
      <c r="A24" s="206" t="s">
        <v>120</v>
      </c>
      <c r="B24" s="206" t="s">
        <v>264</v>
      </c>
      <c r="C24" s="206" t="s">
        <v>121</v>
      </c>
      <c r="D24" s="206">
        <v>40</v>
      </c>
      <c r="E24" s="216">
        <f>128748*482803</f>
        <v>62159920644</v>
      </c>
      <c r="G24" s="205"/>
      <c r="H24" s="206">
        <v>2266</v>
      </c>
      <c r="I24" s="206">
        <v>2310</v>
      </c>
      <c r="J24" s="208" t="s">
        <v>256</v>
      </c>
      <c r="K24" s="205" t="s">
        <v>255</v>
      </c>
      <c r="L24" s="206" t="s">
        <v>254</v>
      </c>
      <c r="M24" s="206" t="s">
        <v>250</v>
      </c>
      <c r="N24" s="206" t="s">
        <v>697</v>
      </c>
      <c r="O24" s="206" t="s">
        <v>237</v>
      </c>
      <c r="P24" s="205" t="s">
        <v>557</v>
      </c>
      <c r="Q24" s="205" t="s">
        <v>547</v>
      </c>
      <c r="R24" s="205" t="s">
        <v>562</v>
      </c>
    </row>
    <row r="25" spans="1:24" s="206" customFormat="1" ht="15">
      <c r="A25" s="206" t="s">
        <v>116</v>
      </c>
      <c r="C25" s="206" t="s">
        <v>251</v>
      </c>
      <c r="D25" s="206">
        <v>60</v>
      </c>
      <c r="E25" s="216">
        <f>128748*482803</f>
        <v>62159920644</v>
      </c>
      <c r="F25" s="205"/>
      <c r="G25" s="205"/>
      <c r="H25" s="205">
        <v>2393</v>
      </c>
      <c r="I25" s="205">
        <v>2426</v>
      </c>
      <c r="J25" s="208" t="s">
        <v>256</v>
      </c>
      <c r="K25" s="205" t="s">
        <v>253</v>
      </c>
      <c r="L25" s="209" t="s">
        <v>598</v>
      </c>
      <c r="M25" s="206" t="s">
        <v>252</v>
      </c>
      <c r="N25" s="205" t="s">
        <v>526</v>
      </c>
      <c r="O25" s="205" t="s">
        <v>522</v>
      </c>
      <c r="P25" s="205" t="s">
        <v>546</v>
      </c>
      <c r="Q25" s="205" t="s">
        <v>563</v>
      </c>
    </row>
    <row r="26" spans="1:24">
      <c r="K26" s="203"/>
      <c r="L26" s="203"/>
      <c r="M26" s="203"/>
      <c r="N26" s="203"/>
      <c r="O26" s="203"/>
      <c r="P26" s="203"/>
      <c r="Q26" s="203"/>
      <c r="R26" s="203"/>
      <c r="S26" s="203"/>
      <c r="T26" s="203"/>
      <c r="U26" s="203"/>
      <c r="V26" s="203"/>
      <c r="W26" s="203"/>
      <c r="X26" s="203"/>
    </row>
    <row r="28" spans="1:24">
      <c r="A28" s="192" t="s">
        <v>510</v>
      </c>
    </row>
    <row r="29" spans="1:24">
      <c r="A29" s="77" t="s">
        <v>511</v>
      </c>
    </row>
    <row r="30" spans="1:24">
      <c r="A30" s="77" t="s">
        <v>259</v>
      </c>
      <c r="L30" s="99" t="s">
        <v>247</v>
      </c>
      <c r="N30" s="99"/>
      <c r="O30" s="99"/>
    </row>
    <row r="31" spans="1:24">
      <c r="A31" s="85" t="s">
        <v>257</v>
      </c>
      <c r="B31" s="85"/>
      <c r="E31" s="85"/>
    </row>
    <row r="32" spans="1:24">
      <c r="A32" s="193"/>
      <c r="B32" s="81"/>
      <c r="E32" s="85"/>
    </row>
    <row r="33" spans="1:17">
      <c r="A33" s="77" t="s">
        <v>54</v>
      </c>
      <c r="C33" s="80" t="s">
        <v>86</v>
      </c>
      <c r="D33" s="77">
        <v>1000</v>
      </c>
      <c r="F33" s="82">
        <v>1850</v>
      </c>
      <c r="G33" s="82">
        <v>15</v>
      </c>
      <c r="H33" s="82">
        <f>F33-G33</f>
        <v>1835</v>
      </c>
      <c r="I33" s="82">
        <f>F33+G33</f>
        <v>1865</v>
      </c>
      <c r="K33" s="220" t="s">
        <v>390</v>
      </c>
      <c r="L33" s="221" t="s">
        <v>699</v>
      </c>
      <c r="M33" s="221" t="s">
        <v>700</v>
      </c>
      <c r="N33" s="106" t="s">
        <v>698</v>
      </c>
      <c r="O33" s="101"/>
      <c r="P33" s="101"/>
      <c r="Q33" s="101"/>
    </row>
    <row r="34" spans="1:17">
      <c r="A34" s="80" t="s">
        <v>239</v>
      </c>
      <c r="B34" s="80"/>
      <c r="C34" s="80" t="s">
        <v>238</v>
      </c>
      <c r="E34" s="90">
        <f>1144345189.114+701242255.682</f>
        <v>1845587444.796</v>
      </c>
      <c r="F34" s="77">
        <v>1795</v>
      </c>
      <c r="G34" s="77">
        <v>7</v>
      </c>
      <c r="H34" s="82">
        <f>F34-G34</f>
        <v>1788</v>
      </c>
      <c r="I34" s="82">
        <f>F34+G34</f>
        <v>1802</v>
      </c>
      <c r="K34" s="105" t="s">
        <v>240</v>
      </c>
    </row>
    <row r="35" spans="1:17">
      <c r="A35" s="77" t="s">
        <v>299</v>
      </c>
      <c r="C35" s="80" t="s">
        <v>100</v>
      </c>
      <c r="D35" s="84">
        <f>400-150</f>
        <v>250</v>
      </c>
      <c r="E35" s="92">
        <v>21458435750.744999</v>
      </c>
      <c r="F35" s="82">
        <v>1891</v>
      </c>
      <c r="G35" s="82">
        <v>16</v>
      </c>
      <c r="H35" s="82">
        <f>F35-G35</f>
        <v>1875</v>
      </c>
      <c r="I35" s="82">
        <f>F35+G35</f>
        <v>1907</v>
      </c>
      <c r="J35" s="82">
        <v>0.1</v>
      </c>
      <c r="K35" s="104" t="s">
        <v>297</v>
      </c>
      <c r="L35" s="204" t="s">
        <v>586</v>
      </c>
    </row>
    <row r="36" spans="1:17">
      <c r="A36" s="80" t="s">
        <v>504</v>
      </c>
      <c r="B36" s="80" t="s">
        <v>506</v>
      </c>
      <c r="C36" s="80" t="s">
        <v>509</v>
      </c>
      <c r="D36" s="84"/>
      <c r="E36" s="90"/>
      <c r="F36" s="82"/>
      <c r="G36" s="82"/>
      <c r="H36" s="82"/>
      <c r="I36" s="82"/>
      <c r="J36" s="88"/>
      <c r="K36" s="104" t="s">
        <v>508</v>
      </c>
      <c r="L36" s="105" t="s">
        <v>505</v>
      </c>
    </row>
    <row r="37" spans="1:17">
      <c r="E37" s="85"/>
    </row>
    <row r="38" spans="1:17">
      <c r="A38" s="77" t="s">
        <v>391</v>
      </c>
      <c r="E38" s="85"/>
    </row>
    <row r="39" spans="1:17">
      <c r="E39" s="85"/>
    </row>
    <row r="40" spans="1:17">
      <c r="E40" s="77"/>
    </row>
    <row r="41" spans="1:17">
      <c r="E41" s="77"/>
    </row>
    <row r="42" spans="1:17" ht="19">
      <c r="A42" s="197" t="s">
        <v>551</v>
      </c>
      <c r="E42" s="102"/>
    </row>
    <row r="43" spans="1:17" ht="19">
      <c r="A43" s="198"/>
      <c r="E43" s="102"/>
    </row>
    <row r="44" spans="1:17" ht="19">
      <c r="A44" s="202" t="s">
        <v>554</v>
      </c>
      <c r="E44" s="102"/>
    </row>
    <row r="45" spans="1:17" ht="19">
      <c r="A45" s="202" t="s">
        <v>594</v>
      </c>
      <c r="E45" s="102"/>
    </row>
    <row r="46" spans="1:17" ht="19">
      <c r="A46" s="202" t="s">
        <v>595</v>
      </c>
      <c r="E46" s="102"/>
    </row>
    <row r="47" spans="1:17" ht="19">
      <c r="A47" s="200" t="s">
        <v>596</v>
      </c>
      <c r="E47" s="102"/>
    </row>
    <row r="48" spans="1:17" ht="16">
      <c r="A48" s="202" t="s">
        <v>597</v>
      </c>
    </row>
    <row r="49" spans="1:1" ht="16">
      <c r="A49" s="202" t="s">
        <v>598</v>
      </c>
    </row>
    <row r="50" spans="1:1" ht="16">
      <c r="A50" s="200" t="s">
        <v>587</v>
      </c>
    </row>
    <row r="51" spans="1:1" ht="16">
      <c r="A51" s="200" t="s">
        <v>590</v>
      </c>
    </row>
    <row r="52" spans="1:1" ht="16">
      <c r="A52" s="200" t="s">
        <v>542</v>
      </c>
    </row>
    <row r="53" spans="1:1" ht="16">
      <c r="A53" s="200" t="s">
        <v>599</v>
      </c>
    </row>
    <row r="54" spans="1:1" ht="16">
      <c r="A54" s="200" t="s">
        <v>600</v>
      </c>
    </row>
    <row r="55" spans="1:1" ht="16">
      <c r="A55" s="200" t="s">
        <v>601</v>
      </c>
    </row>
    <row r="56" spans="1:1" ht="16">
      <c r="A56" s="200" t="s">
        <v>537</v>
      </c>
    </row>
    <row r="57" spans="1:1" ht="16">
      <c r="A57" s="200" t="s">
        <v>602</v>
      </c>
    </row>
    <row r="58" spans="1:1" ht="16">
      <c r="A58" s="200" t="s">
        <v>603</v>
      </c>
    </row>
    <row r="59" spans="1:1" ht="16">
      <c r="A59" s="200" t="s">
        <v>604</v>
      </c>
    </row>
    <row r="60" spans="1:1" ht="16">
      <c r="A60" s="200" t="s">
        <v>605</v>
      </c>
    </row>
    <row r="61" spans="1:1" ht="16">
      <c r="A61" s="200" t="s">
        <v>606</v>
      </c>
    </row>
    <row r="62" spans="1:1" ht="16">
      <c r="A62" s="200" t="s">
        <v>607</v>
      </c>
    </row>
    <row r="63" spans="1:1" ht="16">
      <c r="A63" s="200" t="s">
        <v>564</v>
      </c>
    </row>
    <row r="64" spans="1:1" ht="16">
      <c r="A64" s="200" t="s">
        <v>608</v>
      </c>
    </row>
    <row r="65" spans="1:1" ht="16">
      <c r="A65" s="200" t="s">
        <v>609</v>
      </c>
    </row>
    <row r="66" spans="1:1" ht="16">
      <c r="A66" s="200" t="s">
        <v>576</v>
      </c>
    </row>
    <row r="67" spans="1:1" ht="16">
      <c r="A67" s="200" t="s">
        <v>577</v>
      </c>
    </row>
    <row r="68" spans="1:1" ht="16">
      <c r="A68" s="200" t="s">
        <v>546</v>
      </c>
    </row>
    <row r="69" spans="1:1" ht="16">
      <c r="A69" s="200" t="s">
        <v>610</v>
      </c>
    </row>
    <row r="70" spans="1:1" ht="16">
      <c r="A70" s="200" t="s">
        <v>513</v>
      </c>
    </row>
    <row r="71" spans="1:1" ht="16">
      <c r="A71" s="200" t="s">
        <v>611</v>
      </c>
    </row>
    <row r="72" spans="1:1" ht="16">
      <c r="A72" s="200" t="s">
        <v>612</v>
      </c>
    </row>
    <row r="73" spans="1:1" ht="16">
      <c r="A73" s="200" t="s">
        <v>613</v>
      </c>
    </row>
    <row r="74" spans="1:1" ht="16">
      <c r="A74" s="200" t="s">
        <v>614</v>
      </c>
    </row>
    <row r="75" spans="1:1" ht="16">
      <c r="A75" s="200" t="s">
        <v>615</v>
      </c>
    </row>
    <row r="76" spans="1:1" ht="16">
      <c r="A76" s="200" t="s">
        <v>578</v>
      </c>
    </row>
    <row r="77" spans="1:1" ht="16">
      <c r="A77" s="200" t="s">
        <v>574</v>
      </c>
    </row>
    <row r="78" spans="1:1" ht="16">
      <c r="A78" s="200" t="s">
        <v>579</v>
      </c>
    </row>
    <row r="79" spans="1:1" ht="16">
      <c r="A79" s="200" t="s">
        <v>616</v>
      </c>
    </row>
    <row r="80" spans="1:1" ht="16">
      <c r="A80" s="200" t="s">
        <v>617</v>
      </c>
    </row>
    <row r="81" spans="1:1" ht="16">
      <c r="A81" s="200" t="s">
        <v>618</v>
      </c>
    </row>
    <row r="82" spans="1:1" ht="16">
      <c r="A82" s="202" t="s">
        <v>619</v>
      </c>
    </row>
    <row r="83" spans="1:1" ht="16">
      <c r="A83" s="200" t="s">
        <v>580</v>
      </c>
    </row>
    <row r="84" spans="1:1" ht="16">
      <c r="A84" s="200" t="s">
        <v>514</v>
      </c>
    </row>
    <row r="85" spans="1:1" ht="17" customHeight="1">
      <c r="A85" s="200" t="s">
        <v>552</v>
      </c>
    </row>
    <row r="86" spans="1:1" ht="16">
      <c r="A86" s="200" t="s">
        <v>515</v>
      </c>
    </row>
    <row r="87" spans="1:1" ht="16">
      <c r="A87" s="200" t="s">
        <v>572</v>
      </c>
    </row>
    <row r="88" spans="1:1" ht="16">
      <c r="A88" s="200" t="s">
        <v>620</v>
      </c>
    </row>
    <row r="89" spans="1:1" ht="16">
      <c r="A89" s="200" t="s">
        <v>585</v>
      </c>
    </row>
    <row r="90" spans="1:1" ht="16">
      <c r="A90" s="200" t="s">
        <v>621</v>
      </c>
    </row>
    <row r="91" spans="1:1" ht="16">
      <c r="A91" s="200" t="s">
        <v>555</v>
      </c>
    </row>
    <row r="92" spans="1:1" ht="16">
      <c r="A92" s="200" t="s">
        <v>622</v>
      </c>
    </row>
    <row r="93" spans="1:1" ht="16">
      <c r="A93" s="200" t="s">
        <v>623</v>
      </c>
    </row>
    <row r="94" spans="1:1" ht="16">
      <c r="A94" s="200" t="s">
        <v>624</v>
      </c>
    </row>
    <row r="95" spans="1:1" ht="16">
      <c r="A95" s="200" t="s">
        <v>625</v>
      </c>
    </row>
    <row r="96" spans="1:1" ht="16">
      <c r="A96" s="200" t="s">
        <v>626</v>
      </c>
    </row>
    <row r="97" spans="1:1" ht="16">
      <c r="A97" s="200" t="s">
        <v>627</v>
      </c>
    </row>
    <row r="98" spans="1:1" ht="16">
      <c r="A98" s="200" t="s">
        <v>628</v>
      </c>
    </row>
    <row r="99" spans="1:1" ht="16">
      <c r="A99" s="200" t="s">
        <v>629</v>
      </c>
    </row>
    <row r="100" spans="1:1" ht="16">
      <c r="A100" s="200" t="s">
        <v>516</v>
      </c>
    </row>
    <row r="101" spans="1:1" ht="16">
      <c r="A101" s="200" t="s">
        <v>630</v>
      </c>
    </row>
    <row r="102" spans="1:1" ht="16">
      <c r="A102" t="s">
        <v>689</v>
      </c>
    </row>
    <row r="103" spans="1:1" ht="16">
      <c r="A103" s="200" t="s">
        <v>631</v>
      </c>
    </row>
    <row r="104" spans="1:1" ht="16">
      <c r="A104" s="200" t="s">
        <v>593</v>
      </c>
    </row>
    <row r="105" spans="1:1" ht="16">
      <c r="A105" s="200" t="s">
        <v>588</v>
      </c>
    </row>
    <row r="106" spans="1:1" ht="16">
      <c r="A106" s="200" t="s">
        <v>632</v>
      </c>
    </row>
    <row r="107" spans="1:1" ht="16">
      <c r="A107" s="200" t="s">
        <v>633</v>
      </c>
    </row>
    <row r="108" spans="1:1" ht="16">
      <c r="A108" s="200" t="s">
        <v>634</v>
      </c>
    </row>
    <row r="109" spans="1:1" ht="16">
      <c r="A109" s="200" t="s">
        <v>635</v>
      </c>
    </row>
    <row r="110" spans="1:1" ht="16">
      <c r="A110" s="200" t="s">
        <v>636</v>
      </c>
    </row>
    <row r="111" spans="1:1" ht="16">
      <c r="A111" s="200" t="s">
        <v>637</v>
      </c>
    </row>
    <row r="112" spans="1:1" ht="16">
      <c r="A112" s="200" t="s">
        <v>638</v>
      </c>
    </row>
    <row r="113" spans="1:1" ht="16">
      <c r="A113" s="200" t="s">
        <v>639</v>
      </c>
    </row>
    <row r="114" spans="1:1" ht="16">
      <c r="A114" s="200" t="s">
        <v>640</v>
      </c>
    </row>
    <row r="115" spans="1:1" ht="16">
      <c r="A115" s="200" t="s">
        <v>641</v>
      </c>
    </row>
    <row r="116" spans="1:1" ht="16">
      <c r="A116" s="200" t="s">
        <v>642</v>
      </c>
    </row>
    <row r="117" spans="1:1" ht="16">
      <c r="A117" s="200" t="s">
        <v>643</v>
      </c>
    </row>
    <row r="118" spans="1:1" ht="16">
      <c r="A118" s="200" t="s">
        <v>644</v>
      </c>
    </row>
    <row r="119" spans="1:1" ht="16">
      <c r="A119" s="200" t="s">
        <v>581</v>
      </c>
    </row>
    <row r="120" spans="1:1" ht="16">
      <c r="A120" s="200" t="s">
        <v>645</v>
      </c>
    </row>
    <row r="121" spans="1:1" ht="16">
      <c r="A121" s="200" t="s">
        <v>646</v>
      </c>
    </row>
    <row r="122" spans="1:1" ht="16">
      <c r="A122" s="200" t="s">
        <v>647</v>
      </c>
    </row>
    <row r="123" spans="1:1" ht="16">
      <c r="A123" s="200" t="s">
        <v>648</v>
      </c>
    </row>
    <row r="124" spans="1:1" ht="16">
      <c r="A124" s="200" t="s">
        <v>649</v>
      </c>
    </row>
    <row r="125" spans="1:1" ht="16">
      <c r="A125" s="200" t="s">
        <v>650</v>
      </c>
    </row>
    <row r="126" spans="1:1" ht="14" customHeight="1">
      <c r="A126" s="200" t="s">
        <v>651</v>
      </c>
    </row>
    <row r="127" spans="1:1" ht="16">
      <c r="A127" s="200" t="s">
        <v>652</v>
      </c>
    </row>
    <row r="128" spans="1:1" ht="16">
      <c r="A128" s="200" t="s">
        <v>653</v>
      </c>
    </row>
    <row r="129" spans="1:1" ht="14" customHeight="1">
      <c r="A129" s="200" t="s">
        <v>654</v>
      </c>
    </row>
    <row r="130" spans="1:1" ht="16">
      <c r="A130" s="200" t="s">
        <v>655</v>
      </c>
    </row>
    <row r="131" spans="1:1" ht="16">
      <c r="A131" s="200" t="s">
        <v>523</v>
      </c>
    </row>
    <row r="132" spans="1:1" ht="16">
      <c r="A132" s="200" t="s">
        <v>656</v>
      </c>
    </row>
    <row r="133" spans="1:1" ht="14" customHeight="1">
      <c r="A133" s="200" t="s">
        <v>524</v>
      </c>
    </row>
    <row r="134" spans="1:1" ht="14" customHeight="1">
      <c r="A134" s="200" t="s">
        <v>657</v>
      </c>
    </row>
    <row r="135" spans="1:1" ht="16">
      <c r="A135" s="200" t="s">
        <v>658</v>
      </c>
    </row>
    <row r="136" spans="1:1" ht="16">
      <c r="A136" s="200" t="s">
        <v>659</v>
      </c>
    </row>
    <row r="137" spans="1:1" ht="16">
      <c r="A137" s="200" t="s">
        <v>519</v>
      </c>
    </row>
    <row r="138" spans="1:1" ht="16">
      <c r="A138" s="200" t="s">
        <v>567</v>
      </c>
    </row>
    <row r="139" spans="1:1" ht="16">
      <c r="A139" s="200" t="s">
        <v>660</v>
      </c>
    </row>
    <row r="140" spans="1:1" ht="16">
      <c r="A140" s="200" t="s">
        <v>661</v>
      </c>
    </row>
    <row r="141" spans="1:1" ht="16">
      <c r="A141" s="200" t="s">
        <v>662</v>
      </c>
    </row>
    <row r="142" spans="1:1" ht="16">
      <c r="A142" s="200" t="s">
        <v>663</v>
      </c>
    </row>
    <row r="143" spans="1:1" ht="16">
      <c r="A143" s="200" t="s">
        <v>520</v>
      </c>
    </row>
    <row r="144" spans="1:1" ht="16">
      <c r="A144" s="200" t="s">
        <v>664</v>
      </c>
    </row>
    <row r="145" spans="1:5" ht="16">
      <c r="A145" s="200" t="s">
        <v>665</v>
      </c>
    </row>
    <row r="146" spans="1:5" ht="16">
      <c r="A146" s="200" t="s">
        <v>556</v>
      </c>
    </row>
    <row r="147" spans="1:5" ht="16">
      <c r="A147" s="200" t="s">
        <v>243</v>
      </c>
    </row>
    <row r="148" spans="1:5" ht="16">
      <c r="A148" s="200" t="s">
        <v>666</v>
      </c>
    </row>
    <row r="149" spans="1:5" ht="16">
      <c r="A149" s="200" t="s">
        <v>667</v>
      </c>
    </row>
    <row r="150" spans="1:5" ht="16">
      <c r="A150" s="200" t="s">
        <v>668</v>
      </c>
      <c r="E150" s="77"/>
    </row>
    <row r="151" spans="1:5" ht="16">
      <c r="A151" s="200" t="s">
        <v>521</v>
      </c>
      <c r="E151" s="77"/>
    </row>
    <row r="152" spans="1:5" ht="16">
      <c r="A152" s="200" t="s">
        <v>592</v>
      </c>
      <c r="E152" s="77"/>
    </row>
    <row r="153" spans="1:5" ht="16">
      <c r="A153" s="200" t="s">
        <v>669</v>
      </c>
      <c r="E153" s="77"/>
    </row>
    <row r="154" spans="1:5" ht="16">
      <c r="A154" s="200" t="s">
        <v>670</v>
      </c>
      <c r="E154" s="77"/>
    </row>
    <row r="155" spans="1:5" ht="16">
      <c r="A155" s="200" t="s">
        <v>671</v>
      </c>
      <c r="E155" s="77"/>
    </row>
    <row r="156" spans="1:5" ht="16">
      <c r="A156" s="200" t="s">
        <v>672</v>
      </c>
      <c r="E156" s="77"/>
    </row>
    <row r="157" spans="1:5" ht="16">
      <c r="A157" s="200" t="s">
        <v>673</v>
      </c>
      <c r="E157" s="77"/>
    </row>
    <row r="158" spans="1:5" ht="16">
      <c r="A158" s="200" t="s">
        <v>525</v>
      </c>
      <c r="E158" s="77"/>
    </row>
    <row r="159" spans="1:5" ht="16">
      <c r="A159" s="200" t="s">
        <v>674</v>
      </c>
      <c r="E159" s="77"/>
    </row>
    <row r="160" spans="1:5" ht="16">
      <c r="A160" s="200" t="s">
        <v>675</v>
      </c>
      <c r="E160" s="77"/>
    </row>
    <row r="161" spans="1:5" ht="16">
      <c r="A161" s="200" t="s">
        <v>676</v>
      </c>
      <c r="E161" s="77"/>
    </row>
    <row r="162" spans="1:5" ht="16">
      <c r="A162" s="200" t="s">
        <v>677</v>
      </c>
      <c r="E162" s="77"/>
    </row>
    <row r="163" spans="1:5" ht="16">
      <c r="A163" s="200" t="s">
        <v>678</v>
      </c>
      <c r="E163" s="77"/>
    </row>
    <row r="164" spans="1:5" ht="16">
      <c r="A164" s="200" t="s">
        <v>679</v>
      </c>
      <c r="E164" s="77"/>
    </row>
    <row r="165" spans="1:5" ht="16">
      <c r="A165" s="200" t="s">
        <v>680</v>
      </c>
      <c r="E165" s="77"/>
    </row>
    <row r="166" spans="1:5" ht="16">
      <c r="A166" s="200" t="s">
        <v>681</v>
      </c>
      <c r="E166" s="77"/>
    </row>
    <row r="167" spans="1:5" ht="16">
      <c r="A167" s="200" t="s">
        <v>682</v>
      </c>
      <c r="E167" s="77"/>
    </row>
    <row r="168" spans="1:5" ht="16">
      <c r="A168" s="200" t="s">
        <v>683</v>
      </c>
    </row>
    <row r="169" spans="1:5" ht="16">
      <c r="A169" s="200" t="s">
        <v>684</v>
      </c>
    </row>
    <row r="170" spans="1:5">
      <c r="A170" s="194"/>
    </row>
    <row r="171" spans="1:5">
      <c r="A171" s="97"/>
    </row>
    <row r="172" spans="1:5" ht="16">
      <c r="A172"/>
    </row>
    <row r="173" spans="1:5">
      <c r="A173" s="194"/>
    </row>
    <row r="174" spans="1:5">
      <c r="A174" s="194"/>
    </row>
    <row r="175" spans="1:5" ht="16">
      <c r="A175"/>
    </row>
    <row r="176" spans="1:5" ht="16">
      <c r="A176"/>
    </row>
    <row r="177" spans="1:1" ht="16">
      <c r="A177"/>
    </row>
    <row r="178" spans="1:1" ht="16">
      <c r="A178"/>
    </row>
    <row r="179" spans="1:1">
      <c r="A179" s="195"/>
    </row>
    <row r="180" spans="1:1">
      <c r="A180" s="194"/>
    </row>
    <row r="181" spans="1:1">
      <c r="A181" s="199"/>
    </row>
    <row r="182" spans="1:1">
      <c r="A182" s="195"/>
    </row>
    <row r="183" spans="1:1">
      <c r="A183" s="195"/>
    </row>
    <row r="184" spans="1:1">
      <c r="A184" s="195"/>
    </row>
    <row r="185" spans="1:1" ht="16">
      <c r="A185"/>
    </row>
    <row r="186" spans="1:1">
      <c r="A186" s="195"/>
    </row>
    <row r="187" spans="1:1">
      <c r="A187" s="194"/>
    </row>
    <row r="188" spans="1:1">
      <c r="A188" s="91"/>
    </row>
    <row r="189" spans="1:1">
      <c r="A189" s="91"/>
    </row>
    <row r="190" spans="1:1">
      <c r="A190" s="196"/>
    </row>
    <row r="191" spans="1:1" ht="16">
      <c r="A191"/>
    </row>
    <row r="192" spans="1:1">
      <c r="A192" s="198"/>
    </row>
    <row r="193" spans="1:1" ht="16">
      <c r="A193"/>
    </row>
    <row r="194" spans="1:1" ht="16">
      <c r="A194"/>
    </row>
    <row r="195" spans="1:1" ht="16">
      <c r="A195"/>
    </row>
    <row r="196" spans="1:1" ht="16">
      <c r="A196"/>
    </row>
    <row r="197" spans="1:1" ht="16">
      <c r="A197"/>
    </row>
    <row r="198" spans="1:1" ht="16">
      <c r="A198"/>
    </row>
    <row r="199" spans="1:1" ht="16">
      <c r="A199"/>
    </row>
    <row r="200" spans="1:1" ht="16">
      <c r="A200"/>
    </row>
    <row r="201" spans="1:1" ht="16">
      <c r="A201"/>
    </row>
    <row r="202" spans="1:1" ht="16">
      <c r="A202"/>
    </row>
    <row r="203" spans="1:1" ht="16">
      <c r="A203"/>
    </row>
    <row r="204" spans="1:1" ht="16">
      <c r="A204"/>
    </row>
    <row r="205" spans="1:1" ht="16">
      <c r="A205"/>
    </row>
    <row r="206" spans="1:1" ht="16">
      <c r="A206"/>
    </row>
  </sheetData>
  <sortState xmlns:xlrd2="http://schemas.microsoft.com/office/spreadsheetml/2017/richdata2" ref="A44:A189">
    <sortCondition ref="A189"/>
  </sortState>
  <hyperlinks>
    <hyperlink ref="N22" r:id="rId1" xr:uid="{42090443-6AD1-4247-974A-44D0235F52D6}"/>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C8E9-0C0F-434C-A69B-577BA8CB8241}">
  <dimension ref="A1:AT85"/>
  <sheetViews>
    <sheetView zoomScale="87" zoomScaleNormal="87" workbookViewId="0">
      <selection activeCell="AY91" sqref="AY91"/>
    </sheetView>
  </sheetViews>
  <sheetFormatPr baseColWidth="10" defaultRowHeight="16"/>
  <cols>
    <col min="4" max="5" width="10.83203125" style="75"/>
    <col min="30" max="32" width="0" hidden="1" customWidth="1"/>
  </cols>
  <sheetData>
    <row r="1" spans="1:35" ht="34">
      <c r="A1" s="118" t="s">
        <v>386</v>
      </c>
      <c r="B1" s="117" t="s">
        <v>385</v>
      </c>
      <c r="C1" s="126" t="s">
        <v>384</v>
      </c>
      <c r="D1" s="114" t="s">
        <v>383</v>
      </c>
      <c r="E1" s="114" t="s">
        <v>125</v>
      </c>
      <c r="F1" s="117" t="s">
        <v>387</v>
      </c>
      <c r="G1" s="117" t="s">
        <v>388</v>
      </c>
      <c r="J1" s="118" t="s">
        <v>386</v>
      </c>
      <c r="K1" s="114" t="s">
        <v>384</v>
      </c>
      <c r="L1" s="126" t="s">
        <v>383</v>
      </c>
      <c r="M1" s="114" t="s">
        <v>125</v>
      </c>
      <c r="N1" s="117" t="s">
        <v>387</v>
      </c>
      <c r="O1" s="117" t="s">
        <v>388</v>
      </c>
      <c r="R1" s="118" t="s">
        <v>386</v>
      </c>
      <c r="S1" s="114" t="s">
        <v>384</v>
      </c>
      <c r="T1" s="114" t="s">
        <v>383</v>
      </c>
      <c r="U1" s="126" t="s">
        <v>125</v>
      </c>
      <c r="V1" s="117" t="s">
        <v>387</v>
      </c>
      <c r="W1" s="117" t="s">
        <v>388</v>
      </c>
      <c r="Z1" s="113" t="s">
        <v>218</v>
      </c>
      <c r="AA1" s="55"/>
      <c r="AB1" s="55"/>
      <c r="AC1" s="55"/>
      <c r="AD1" s="55"/>
      <c r="AE1" s="55"/>
      <c r="AF1" s="55"/>
    </row>
    <row r="2" spans="1:35">
      <c r="A2" s="120" t="s">
        <v>328</v>
      </c>
      <c r="B2" s="121" t="s">
        <v>302</v>
      </c>
      <c r="C2" s="121">
        <f>(D2+E2)/2</f>
        <v>1860</v>
      </c>
      <c r="D2" s="121">
        <v>1880</v>
      </c>
      <c r="E2" s="121">
        <v>1840</v>
      </c>
      <c r="F2" s="123">
        <v>0.04</v>
      </c>
      <c r="G2" s="122">
        <f t="shared" ref="G2:G40" si="0">F2*10^6</f>
        <v>40000</v>
      </c>
      <c r="H2">
        <f>G2+H3</f>
        <v>6990000</v>
      </c>
      <c r="J2" s="120" t="s">
        <v>327</v>
      </c>
      <c r="K2" s="121">
        <v>1870</v>
      </c>
      <c r="L2" s="121">
        <v>1870</v>
      </c>
      <c r="M2" s="121">
        <v>1870</v>
      </c>
      <c r="N2" s="123">
        <v>0.57999999999999996</v>
      </c>
      <c r="O2" s="122">
        <f t="shared" ref="O2:O40" si="1">N2*10^6</f>
        <v>580000</v>
      </c>
      <c r="P2">
        <f t="shared" ref="P2:P38" si="2">O2+P3</f>
        <v>6990000</v>
      </c>
      <c r="R2" s="120" t="s">
        <v>328</v>
      </c>
      <c r="S2" s="121">
        <f>(T2+U2)/2</f>
        <v>1860</v>
      </c>
      <c r="T2" s="121">
        <v>1880</v>
      </c>
      <c r="U2" s="121">
        <v>1840</v>
      </c>
      <c r="V2" s="123">
        <v>0.04</v>
      </c>
      <c r="W2" s="122">
        <f t="shared" ref="W2:W40" si="3">V2*10^6</f>
        <v>40000</v>
      </c>
      <c r="X2">
        <f t="shared" ref="X2:X38" si="4">W2+X3</f>
        <v>6990000</v>
      </c>
      <c r="Z2" s="201" t="s">
        <v>127</v>
      </c>
      <c r="AA2" s="201"/>
      <c r="AB2" s="201"/>
      <c r="AC2" s="56"/>
      <c r="AD2" s="56"/>
      <c r="AE2" s="56"/>
      <c r="AF2" s="56"/>
    </row>
    <row r="3" spans="1:35" ht="17" thickBot="1">
      <c r="A3" s="120" t="s">
        <v>327</v>
      </c>
      <c r="B3" s="121">
        <v>1870</v>
      </c>
      <c r="C3" s="121">
        <v>1870</v>
      </c>
      <c r="D3" s="121">
        <v>1870</v>
      </c>
      <c r="E3" s="121">
        <v>1870</v>
      </c>
      <c r="F3" s="123">
        <v>0.57999999999999996</v>
      </c>
      <c r="G3" s="122">
        <f t="shared" si="0"/>
        <v>580000</v>
      </c>
      <c r="H3">
        <f t="shared" ref="H3:H7" si="5">G3+H4</f>
        <v>6950000</v>
      </c>
      <c r="J3" s="120" t="s">
        <v>328</v>
      </c>
      <c r="K3" s="121">
        <f>(L3+M3)/2</f>
        <v>1860</v>
      </c>
      <c r="L3" s="121">
        <v>1880</v>
      </c>
      <c r="M3" s="121">
        <v>1840</v>
      </c>
      <c r="N3" s="123">
        <v>0.04</v>
      </c>
      <c r="O3" s="122">
        <f t="shared" si="1"/>
        <v>40000</v>
      </c>
      <c r="P3">
        <f t="shared" si="2"/>
        <v>6410000</v>
      </c>
      <c r="R3" s="120" t="s">
        <v>327</v>
      </c>
      <c r="S3" s="121">
        <v>1870</v>
      </c>
      <c r="T3" s="121">
        <v>1870</v>
      </c>
      <c r="U3" s="121">
        <v>1870</v>
      </c>
      <c r="V3" s="123">
        <v>0.57999999999999996</v>
      </c>
      <c r="W3" s="122">
        <f t="shared" si="3"/>
        <v>580000</v>
      </c>
      <c r="X3">
        <f t="shared" si="4"/>
        <v>6950000</v>
      </c>
      <c r="Z3" s="57"/>
      <c r="AA3" s="57"/>
      <c r="AB3" s="57"/>
      <c r="AC3" s="57"/>
      <c r="AD3" s="57"/>
      <c r="AE3" s="57"/>
      <c r="AF3" s="57"/>
    </row>
    <row r="4" spans="1:35">
      <c r="A4" s="120" t="s">
        <v>329</v>
      </c>
      <c r="B4" s="121" t="s">
        <v>303</v>
      </c>
      <c r="C4" s="121">
        <f>(D4+E4)/2</f>
        <v>1877.5</v>
      </c>
      <c r="D4" s="121">
        <v>1885</v>
      </c>
      <c r="E4" s="121">
        <v>1870</v>
      </c>
      <c r="F4" s="123">
        <v>0.2</v>
      </c>
      <c r="G4" s="122">
        <f t="shared" si="0"/>
        <v>200000</v>
      </c>
      <c r="H4">
        <f t="shared" si="5"/>
        <v>6370000</v>
      </c>
      <c r="J4" s="120" t="s">
        <v>331</v>
      </c>
      <c r="K4" s="121">
        <v>1880</v>
      </c>
      <c r="L4" s="121">
        <f>K4</f>
        <v>1880</v>
      </c>
      <c r="M4" s="121">
        <f>K4</f>
        <v>1880</v>
      </c>
      <c r="N4" s="123">
        <v>0.18</v>
      </c>
      <c r="O4" s="122">
        <f t="shared" si="1"/>
        <v>180000</v>
      </c>
      <c r="P4">
        <f t="shared" si="2"/>
        <v>6370000</v>
      </c>
      <c r="R4" s="120" t="s">
        <v>329</v>
      </c>
      <c r="S4" s="121">
        <f>(T4+U4)/2</f>
        <v>1877.5</v>
      </c>
      <c r="T4" s="121">
        <v>1885</v>
      </c>
      <c r="U4" s="121">
        <v>1870</v>
      </c>
      <c r="V4" s="123">
        <v>0.2</v>
      </c>
      <c r="W4" s="122">
        <f t="shared" si="3"/>
        <v>200000</v>
      </c>
      <c r="X4">
        <f t="shared" si="4"/>
        <v>6370000</v>
      </c>
      <c r="Z4" s="113" t="s">
        <v>128</v>
      </c>
      <c r="AA4" s="58" t="s">
        <v>129</v>
      </c>
      <c r="AB4" s="113" t="s">
        <v>130</v>
      </c>
      <c r="AC4" s="113" t="s">
        <v>131</v>
      </c>
      <c r="AD4" s="113" t="s">
        <v>132</v>
      </c>
      <c r="AE4" s="113" t="s">
        <v>133</v>
      </c>
      <c r="AF4" s="113" t="s">
        <v>134</v>
      </c>
    </row>
    <row r="5" spans="1:35" ht="19">
      <c r="A5" s="120" t="s">
        <v>330</v>
      </c>
      <c r="B5" s="121" t="s">
        <v>304</v>
      </c>
      <c r="C5" s="121">
        <f>(D5+E5)/2</f>
        <v>1880</v>
      </c>
      <c r="D5" s="121">
        <v>1890</v>
      </c>
      <c r="E5" s="121">
        <v>1870</v>
      </c>
      <c r="F5" s="123">
        <v>0.21</v>
      </c>
      <c r="G5" s="122">
        <f t="shared" si="0"/>
        <v>210000</v>
      </c>
      <c r="H5">
        <f t="shared" si="5"/>
        <v>6170000</v>
      </c>
      <c r="J5" s="120" t="s">
        <v>335</v>
      </c>
      <c r="K5" s="121">
        <v>1880</v>
      </c>
      <c r="L5" s="121">
        <f>K5</f>
        <v>1880</v>
      </c>
      <c r="M5" s="121">
        <f>K5</f>
        <v>1880</v>
      </c>
      <c r="N5" s="123">
        <v>1.5</v>
      </c>
      <c r="O5" s="122">
        <f t="shared" si="1"/>
        <v>1500000</v>
      </c>
      <c r="P5">
        <f t="shared" si="2"/>
        <v>6190000</v>
      </c>
      <c r="R5" s="120" t="s">
        <v>330</v>
      </c>
      <c r="S5" s="121">
        <f>(T5+U5)/2</f>
        <v>1880</v>
      </c>
      <c r="T5" s="121">
        <v>1890</v>
      </c>
      <c r="U5" s="121">
        <v>1870</v>
      </c>
      <c r="V5" s="123">
        <v>0.21</v>
      </c>
      <c r="W5" s="122">
        <f t="shared" si="3"/>
        <v>210000</v>
      </c>
      <c r="X5">
        <f t="shared" si="4"/>
        <v>6170000</v>
      </c>
      <c r="Z5" s="55"/>
      <c r="AA5" s="58" t="s">
        <v>135</v>
      </c>
      <c r="AB5" s="55"/>
      <c r="AC5" s="113" t="s">
        <v>136</v>
      </c>
      <c r="AD5" s="113" t="s">
        <v>137</v>
      </c>
      <c r="AE5" s="113" t="s">
        <v>136</v>
      </c>
      <c r="AF5" s="113" t="s">
        <v>136</v>
      </c>
    </row>
    <row r="6" spans="1:35" ht="17" thickBot="1">
      <c r="A6" s="120" t="s">
        <v>331</v>
      </c>
      <c r="B6" s="121">
        <v>1880</v>
      </c>
      <c r="C6" s="121">
        <v>1880</v>
      </c>
      <c r="D6" s="121">
        <f>C6</f>
        <v>1880</v>
      </c>
      <c r="E6" s="121">
        <f>C6</f>
        <v>1880</v>
      </c>
      <c r="F6" s="123">
        <v>0.18</v>
      </c>
      <c r="G6" s="122">
        <f t="shared" si="0"/>
        <v>180000</v>
      </c>
      <c r="H6">
        <f t="shared" si="5"/>
        <v>5960000</v>
      </c>
      <c r="I6" s="21"/>
      <c r="J6" s="120" t="s">
        <v>329</v>
      </c>
      <c r="K6" s="121">
        <f>(L6+M6)/2</f>
        <v>1877.5</v>
      </c>
      <c r="L6" s="121">
        <v>1885</v>
      </c>
      <c r="M6" s="121">
        <v>1870</v>
      </c>
      <c r="N6" s="123">
        <v>0.2</v>
      </c>
      <c r="O6" s="122">
        <f t="shared" si="1"/>
        <v>200000</v>
      </c>
      <c r="P6">
        <f t="shared" si="2"/>
        <v>4690000</v>
      </c>
      <c r="R6" s="120" t="s">
        <v>339</v>
      </c>
      <c r="S6" s="121">
        <f>(T6+U6)/2</f>
        <v>1920</v>
      </c>
      <c r="T6" s="121">
        <f>1920+50</f>
        <v>1970</v>
      </c>
      <c r="U6" s="121">
        <f>1920-50</f>
        <v>1870</v>
      </c>
      <c r="V6" s="123">
        <v>7.0000000000000007E-2</v>
      </c>
      <c r="W6" s="122">
        <f t="shared" si="3"/>
        <v>70000</v>
      </c>
      <c r="X6">
        <f t="shared" si="4"/>
        <v>5960000</v>
      </c>
      <c r="Z6" s="59"/>
      <c r="AA6" s="59"/>
      <c r="AB6" s="59"/>
      <c r="AC6" s="59"/>
      <c r="AD6" s="59"/>
      <c r="AE6" s="59"/>
      <c r="AF6" s="59"/>
      <c r="AG6" t="s">
        <v>164</v>
      </c>
      <c r="AH6" t="s">
        <v>165</v>
      </c>
      <c r="AI6" t="s">
        <v>71</v>
      </c>
    </row>
    <row r="7" spans="1:35" ht="26">
      <c r="A7" s="120" t="s">
        <v>335</v>
      </c>
      <c r="B7" s="121">
        <v>1880</v>
      </c>
      <c r="C7" s="121">
        <v>1880</v>
      </c>
      <c r="D7" s="121">
        <f>C7</f>
        <v>1880</v>
      </c>
      <c r="E7" s="121">
        <f>C7</f>
        <v>1880</v>
      </c>
      <c r="F7" s="123">
        <v>1.5</v>
      </c>
      <c r="G7" s="122">
        <f t="shared" si="0"/>
        <v>1500000</v>
      </c>
      <c r="H7">
        <f t="shared" si="5"/>
        <v>5780000</v>
      </c>
      <c r="J7" s="120" t="s">
        <v>330</v>
      </c>
      <c r="K7" s="121">
        <f>(L7+M7)/2</f>
        <v>1880</v>
      </c>
      <c r="L7" s="121">
        <v>1890</v>
      </c>
      <c r="M7" s="121">
        <v>1870</v>
      </c>
      <c r="N7" s="123">
        <v>0.21</v>
      </c>
      <c r="O7" s="122">
        <f t="shared" si="1"/>
        <v>210000</v>
      </c>
      <c r="P7">
        <f t="shared" si="2"/>
        <v>4490000</v>
      </c>
      <c r="R7" s="120" t="s">
        <v>331</v>
      </c>
      <c r="S7" s="121">
        <v>1880</v>
      </c>
      <c r="T7" s="121">
        <f>S7</f>
        <v>1880</v>
      </c>
      <c r="U7" s="121">
        <f>S7</f>
        <v>1880</v>
      </c>
      <c r="V7" s="123">
        <v>0.18</v>
      </c>
      <c r="W7" s="122">
        <f t="shared" si="3"/>
        <v>180000</v>
      </c>
      <c r="X7">
        <f t="shared" si="4"/>
        <v>5890000</v>
      </c>
      <c r="Z7" s="113" t="s">
        <v>138</v>
      </c>
      <c r="AA7" s="113">
        <v>1822</v>
      </c>
      <c r="AB7" s="60">
        <v>42</v>
      </c>
      <c r="AC7" s="61">
        <v>737000</v>
      </c>
      <c r="AD7" s="113" t="s">
        <v>139</v>
      </c>
      <c r="AE7" s="61">
        <v>410000</v>
      </c>
      <c r="AF7" s="61">
        <v>737000</v>
      </c>
      <c r="AG7">
        <f>AA7-AB7</f>
        <v>1780</v>
      </c>
      <c r="AH7">
        <f>AA7+AB7</f>
        <v>1864</v>
      </c>
      <c r="AI7" s="62">
        <f t="shared" ref="AI7:AI21" si="6">AC7+AI8</f>
        <v>61743000</v>
      </c>
    </row>
    <row r="8" spans="1:35" ht="52">
      <c r="A8" s="120" t="s">
        <v>333</v>
      </c>
      <c r="B8" s="121">
        <v>1890</v>
      </c>
      <c r="C8" s="121">
        <v>1890</v>
      </c>
      <c r="D8" s="121">
        <f>C8</f>
        <v>1890</v>
      </c>
      <c r="E8" s="121">
        <f>C8</f>
        <v>1890</v>
      </c>
      <c r="F8" s="123">
        <v>0.18</v>
      </c>
      <c r="G8" s="122">
        <f t="shared" si="0"/>
        <v>180000</v>
      </c>
      <c r="H8">
        <f>G8+H9</f>
        <v>4280000</v>
      </c>
      <c r="I8" s="22"/>
      <c r="J8" s="120" t="s">
        <v>333</v>
      </c>
      <c r="K8" s="121">
        <v>1890</v>
      </c>
      <c r="L8" s="121">
        <f>K8</f>
        <v>1890</v>
      </c>
      <c r="M8" s="121">
        <f>K8</f>
        <v>1890</v>
      </c>
      <c r="N8" s="123">
        <v>0.18</v>
      </c>
      <c r="O8" s="122">
        <f t="shared" si="1"/>
        <v>180000</v>
      </c>
      <c r="P8">
        <f t="shared" si="2"/>
        <v>4280000</v>
      </c>
      <c r="R8" s="120" t="s">
        <v>335</v>
      </c>
      <c r="S8" s="121">
        <v>1880</v>
      </c>
      <c r="T8" s="121">
        <f>S8</f>
        <v>1880</v>
      </c>
      <c r="U8" s="121">
        <f>S8</f>
        <v>1880</v>
      </c>
      <c r="V8" s="123">
        <v>1.5</v>
      </c>
      <c r="W8" s="122">
        <f t="shared" si="3"/>
        <v>1500000</v>
      </c>
      <c r="X8">
        <f t="shared" si="4"/>
        <v>5710000</v>
      </c>
      <c r="Z8" s="113" t="s">
        <v>140</v>
      </c>
      <c r="AA8" s="113">
        <v>1882.8</v>
      </c>
      <c r="AB8" s="60">
        <v>2.2999999999999998</v>
      </c>
      <c r="AC8" s="61">
        <v>1060000</v>
      </c>
      <c r="AD8" s="113">
        <v>18</v>
      </c>
      <c r="AE8" s="61">
        <v>1060000</v>
      </c>
      <c r="AF8" s="61">
        <v>1060000</v>
      </c>
      <c r="AG8">
        <f t="shared" ref="AG8:AG23" si="7">AA8-AB8</f>
        <v>1880.5</v>
      </c>
      <c r="AH8">
        <f t="shared" ref="AH8:AH23" si="8">AA8+AB8</f>
        <v>1885.1</v>
      </c>
      <c r="AI8" s="62">
        <f t="shared" si="6"/>
        <v>61006000</v>
      </c>
    </row>
    <row r="9" spans="1:35" ht="26">
      <c r="A9" s="120" t="s">
        <v>338</v>
      </c>
      <c r="B9" s="121">
        <v>1900</v>
      </c>
      <c r="C9" s="121">
        <v>1900</v>
      </c>
      <c r="D9" s="121">
        <f>C9</f>
        <v>1900</v>
      </c>
      <c r="E9" s="121">
        <f>C9</f>
        <v>1900</v>
      </c>
      <c r="F9" s="123">
        <v>0.04</v>
      </c>
      <c r="G9" s="122">
        <f t="shared" si="0"/>
        <v>40000</v>
      </c>
      <c r="H9">
        <f t="shared" ref="H9:H18" si="9">G9+H10</f>
        <v>4100000</v>
      </c>
      <c r="J9" s="120" t="s">
        <v>338</v>
      </c>
      <c r="K9" s="121">
        <v>1900</v>
      </c>
      <c r="L9" s="121">
        <f>K9</f>
        <v>1900</v>
      </c>
      <c r="M9" s="121">
        <f>K9</f>
        <v>1900</v>
      </c>
      <c r="N9" s="123">
        <v>0.04</v>
      </c>
      <c r="O9" s="122">
        <f t="shared" si="1"/>
        <v>40000</v>
      </c>
      <c r="P9">
        <f t="shared" si="2"/>
        <v>4100000</v>
      </c>
      <c r="R9" s="120" t="s">
        <v>333</v>
      </c>
      <c r="S9" s="121">
        <v>1890</v>
      </c>
      <c r="T9" s="121">
        <f>S9</f>
        <v>1890</v>
      </c>
      <c r="U9" s="121">
        <f>S9</f>
        <v>1890</v>
      </c>
      <c r="V9" s="123">
        <v>0.18</v>
      </c>
      <c r="W9" s="122">
        <f t="shared" si="3"/>
        <v>180000</v>
      </c>
      <c r="X9">
        <f t="shared" si="4"/>
        <v>4210000</v>
      </c>
      <c r="Z9" s="113" t="s">
        <v>141</v>
      </c>
      <c r="AA9" s="113">
        <v>1890.5</v>
      </c>
      <c r="AB9" s="60">
        <v>2.5</v>
      </c>
      <c r="AC9" s="61">
        <v>2950000</v>
      </c>
      <c r="AD9" s="113">
        <v>19</v>
      </c>
      <c r="AE9" s="61">
        <v>2950000</v>
      </c>
      <c r="AF9" s="61">
        <v>2950000</v>
      </c>
      <c r="AG9">
        <f t="shared" si="7"/>
        <v>1888</v>
      </c>
      <c r="AH9">
        <f t="shared" si="8"/>
        <v>1893</v>
      </c>
      <c r="AI9" s="62">
        <f t="shared" si="6"/>
        <v>59946000</v>
      </c>
    </row>
    <row r="10" spans="1:35" ht="26">
      <c r="A10" s="120" t="s">
        <v>339</v>
      </c>
      <c r="B10" s="121" t="s">
        <v>307</v>
      </c>
      <c r="C10" s="121">
        <f>(D10+E10)/2</f>
        <v>1920</v>
      </c>
      <c r="D10" s="121">
        <f>1920+50</f>
        <v>1970</v>
      </c>
      <c r="E10" s="121">
        <f>1920-50</f>
        <v>1870</v>
      </c>
      <c r="F10" s="123">
        <v>7.0000000000000007E-2</v>
      </c>
      <c r="G10" s="122">
        <f t="shared" si="0"/>
        <v>70000</v>
      </c>
      <c r="H10">
        <f t="shared" si="9"/>
        <v>4060000</v>
      </c>
      <c r="I10" s="22"/>
      <c r="J10" s="120" t="s">
        <v>340</v>
      </c>
      <c r="K10" s="121">
        <f>(L10+M10)/2</f>
        <v>1920</v>
      </c>
      <c r="L10" s="121">
        <v>1930</v>
      </c>
      <c r="M10" s="121">
        <v>1910</v>
      </c>
      <c r="N10" s="123">
        <v>0.27</v>
      </c>
      <c r="O10" s="122">
        <f t="shared" si="1"/>
        <v>270000</v>
      </c>
      <c r="P10">
        <f t="shared" si="2"/>
        <v>4060000</v>
      </c>
      <c r="R10" s="120" t="s">
        <v>338</v>
      </c>
      <c r="S10" s="121">
        <v>1900</v>
      </c>
      <c r="T10" s="121">
        <f>S10</f>
        <v>1900</v>
      </c>
      <c r="U10" s="121">
        <f>S10</f>
        <v>1900</v>
      </c>
      <c r="V10" s="123">
        <v>0.04</v>
      </c>
      <c r="W10" s="122">
        <f t="shared" si="3"/>
        <v>40000</v>
      </c>
      <c r="X10">
        <f t="shared" si="4"/>
        <v>4030000</v>
      </c>
      <c r="Z10" s="113" t="s">
        <v>142</v>
      </c>
      <c r="AA10" s="113">
        <v>1975</v>
      </c>
      <c r="AB10" s="60">
        <v>24</v>
      </c>
      <c r="AC10" s="61">
        <v>42600000</v>
      </c>
      <c r="AD10" s="113" t="s">
        <v>143</v>
      </c>
      <c r="AE10" s="61">
        <v>42600000</v>
      </c>
      <c r="AF10" s="61">
        <v>42600000</v>
      </c>
      <c r="AG10">
        <f t="shared" si="7"/>
        <v>1951</v>
      </c>
      <c r="AH10">
        <f t="shared" si="8"/>
        <v>1999</v>
      </c>
      <c r="AI10" s="62">
        <f t="shared" si="6"/>
        <v>56996000</v>
      </c>
    </row>
    <row r="11" spans="1:35" ht="26">
      <c r="A11" s="120" t="s">
        <v>340</v>
      </c>
      <c r="B11" s="121" t="s">
        <v>308</v>
      </c>
      <c r="C11" s="121">
        <f>(D11+E11)/2</f>
        <v>1920</v>
      </c>
      <c r="D11" s="121">
        <v>1930</v>
      </c>
      <c r="E11" s="121">
        <v>1910</v>
      </c>
      <c r="F11" s="123">
        <v>0.27</v>
      </c>
      <c r="G11" s="122">
        <f t="shared" si="0"/>
        <v>270000</v>
      </c>
      <c r="H11">
        <f t="shared" si="9"/>
        <v>3990000</v>
      </c>
      <c r="I11" s="21"/>
      <c r="J11" s="120" t="s">
        <v>343</v>
      </c>
      <c r="K11" s="121">
        <f>(L11+M11)/2</f>
        <v>1945</v>
      </c>
      <c r="L11" s="121">
        <v>1960</v>
      </c>
      <c r="M11" s="121">
        <v>1930</v>
      </c>
      <c r="N11" s="123">
        <v>0.03</v>
      </c>
      <c r="O11" s="122">
        <f t="shared" si="1"/>
        <v>30000</v>
      </c>
      <c r="P11">
        <f t="shared" si="2"/>
        <v>3790000</v>
      </c>
      <c r="R11" s="120" t="s">
        <v>340</v>
      </c>
      <c r="S11" s="121">
        <f>(T11+U11)/2</f>
        <v>1920</v>
      </c>
      <c r="T11" s="121">
        <v>1930</v>
      </c>
      <c r="U11" s="121">
        <v>1910</v>
      </c>
      <c r="V11" s="123">
        <v>0.27</v>
      </c>
      <c r="W11" s="122">
        <f t="shared" si="3"/>
        <v>270000</v>
      </c>
      <c r="X11">
        <f t="shared" si="4"/>
        <v>3990000</v>
      </c>
      <c r="Z11" s="113" t="s">
        <v>144</v>
      </c>
      <c r="AA11" s="113">
        <v>2010</v>
      </c>
      <c r="AB11" s="60">
        <v>10</v>
      </c>
      <c r="AC11" s="61">
        <v>737000</v>
      </c>
      <c r="AD11" s="113" t="s">
        <v>145</v>
      </c>
      <c r="AE11" s="61">
        <v>737000</v>
      </c>
      <c r="AF11" s="61">
        <v>737000</v>
      </c>
      <c r="AG11">
        <f t="shared" si="7"/>
        <v>2000</v>
      </c>
      <c r="AH11">
        <f t="shared" si="8"/>
        <v>2020</v>
      </c>
      <c r="AI11" s="62">
        <f t="shared" si="6"/>
        <v>14396000</v>
      </c>
    </row>
    <row r="12" spans="1:35" ht="26">
      <c r="A12" s="120" t="s">
        <v>343</v>
      </c>
      <c r="B12" s="121" t="s">
        <v>309</v>
      </c>
      <c r="C12" s="121">
        <f>(D12+E12)/2</f>
        <v>1945</v>
      </c>
      <c r="D12" s="121">
        <v>1960</v>
      </c>
      <c r="E12" s="121">
        <v>1930</v>
      </c>
      <c r="F12" s="123">
        <v>0.03</v>
      </c>
      <c r="G12" s="122">
        <f t="shared" si="0"/>
        <v>30000</v>
      </c>
      <c r="H12">
        <f t="shared" si="9"/>
        <v>3720000</v>
      </c>
      <c r="I12" s="22"/>
      <c r="J12" s="120" t="s">
        <v>339</v>
      </c>
      <c r="K12" s="121">
        <f>(L12+M12)/2</f>
        <v>1920</v>
      </c>
      <c r="L12" s="121">
        <f>1920+50</f>
        <v>1970</v>
      </c>
      <c r="M12" s="121">
        <f>1920-50</f>
        <v>1870</v>
      </c>
      <c r="N12" s="123">
        <v>7.0000000000000007E-2</v>
      </c>
      <c r="O12" s="122">
        <f t="shared" si="1"/>
        <v>70000</v>
      </c>
      <c r="P12">
        <f t="shared" si="2"/>
        <v>3760000</v>
      </c>
      <c r="R12" s="120" t="s">
        <v>343</v>
      </c>
      <c r="S12" s="121">
        <f>(T12+U12)/2</f>
        <v>1945</v>
      </c>
      <c r="T12" s="121">
        <v>1960</v>
      </c>
      <c r="U12" s="121">
        <v>1930</v>
      </c>
      <c r="V12" s="123">
        <v>0.03</v>
      </c>
      <c r="W12" s="122">
        <f t="shared" si="3"/>
        <v>30000</v>
      </c>
      <c r="X12">
        <f t="shared" si="4"/>
        <v>3720000</v>
      </c>
      <c r="Z12" s="113" t="s">
        <v>146</v>
      </c>
      <c r="AA12" s="113">
        <v>2026.5</v>
      </c>
      <c r="AB12" s="60">
        <v>3.5</v>
      </c>
      <c r="AC12" s="61">
        <v>737000</v>
      </c>
      <c r="AD12" s="113" t="s">
        <v>147</v>
      </c>
      <c r="AE12" s="61">
        <v>737000</v>
      </c>
      <c r="AF12" s="61">
        <v>737000</v>
      </c>
      <c r="AG12">
        <f t="shared" si="7"/>
        <v>2023</v>
      </c>
      <c r="AH12">
        <f t="shared" si="8"/>
        <v>2030</v>
      </c>
      <c r="AI12" s="62">
        <f t="shared" si="6"/>
        <v>13659000</v>
      </c>
    </row>
    <row r="13" spans="1:35" ht="26">
      <c r="A13" s="120" t="s">
        <v>344</v>
      </c>
      <c r="B13" s="121">
        <v>1970</v>
      </c>
      <c r="C13" s="121">
        <v>1970</v>
      </c>
      <c r="D13" s="121">
        <f>C13</f>
        <v>1970</v>
      </c>
      <c r="E13" s="121"/>
      <c r="F13" s="123">
        <v>0.02</v>
      </c>
      <c r="G13" s="122">
        <f t="shared" si="0"/>
        <v>20000</v>
      </c>
      <c r="H13">
        <f t="shared" si="9"/>
        <v>3690000</v>
      </c>
      <c r="I13" s="20"/>
      <c r="J13" s="120" t="s">
        <v>344</v>
      </c>
      <c r="K13" s="121">
        <v>1970</v>
      </c>
      <c r="L13" s="121">
        <f>K13</f>
        <v>1970</v>
      </c>
      <c r="M13" s="121"/>
      <c r="N13" s="123">
        <v>0.02</v>
      </c>
      <c r="O13" s="122">
        <f t="shared" si="1"/>
        <v>20000</v>
      </c>
      <c r="P13">
        <f t="shared" si="2"/>
        <v>3690000</v>
      </c>
      <c r="R13" s="120" t="s">
        <v>347</v>
      </c>
      <c r="S13" s="121">
        <f>(T13+U13)/2</f>
        <v>1970</v>
      </c>
      <c r="T13" s="121">
        <v>1980</v>
      </c>
      <c r="U13" s="121">
        <v>1960</v>
      </c>
      <c r="V13" s="123">
        <v>0.2</v>
      </c>
      <c r="W13" s="122">
        <f t="shared" si="3"/>
        <v>200000</v>
      </c>
      <c r="X13">
        <f t="shared" si="4"/>
        <v>3690000</v>
      </c>
      <c r="Z13" s="113" t="s">
        <v>148</v>
      </c>
      <c r="AA13" s="113">
        <v>2039.5</v>
      </c>
      <c r="AB13" s="60">
        <v>1.5</v>
      </c>
      <c r="AC13" s="61">
        <v>737000</v>
      </c>
      <c r="AD13" s="113">
        <v>20</v>
      </c>
      <c r="AE13" s="61">
        <v>737000</v>
      </c>
      <c r="AF13" s="61">
        <v>737000</v>
      </c>
      <c r="AG13">
        <f t="shared" si="7"/>
        <v>2038</v>
      </c>
      <c r="AH13">
        <f t="shared" si="8"/>
        <v>2041</v>
      </c>
      <c r="AI13" s="62">
        <f t="shared" si="6"/>
        <v>12922000</v>
      </c>
    </row>
    <row r="14" spans="1:35" ht="26">
      <c r="A14" s="120" t="s">
        <v>345</v>
      </c>
      <c r="B14" s="121">
        <v>1970</v>
      </c>
      <c r="C14" s="121">
        <v>1970</v>
      </c>
      <c r="D14" s="121">
        <f>C14</f>
        <v>1970</v>
      </c>
      <c r="E14" s="121">
        <f>D14</f>
        <v>1970</v>
      </c>
      <c r="F14" s="123">
        <v>0.5</v>
      </c>
      <c r="G14" s="122">
        <f t="shared" si="0"/>
        <v>500000</v>
      </c>
      <c r="H14">
        <f t="shared" si="9"/>
        <v>3670000</v>
      </c>
      <c r="I14" s="20"/>
      <c r="J14" s="120" t="s">
        <v>345</v>
      </c>
      <c r="K14" s="121">
        <v>1970</v>
      </c>
      <c r="L14" s="121">
        <f>K14</f>
        <v>1970</v>
      </c>
      <c r="M14" s="121">
        <f>L14</f>
        <v>1970</v>
      </c>
      <c r="N14" s="123">
        <v>0.5</v>
      </c>
      <c r="O14" s="122">
        <f t="shared" si="1"/>
        <v>500000</v>
      </c>
      <c r="P14">
        <f t="shared" si="2"/>
        <v>3670000</v>
      </c>
      <c r="R14" s="120" t="s">
        <v>345</v>
      </c>
      <c r="S14" s="121">
        <v>1970</v>
      </c>
      <c r="T14" s="121">
        <f t="shared" ref="T14:U18" si="10">S14</f>
        <v>1970</v>
      </c>
      <c r="U14" s="121">
        <f t="shared" si="10"/>
        <v>1970</v>
      </c>
      <c r="V14" s="123">
        <v>0.5</v>
      </c>
      <c r="W14" s="122">
        <f t="shared" si="3"/>
        <v>500000</v>
      </c>
      <c r="X14">
        <f t="shared" si="4"/>
        <v>3490000</v>
      </c>
      <c r="Z14" s="113" t="s">
        <v>149</v>
      </c>
      <c r="AA14" s="113">
        <v>2076.5</v>
      </c>
      <c r="AB14" s="60">
        <v>4.5</v>
      </c>
      <c r="AC14" s="61">
        <v>737000</v>
      </c>
      <c r="AD14" s="113" t="s">
        <v>150</v>
      </c>
      <c r="AE14" s="61">
        <v>737000</v>
      </c>
      <c r="AF14" s="61">
        <v>737000</v>
      </c>
      <c r="AG14">
        <f t="shared" si="7"/>
        <v>2072</v>
      </c>
      <c r="AH14">
        <f t="shared" si="8"/>
        <v>2081</v>
      </c>
      <c r="AI14" s="62">
        <f t="shared" si="6"/>
        <v>12185000</v>
      </c>
    </row>
    <row r="15" spans="1:35" ht="26">
      <c r="A15" s="120" t="s">
        <v>346</v>
      </c>
      <c r="B15" s="121">
        <v>1970</v>
      </c>
      <c r="C15" s="121">
        <v>1970</v>
      </c>
      <c r="D15" s="121">
        <f>C15</f>
        <v>1970</v>
      </c>
      <c r="E15" s="121">
        <f>D15</f>
        <v>1970</v>
      </c>
      <c r="F15" s="123">
        <v>0.01</v>
      </c>
      <c r="G15" s="122">
        <f t="shared" si="0"/>
        <v>10000</v>
      </c>
      <c r="H15">
        <f t="shared" si="9"/>
        <v>3170000</v>
      </c>
      <c r="I15" s="22"/>
      <c r="J15" s="120" t="s">
        <v>346</v>
      </c>
      <c r="K15" s="121">
        <v>1970</v>
      </c>
      <c r="L15" s="121">
        <f>K15</f>
        <v>1970</v>
      </c>
      <c r="M15" s="121">
        <f>L15</f>
        <v>1970</v>
      </c>
      <c r="N15" s="123">
        <v>0.01</v>
      </c>
      <c r="O15" s="122">
        <f t="shared" si="1"/>
        <v>10000</v>
      </c>
      <c r="P15">
        <f t="shared" si="2"/>
        <v>3170000</v>
      </c>
      <c r="R15" s="120" t="s">
        <v>346</v>
      </c>
      <c r="S15" s="121">
        <v>1970</v>
      </c>
      <c r="T15" s="121">
        <f t="shared" si="10"/>
        <v>1970</v>
      </c>
      <c r="U15" s="121">
        <f t="shared" si="10"/>
        <v>1970</v>
      </c>
      <c r="V15" s="123">
        <v>0.01</v>
      </c>
      <c r="W15" s="122">
        <f t="shared" si="3"/>
        <v>10000</v>
      </c>
      <c r="X15">
        <f t="shared" si="4"/>
        <v>2990000</v>
      </c>
      <c r="Z15" s="113" t="s">
        <v>151</v>
      </c>
      <c r="AA15" s="113">
        <v>2113</v>
      </c>
      <c r="AB15" s="60">
        <v>4</v>
      </c>
      <c r="AC15" s="61">
        <v>737000</v>
      </c>
      <c r="AD15" s="113">
        <v>21</v>
      </c>
      <c r="AE15" s="61">
        <v>1470000</v>
      </c>
      <c r="AF15" s="61">
        <v>3270000</v>
      </c>
      <c r="AG15">
        <f t="shared" si="7"/>
        <v>2109</v>
      </c>
      <c r="AH15">
        <f t="shared" si="8"/>
        <v>2117</v>
      </c>
      <c r="AI15" s="62">
        <f t="shared" si="6"/>
        <v>11448000</v>
      </c>
    </row>
    <row r="16" spans="1:35" ht="26">
      <c r="A16" s="120" t="s">
        <v>347</v>
      </c>
      <c r="B16" s="121" t="s">
        <v>310</v>
      </c>
      <c r="C16" s="121">
        <f>(D16+E16)/2</f>
        <v>1970</v>
      </c>
      <c r="D16" s="121">
        <v>1980</v>
      </c>
      <c r="E16" s="121">
        <v>1960</v>
      </c>
      <c r="F16" s="123">
        <v>0.2</v>
      </c>
      <c r="G16" s="122">
        <f t="shared" si="0"/>
        <v>200000</v>
      </c>
      <c r="H16">
        <f t="shared" si="9"/>
        <v>3160000</v>
      </c>
      <c r="J16" s="120" t="s">
        <v>347</v>
      </c>
      <c r="K16" s="121">
        <f>(L16+M16)/2</f>
        <v>1970</v>
      </c>
      <c r="L16" s="121">
        <v>1980</v>
      </c>
      <c r="M16" s="121">
        <v>1960</v>
      </c>
      <c r="N16" s="123">
        <v>0.2</v>
      </c>
      <c r="O16" s="122">
        <f t="shared" si="1"/>
        <v>200000</v>
      </c>
      <c r="P16">
        <f t="shared" si="2"/>
        <v>3160000</v>
      </c>
      <c r="R16" s="120" t="s">
        <v>344</v>
      </c>
      <c r="S16" s="121">
        <v>1970</v>
      </c>
      <c r="T16" s="121">
        <f t="shared" si="10"/>
        <v>1970</v>
      </c>
      <c r="U16" s="121">
        <f t="shared" si="10"/>
        <v>1970</v>
      </c>
      <c r="V16" s="123">
        <v>0.02</v>
      </c>
      <c r="W16" s="122">
        <f t="shared" si="3"/>
        <v>20000</v>
      </c>
      <c r="X16">
        <f t="shared" si="4"/>
        <v>2980000</v>
      </c>
      <c r="Z16" s="113" t="s">
        <v>152</v>
      </c>
      <c r="AA16" s="113">
        <v>2114.5</v>
      </c>
      <c r="AB16" s="60">
        <v>10.5</v>
      </c>
      <c r="AC16" s="61">
        <v>737000</v>
      </c>
      <c r="AD16" s="113">
        <v>21</v>
      </c>
      <c r="AE16" s="61">
        <v>737000</v>
      </c>
      <c r="AF16" s="56"/>
      <c r="AG16">
        <f t="shared" si="7"/>
        <v>2104</v>
      </c>
      <c r="AH16">
        <f t="shared" si="8"/>
        <v>2125</v>
      </c>
      <c r="AI16" s="62">
        <f t="shared" si="6"/>
        <v>10711000</v>
      </c>
    </row>
    <row r="17" spans="1:46" ht="39">
      <c r="A17" s="120" t="s">
        <v>349</v>
      </c>
      <c r="B17" s="121">
        <v>1998</v>
      </c>
      <c r="C17" s="121">
        <v>1998</v>
      </c>
      <c r="D17" s="121">
        <f>C17</f>
        <v>1998</v>
      </c>
      <c r="E17" s="121">
        <f>D17</f>
        <v>1998</v>
      </c>
      <c r="F17" s="123">
        <v>0.44</v>
      </c>
      <c r="G17" s="122">
        <f t="shared" si="0"/>
        <v>440000</v>
      </c>
      <c r="H17">
        <f t="shared" si="9"/>
        <v>2960000</v>
      </c>
      <c r="J17" s="120" t="s">
        <v>349</v>
      </c>
      <c r="K17" s="121">
        <v>1998</v>
      </c>
      <c r="L17" s="121">
        <f>K17</f>
        <v>1998</v>
      </c>
      <c r="M17" s="121">
        <f>L17</f>
        <v>1998</v>
      </c>
      <c r="N17" s="123">
        <v>0.44</v>
      </c>
      <c r="O17" s="122">
        <f t="shared" si="1"/>
        <v>440000</v>
      </c>
      <c r="P17">
        <f t="shared" si="2"/>
        <v>2960000</v>
      </c>
      <c r="R17" s="120" t="s">
        <v>349</v>
      </c>
      <c r="S17" s="121">
        <v>1998</v>
      </c>
      <c r="T17" s="121">
        <f t="shared" si="10"/>
        <v>1998</v>
      </c>
      <c r="U17" s="121">
        <f t="shared" si="10"/>
        <v>1998</v>
      </c>
      <c r="V17" s="123">
        <v>0.44</v>
      </c>
      <c r="W17" s="122">
        <f t="shared" si="3"/>
        <v>440000</v>
      </c>
      <c r="X17">
        <f t="shared" si="4"/>
        <v>2960000</v>
      </c>
      <c r="Z17" s="113" t="s">
        <v>153</v>
      </c>
      <c r="AA17" s="113">
        <v>2120</v>
      </c>
      <c r="AB17" s="60">
        <v>67</v>
      </c>
      <c r="AC17" s="61">
        <v>1060000</v>
      </c>
      <c r="AD17" s="113" t="s">
        <v>154</v>
      </c>
      <c r="AE17" s="56"/>
      <c r="AF17" s="56"/>
      <c r="AG17">
        <f t="shared" si="7"/>
        <v>2053</v>
      </c>
      <c r="AH17">
        <f t="shared" si="8"/>
        <v>2187</v>
      </c>
      <c r="AI17" s="62">
        <f t="shared" si="6"/>
        <v>9974000</v>
      </c>
    </row>
    <row r="18" spans="1:46" ht="26">
      <c r="A18" s="120" t="s">
        <v>350</v>
      </c>
      <c r="B18" s="121">
        <v>2010</v>
      </c>
      <c r="C18" s="121">
        <v>2010</v>
      </c>
      <c r="D18" s="121">
        <f>C18</f>
        <v>2010</v>
      </c>
      <c r="E18" s="121">
        <f>D18</f>
        <v>2010</v>
      </c>
      <c r="F18" s="123">
        <v>0.01</v>
      </c>
      <c r="G18" s="122">
        <f t="shared" si="0"/>
        <v>10000</v>
      </c>
      <c r="H18">
        <f t="shared" si="9"/>
        <v>2520000</v>
      </c>
      <c r="J18" s="120" t="s">
        <v>350</v>
      </c>
      <c r="K18" s="121">
        <v>2010</v>
      </c>
      <c r="L18" s="121">
        <f>K18</f>
        <v>2010</v>
      </c>
      <c r="M18" s="121">
        <f>L18</f>
        <v>2010</v>
      </c>
      <c r="N18" s="123">
        <v>0.01</v>
      </c>
      <c r="O18" s="122">
        <f t="shared" si="1"/>
        <v>10000</v>
      </c>
      <c r="P18">
        <f t="shared" si="2"/>
        <v>2520000</v>
      </c>
      <c r="R18" s="120" t="s">
        <v>350</v>
      </c>
      <c r="S18" s="121">
        <v>2010</v>
      </c>
      <c r="T18" s="121">
        <f t="shared" si="10"/>
        <v>2010</v>
      </c>
      <c r="U18" s="121">
        <f t="shared" si="10"/>
        <v>2010</v>
      </c>
      <c r="V18" s="123">
        <v>0.01</v>
      </c>
      <c r="W18" s="122">
        <f t="shared" si="3"/>
        <v>10000</v>
      </c>
      <c r="X18">
        <f t="shared" si="4"/>
        <v>2520000</v>
      </c>
      <c r="Z18" s="113" t="s">
        <v>155</v>
      </c>
      <c r="AA18" s="113">
        <v>2123</v>
      </c>
      <c r="AB18" s="60">
        <v>10</v>
      </c>
      <c r="AC18" s="61">
        <v>737000</v>
      </c>
      <c r="AD18" s="113" t="s">
        <v>154</v>
      </c>
      <c r="AE18" s="56"/>
      <c r="AF18" s="56"/>
      <c r="AG18">
        <f t="shared" si="7"/>
        <v>2113</v>
      </c>
      <c r="AH18">
        <f t="shared" si="8"/>
        <v>2133</v>
      </c>
      <c r="AI18" s="62">
        <f t="shared" si="6"/>
        <v>8914000</v>
      </c>
    </row>
    <row r="19" spans="1:46" ht="39">
      <c r="A19" s="120" t="s">
        <v>351</v>
      </c>
      <c r="B19" s="121" t="s">
        <v>312</v>
      </c>
      <c r="C19" s="121">
        <f>(D19+E19)/2</f>
        <v>2025</v>
      </c>
      <c r="D19" s="121">
        <v>2027</v>
      </c>
      <c r="E19" s="121">
        <v>2023</v>
      </c>
      <c r="F19" s="123">
        <v>7.0000000000000007E-2</v>
      </c>
      <c r="G19" s="122">
        <f t="shared" si="0"/>
        <v>70000</v>
      </c>
      <c r="H19">
        <f t="shared" ref="H19:H39" si="11">G19+H20</f>
        <v>2510000</v>
      </c>
      <c r="J19" s="120" t="s">
        <v>351</v>
      </c>
      <c r="K19" s="121">
        <f>(L19+M19)/2</f>
        <v>2025</v>
      </c>
      <c r="L19" s="121">
        <v>2027</v>
      </c>
      <c r="M19" s="121">
        <v>2023</v>
      </c>
      <c r="N19" s="123">
        <v>7.0000000000000007E-2</v>
      </c>
      <c r="O19" s="122">
        <f t="shared" si="1"/>
        <v>70000</v>
      </c>
      <c r="P19">
        <f t="shared" si="2"/>
        <v>2510000</v>
      </c>
      <c r="R19" s="120" t="s">
        <v>351</v>
      </c>
      <c r="S19" s="121">
        <f>(T19+U19)/2</f>
        <v>2025</v>
      </c>
      <c r="T19" s="121">
        <v>2027</v>
      </c>
      <c r="U19" s="121">
        <v>2023</v>
      </c>
      <c r="V19" s="123">
        <v>7.0000000000000007E-2</v>
      </c>
      <c r="W19" s="122">
        <f t="shared" si="3"/>
        <v>70000</v>
      </c>
      <c r="X19">
        <f t="shared" si="4"/>
        <v>2510000</v>
      </c>
      <c r="Z19" s="113" t="s">
        <v>156</v>
      </c>
      <c r="AA19" s="113">
        <v>2145</v>
      </c>
      <c r="AB19" s="60">
        <v>25</v>
      </c>
      <c r="AC19" s="61">
        <v>1060000</v>
      </c>
      <c r="AD19" s="113" t="s">
        <v>157</v>
      </c>
      <c r="AE19" s="56"/>
      <c r="AF19" s="56"/>
      <c r="AG19">
        <f t="shared" si="7"/>
        <v>2120</v>
      </c>
      <c r="AH19">
        <f t="shared" si="8"/>
        <v>2170</v>
      </c>
      <c r="AI19" s="62">
        <f>AC19+AI20</f>
        <v>8177000</v>
      </c>
    </row>
    <row r="20" spans="1:46" ht="26">
      <c r="A20" s="120" t="s">
        <v>354</v>
      </c>
      <c r="B20" s="121" t="s">
        <v>314</v>
      </c>
      <c r="C20" s="121">
        <f>(D20+E20)/2</f>
        <v>2040</v>
      </c>
      <c r="D20" s="121">
        <v>2050</v>
      </c>
      <c r="E20" s="121">
        <v>2030</v>
      </c>
      <c r="F20" s="123">
        <v>0.09</v>
      </c>
      <c r="G20" s="122">
        <f t="shared" si="0"/>
        <v>90000</v>
      </c>
      <c r="H20">
        <f t="shared" si="11"/>
        <v>2440000</v>
      </c>
      <c r="J20" s="120" t="s">
        <v>354</v>
      </c>
      <c r="K20" s="121">
        <f>(L20+M20)/2</f>
        <v>2040</v>
      </c>
      <c r="L20" s="121">
        <v>2050</v>
      </c>
      <c r="M20" s="121">
        <v>2030</v>
      </c>
      <c r="N20" s="123">
        <v>0.09</v>
      </c>
      <c r="O20" s="122">
        <f t="shared" si="1"/>
        <v>90000</v>
      </c>
      <c r="P20">
        <f t="shared" si="2"/>
        <v>2440000</v>
      </c>
      <c r="R20" s="120" t="s">
        <v>354</v>
      </c>
      <c r="S20" s="121">
        <f>(T20+U20)/2</f>
        <v>2040</v>
      </c>
      <c r="T20" s="121">
        <v>2050</v>
      </c>
      <c r="U20" s="121">
        <v>2030</v>
      </c>
      <c r="V20" s="123">
        <v>0.09</v>
      </c>
      <c r="W20" s="122">
        <f t="shared" si="3"/>
        <v>90000</v>
      </c>
      <c r="X20">
        <f t="shared" si="4"/>
        <v>2440000</v>
      </c>
      <c r="Z20" s="113" t="s">
        <v>158</v>
      </c>
      <c r="AA20" s="113">
        <v>2166.6999999999998</v>
      </c>
      <c r="AB20" s="60">
        <v>1.4</v>
      </c>
      <c r="AC20" s="61">
        <v>4610000</v>
      </c>
      <c r="AD20" s="113">
        <v>22</v>
      </c>
      <c r="AE20" s="61">
        <v>4610000</v>
      </c>
      <c r="AF20" s="61">
        <v>5670000</v>
      </c>
      <c r="AG20">
        <f t="shared" si="7"/>
        <v>2165.2999999999997</v>
      </c>
      <c r="AH20">
        <f t="shared" si="8"/>
        <v>2168.1</v>
      </c>
      <c r="AI20" s="62">
        <f t="shared" si="6"/>
        <v>7117000</v>
      </c>
    </row>
    <row r="21" spans="1:46" ht="26">
      <c r="A21" s="120" t="s">
        <v>355</v>
      </c>
      <c r="B21" s="121">
        <v>2060</v>
      </c>
      <c r="C21" s="121">
        <v>2060</v>
      </c>
      <c r="D21" s="121">
        <f t="shared" ref="D21:E26" si="12">C21</f>
        <v>2060</v>
      </c>
      <c r="E21" s="121">
        <f t="shared" si="12"/>
        <v>2060</v>
      </c>
      <c r="F21" s="123">
        <v>0.39</v>
      </c>
      <c r="G21" s="122">
        <f t="shared" si="0"/>
        <v>390000</v>
      </c>
      <c r="H21">
        <f t="shared" si="11"/>
        <v>2350000</v>
      </c>
      <c r="J21" s="120" t="s">
        <v>355</v>
      </c>
      <c r="K21" s="121">
        <v>2060</v>
      </c>
      <c r="L21" s="121">
        <f t="shared" ref="L21:M26" si="13">K21</f>
        <v>2060</v>
      </c>
      <c r="M21" s="121">
        <f t="shared" si="13"/>
        <v>2060</v>
      </c>
      <c r="N21" s="123">
        <v>0.39</v>
      </c>
      <c r="O21" s="122">
        <f t="shared" si="1"/>
        <v>390000</v>
      </c>
      <c r="P21">
        <f t="shared" si="2"/>
        <v>2350000</v>
      </c>
      <c r="R21" s="120" t="s">
        <v>355</v>
      </c>
      <c r="S21" s="121">
        <v>2060</v>
      </c>
      <c r="T21" s="121">
        <f t="shared" ref="T21:U24" si="14">S21</f>
        <v>2060</v>
      </c>
      <c r="U21" s="121">
        <f t="shared" si="14"/>
        <v>2060</v>
      </c>
      <c r="V21" s="123">
        <v>0.39</v>
      </c>
      <c r="W21" s="122">
        <f t="shared" si="3"/>
        <v>390000</v>
      </c>
      <c r="X21">
        <f t="shared" si="4"/>
        <v>2350000</v>
      </c>
      <c r="Z21" s="113" t="s">
        <v>159</v>
      </c>
      <c r="AA21" s="113">
        <v>2183.6999999999998</v>
      </c>
      <c r="AB21" s="60">
        <v>6.7</v>
      </c>
      <c r="AC21" s="61">
        <v>110000</v>
      </c>
      <c r="AD21" s="113" t="s">
        <v>160</v>
      </c>
      <c r="AE21" s="61">
        <v>110000</v>
      </c>
      <c r="AF21" s="61">
        <v>110000</v>
      </c>
      <c r="AG21">
        <f t="shared" si="7"/>
        <v>2177</v>
      </c>
      <c r="AH21">
        <f t="shared" si="8"/>
        <v>2190.3999999999996</v>
      </c>
      <c r="AI21" s="62">
        <f t="shared" si="6"/>
        <v>2507000</v>
      </c>
    </row>
    <row r="22" spans="1:46" ht="39">
      <c r="A22" s="120" t="s">
        <v>357</v>
      </c>
      <c r="B22" s="121">
        <v>2060</v>
      </c>
      <c r="C22" s="121">
        <v>2060</v>
      </c>
      <c r="D22" s="121">
        <f t="shared" si="12"/>
        <v>2060</v>
      </c>
      <c r="E22" s="121">
        <f t="shared" si="12"/>
        <v>2060</v>
      </c>
      <c r="F22" s="123">
        <v>0.01</v>
      </c>
      <c r="G22" s="122">
        <f t="shared" si="0"/>
        <v>10000</v>
      </c>
      <c r="H22">
        <f t="shared" si="11"/>
        <v>1960000</v>
      </c>
      <c r="J22" s="120" t="s">
        <v>357</v>
      </c>
      <c r="K22" s="121">
        <v>2060</v>
      </c>
      <c r="L22" s="121">
        <f t="shared" si="13"/>
        <v>2060</v>
      </c>
      <c r="M22" s="121">
        <f t="shared" si="13"/>
        <v>2060</v>
      </c>
      <c r="N22" s="123">
        <v>0.01</v>
      </c>
      <c r="O22" s="122">
        <f t="shared" si="1"/>
        <v>10000</v>
      </c>
      <c r="P22">
        <f t="shared" si="2"/>
        <v>1960000</v>
      </c>
      <c r="R22" s="120" t="s">
        <v>357</v>
      </c>
      <c r="S22" s="121">
        <v>2060</v>
      </c>
      <c r="T22" s="121">
        <f t="shared" si="14"/>
        <v>2060</v>
      </c>
      <c r="U22" s="121">
        <f t="shared" si="14"/>
        <v>2060</v>
      </c>
      <c r="V22" s="123">
        <v>0.01</v>
      </c>
      <c r="W22" s="122">
        <f t="shared" si="3"/>
        <v>10000</v>
      </c>
      <c r="X22">
        <f t="shared" si="4"/>
        <v>1960000</v>
      </c>
      <c r="Z22" s="113" t="s">
        <v>161</v>
      </c>
      <c r="AA22" s="113">
        <v>2200</v>
      </c>
      <c r="AB22" s="60">
        <v>35</v>
      </c>
      <c r="AC22" s="61">
        <v>1660000</v>
      </c>
      <c r="AD22" s="113" t="s">
        <v>162</v>
      </c>
      <c r="AE22" s="56"/>
      <c r="AF22" s="56"/>
      <c r="AG22">
        <f t="shared" si="7"/>
        <v>2165</v>
      </c>
      <c r="AH22">
        <f t="shared" si="8"/>
        <v>2235</v>
      </c>
      <c r="AI22" s="62">
        <f>AC22+AI23</f>
        <v>2397000</v>
      </c>
    </row>
    <row r="23" spans="1:46" ht="26">
      <c r="A23" s="120" t="s">
        <v>358</v>
      </c>
      <c r="B23" s="121">
        <v>2070</v>
      </c>
      <c r="C23" s="121">
        <v>2070</v>
      </c>
      <c r="D23" s="121">
        <f t="shared" si="12"/>
        <v>2070</v>
      </c>
      <c r="E23" s="121">
        <f t="shared" si="12"/>
        <v>2070</v>
      </c>
      <c r="F23" s="123">
        <v>7.0000000000000007E-2</v>
      </c>
      <c r="G23" s="122">
        <f t="shared" si="0"/>
        <v>70000</v>
      </c>
      <c r="H23">
        <f t="shared" si="11"/>
        <v>1950000</v>
      </c>
      <c r="I23" s="52"/>
      <c r="J23" s="120" t="s">
        <v>358</v>
      </c>
      <c r="K23" s="121">
        <v>2070</v>
      </c>
      <c r="L23" s="121">
        <f t="shared" si="13"/>
        <v>2070</v>
      </c>
      <c r="M23" s="121">
        <f t="shared" si="13"/>
        <v>2070</v>
      </c>
      <c r="N23" s="123">
        <v>7.0000000000000007E-2</v>
      </c>
      <c r="O23" s="122">
        <f t="shared" si="1"/>
        <v>70000</v>
      </c>
      <c r="P23">
        <f t="shared" si="2"/>
        <v>1950000</v>
      </c>
      <c r="R23" s="120" t="s">
        <v>358</v>
      </c>
      <c r="S23" s="121">
        <v>2070</v>
      </c>
      <c r="T23" s="121">
        <f t="shared" si="14"/>
        <v>2070</v>
      </c>
      <c r="U23" s="121">
        <f t="shared" si="14"/>
        <v>2070</v>
      </c>
      <c r="V23" s="123">
        <v>7.0000000000000007E-2</v>
      </c>
      <c r="W23" s="122">
        <f t="shared" si="3"/>
        <v>70000</v>
      </c>
      <c r="X23">
        <f t="shared" si="4"/>
        <v>1950000</v>
      </c>
      <c r="Z23" s="113" t="s">
        <v>163</v>
      </c>
      <c r="AA23" s="113">
        <v>2209</v>
      </c>
      <c r="AB23" s="60">
        <v>2</v>
      </c>
      <c r="AC23" s="61">
        <v>737000</v>
      </c>
      <c r="AD23" s="113">
        <v>23</v>
      </c>
      <c r="AE23" s="61">
        <v>737000</v>
      </c>
      <c r="AF23" s="61">
        <v>6080000</v>
      </c>
      <c r="AG23">
        <f t="shared" si="7"/>
        <v>2207</v>
      </c>
      <c r="AH23">
        <f t="shared" si="8"/>
        <v>2211</v>
      </c>
      <c r="AI23" s="62">
        <f>AC23</f>
        <v>737000</v>
      </c>
    </row>
    <row r="24" spans="1:46">
      <c r="A24" s="120" t="s">
        <v>359</v>
      </c>
      <c r="B24" s="121">
        <v>2070</v>
      </c>
      <c r="C24" s="121">
        <v>2070</v>
      </c>
      <c r="D24" s="121">
        <f t="shared" si="12"/>
        <v>2070</v>
      </c>
      <c r="E24" s="121">
        <f t="shared" si="12"/>
        <v>2070</v>
      </c>
      <c r="F24" s="123">
        <v>0.2</v>
      </c>
      <c r="G24" s="122">
        <f t="shared" si="0"/>
        <v>200000</v>
      </c>
      <c r="H24">
        <f t="shared" si="11"/>
        <v>1880000</v>
      </c>
      <c r="J24" s="120" t="s">
        <v>359</v>
      </c>
      <c r="K24" s="121">
        <v>2070</v>
      </c>
      <c r="L24" s="121">
        <f t="shared" si="13"/>
        <v>2070</v>
      </c>
      <c r="M24" s="121">
        <f t="shared" si="13"/>
        <v>2070</v>
      </c>
      <c r="N24" s="123">
        <v>0.2</v>
      </c>
      <c r="O24" s="122">
        <f t="shared" si="1"/>
        <v>200000</v>
      </c>
      <c r="P24">
        <f t="shared" si="2"/>
        <v>1880000</v>
      </c>
      <c r="R24" s="120" t="s">
        <v>359</v>
      </c>
      <c r="S24" s="121">
        <v>2070</v>
      </c>
      <c r="T24" s="121">
        <f t="shared" si="14"/>
        <v>2070</v>
      </c>
      <c r="U24" s="121">
        <f t="shared" si="14"/>
        <v>2070</v>
      </c>
      <c r="V24" s="123">
        <v>0.2</v>
      </c>
      <c r="W24" s="122">
        <f t="shared" si="3"/>
        <v>200000</v>
      </c>
      <c r="X24">
        <f t="shared" si="4"/>
        <v>1880000</v>
      </c>
    </row>
    <row r="25" spans="1:46">
      <c r="A25" s="120" t="s">
        <v>360</v>
      </c>
      <c r="B25" s="121">
        <v>2075</v>
      </c>
      <c r="C25" s="121">
        <v>2075</v>
      </c>
      <c r="D25" s="121">
        <f t="shared" si="12"/>
        <v>2075</v>
      </c>
      <c r="E25" s="121">
        <f t="shared" si="12"/>
        <v>2075</v>
      </c>
      <c r="F25" s="123">
        <v>0.17</v>
      </c>
      <c r="G25" s="122">
        <f t="shared" si="0"/>
        <v>170000</v>
      </c>
      <c r="H25">
        <f t="shared" si="11"/>
        <v>1680000</v>
      </c>
      <c r="J25" s="120" t="s">
        <v>360</v>
      </c>
      <c r="K25" s="121">
        <v>2075</v>
      </c>
      <c r="L25" s="121">
        <f t="shared" si="13"/>
        <v>2075</v>
      </c>
      <c r="M25" s="121">
        <f t="shared" si="13"/>
        <v>2075</v>
      </c>
      <c r="N25" s="123">
        <v>0.17</v>
      </c>
      <c r="O25" s="122">
        <f t="shared" si="1"/>
        <v>170000</v>
      </c>
      <c r="P25">
        <f t="shared" si="2"/>
        <v>1680000</v>
      </c>
      <c r="R25" s="120" t="s">
        <v>363</v>
      </c>
      <c r="S25" s="121">
        <f>(T25+U25)/2</f>
        <v>2080</v>
      </c>
      <c r="T25" s="121">
        <v>2090</v>
      </c>
      <c r="U25" s="121">
        <v>2070</v>
      </c>
      <c r="V25" s="123">
        <v>0.02</v>
      </c>
      <c r="W25" s="122">
        <f t="shared" si="3"/>
        <v>20000</v>
      </c>
      <c r="X25">
        <f t="shared" si="4"/>
        <v>1680000</v>
      </c>
    </row>
    <row r="26" spans="1:46">
      <c r="A26" s="120" t="s">
        <v>362</v>
      </c>
      <c r="B26" s="121">
        <v>2080</v>
      </c>
      <c r="C26" s="121">
        <v>2080</v>
      </c>
      <c r="D26" s="121">
        <f t="shared" si="12"/>
        <v>2080</v>
      </c>
      <c r="E26" s="121">
        <f t="shared" si="12"/>
        <v>2080</v>
      </c>
      <c r="F26" s="123">
        <v>7.0000000000000007E-2</v>
      </c>
      <c r="G26" s="122">
        <f t="shared" si="0"/>
        <v>70000</v>
      </c>
      <c r="H26">
        <f t="shared" si="11"/>
        <v>1510000</v>
      </c>
      <c r="J26" s="120" t="s">
        <v>362</v>
      </c>
      <c r="K26" s="121">
        <v>2080</v>
      </c>
      <c r="L26" s="121">
        <f t="shared" si="13"/>
        <v>2080</v>
      </c>
      <c r="M26" s="121">
        <f t="shared" si="13"/>
        <v>2080</v>
      </c>
      <c r="N26" s="123">
        <v>7.0000000000000007E-2</v>
      </c>
      <c r="O26" s="122">
        <f t="shared" si="1"/>
        <v>70000</v>
      </c>
      <c r="P26">
        <f t="shared" si="2"/>
        <v>1510000</v>
      </c>
      <c r="R26" s="120" t="s">
        <v>360</v>
      </c>
      <c r="S26" s="121">
        <v>2075</v>
      </c>
      <c r="T26" s="121">
        <f>S26</f>
        <v>2075</v>
      </c>
      <c r="U26" s="121">
        <f>T26</f>
        <v>2075</v>
      </c>
      <c r="V26" s="123">
        <v>0.17</v>
      </c>
      <c r="W26" s="122">
        <f t="shared" si="3"/>
        <v>170000</v>
      </c>
      <c r="X26">
        <f t="shared" si="4"/>
        <v>1660000</v>
      </c>
    </row>
    <row r="27" spans="1:46" ht="17" thickBot="1">
      <c r="A27" s="120" t="s">
        <v>363</v>
      </c>
      <c r="B27" s="121" t="s">
        <v>315</v>
      </c>
      <c r="C27" s="121">
        <f>(D27+E27)/2</f>
        <v>2080</v>
      </c>
      <c r="D27" s="121">
        <v>2090</v>
      </c>
      <c r="E27" s="121">
        <v>2070</v>
      </c>
      <c r="F27" s="123">
        <v>0.02</v>
      </c>
      <c r="G27" s="122">
        <f t="shared" si="0"/>
        <v>20000</v>
      </c>
      <c r="H27">
        <f t="shared" si="11"/>
        <v>1440000</v>
      </c>
      <c r="I27" s="52"/>
      <c r="J27" s="120" t="s">
        <v>363</v>
      </c>
      <c r="K27" s="121">
        <f>(L27+M27)/2</f>
        <v>2080</v>
      </c>
      <c r="L27" s="121">
        <v>2090</v>
      </c>
      <c r="M27" s="121">
        <v>2070</v>
      </c>
      <c r="N27" s="123">
        <v>0.02</v>
      </c>
      <c r="O27" s="122">
        <f t="shared" si="1"/>
        <v>20000</v>
      </c>
      <c r="P27">
        <f t="shared" si="2"/>
        <v>1440000</v>
      </c>
      <c r="R27" s="120" t="s">
        <v>362</v>
      </c>
      <c r="S27" s="121">
        <v>2080</v>
      </c>
      <c r="T27" s="121">
        <f>S27</f>
        <v>2080</v>
      </c>
      <c r="U27" s="121">
        <f>T27</f>
        <v>2080</v>
      </c>
      <c r="V27" s="123">
        <v>7.0000000000000007E-2</v>
      </c>
      <c r="W27" s="122">
        <f t="shared" si="3"/>
        <v>70000</v>
      </c>
      <c r="X27">
        <f t="shared" si="4"/>
        <v>1490000</v>
      </c>
      <c r="Z27" s="59"/>
      <c r="AA27" s="59"/>
      <c r="AB27" s="59"/>
      <c r="AC27" s="59"/>
      <c r="AD27" s="59"/>
      <c r="AE27" s="59"/>
      <c r="AF27" s="59"/>
      <c r="AG27" t="s">
        <v>164</v>
      </c>
      <c r="AH27" t="s">
        <v>165</v>
      </c>
      <c r="AI27" t="s">
        <v>71</v>
      </c>
      <c r="AK27" s="59"/>
      <c r="AL27" s="59"/>
      <c r="AM27" s="59"/>
      <c r="AN27" s="59"/>
      <c r="AO27" s="59"/>
      <c r="AP27" s="59"/>
      <c r="AQ27" s="59"/>
      <c r="AR27" t="s">
        <v>164</v>
      </c>
      <c r="AS27" t="s">
        <v>165</v>
      </c>
      <c r="AT27" t="s">
        <v>71</v>
      </c>
    </row>
    <row r="28" spans="1:46" ht="26">
      <c r="A28" s="120" t="s">
        <v>365</v>
      </c>
      <c r="B28" s="121" t="s">
        <v>316</v>
      </c>
      <c r="C28" s="121">
        <f>(D28+E28)/2</f>
        <v>2090</v>
      </c>
      <c r="D28" s="121">
        <v>2100</v>
      </c>
      <c r="E28" s="121">
        <v>2080</v>
      </c>
      <c r="F28" s="123">
        <v>0.01</v>
      </c>
      <c r="G28" s="122">
        <f t="shared" si="0"/>
        <v>10000</v>
      </c>
      <c r="H28">
        <f t="shared" si="11"/>
        <v>1420000</v>
      </c>
      <c r="I28" s="22"/>
      <c r="J28" s="120" t="s">
        <v>365</v>
      </c>
      <c r="K28" s="121">
        <f>(L28+M28)/2</f>
        <v>2090</v>
      </c>
      <c r="L28" s="121">
        <v>2100</v>
      </c>
      <c r="M28" s="121">
        <v>2080</v>
      </c>
      <c r="N28" s="123">
        <v>0.01</v>
      </c>
      <c r="O28" s="122">
        <f t="shared" si="1"/>
        <v>10000</v>
      </c>
      <c r="P28">
        <f t="shared" si="2"/>
        <v>1420000</v>
      </c>
      <c r="R28" s="120" t="s">
        <v>365</v>
      </c>
      <c r="S28" s="121">
        <f>(T28+U28)/2</f>
        <v>2090</v>
      </c>
      <c r="T28" s="121">
        <v>2100</v>
      </c>
      <c r="U28" s="121">
        <v>2080</v>
      </c>
      <c r="V28" s="123">
        <v>0.01</v>
      </c>
      <c r="W28" s="122">
        <f t="shared" si="3"/>
        <v>10000</v>
      </c>
      <c r="X28">
        <f t="shared" si="4"/>
        <v>1420000</v>
      </c>
      <c r="Z28" s="113" t="s">
        <v>138</v>
      </c>
      <c r="AA28" s="113">
        <v>1822</v>
      </c>
      <c r="AB28" s="60">
        <v>42</v>
      </c>
      <c r="AC28" s="61">
        <v>737000</v>
      </c>
      <c r="AD28" s="113" t="s">
        <v>139</v>
      </c>
      <c r="AE28" s="61">
        <v>410000</v>
      </c>
      <c r="AF28" s="61">
        <v>737000</v>
      </c>
      <c r="AG28">
        <f t="shared" ref="AG28:AG39" si="15">AA28-AB28</f>
        <v>1780</v>
      </c>
      <c r="AH28">
        <f t="shared" ref="AH28:AH39" si="16">AA28+AB28</f>
        <v>1864</v>
      </c>
      <c r="AI28" s="62">
        <f t="shared" ref="AI28:AI36" si="17">AC28+AI29</f>
        <v>61743000</v>
      </c>
      <c r="AK28" s="113" t="s">
        <v>138</v>
      </c>
      <c r="AL28" s="113">
        <v>1822</v>
      </c>
      <c r="AM28" s="60">
        <v>42</v>
      </c>
      <c r="AN28" s="61">
        <v>737000</v>
      </c>
      <c r="AO28" s="113" t="s">
        <v>139</v>
      </c>
      <c r="AP28" s="61">
        <v>410000</v>
      </c>
      <c r="AQ28" s="61">
        <v>737000</v>
      </c>
      <c r="AR28">
        <f t="shared" ref="AR28:AR44" si="18">AL28-AM28</f>
        <v>1780</v>
      </c>
      <c r="AS28">
        <f t="shared" ref="AS28:AS44" si="19">AL28+AM28</f>
        <v>1864</v>
      </c>
      <c r="AT28" s="62">
        <f t="shared" ref="AT28:AT42" si="20">AN28+AT29</f>
        <v>61743000</v>
      </c>
    </row>
    <row r="29" spans="1:46" ht="52">
      <c r="A29" s="120" t="s">
        <v>371</v>
      </c>
      <c r="B29" s="121" t="s">
        <v>320</v>
      </c>
      <c r="C29" s="121">
        <f>(D29+E29)/2</f>
        <v>2110</v>
      </c>
      <c r="D29" s="121">
        <v>2120</v>
      </c>
      <c r="E29" s="121">
        <v>2100</v>
      </c>
      <c r="F29" s="123">
        <v>0.16</v>
      </c>
      <c r="G29" s="122">
        <f t="shared" si="0"/>
        <v>160000</v>
      </c>
      <c r="H29">
        <f t="shared" si="11"/>
        <v>1410000</v>
      </c>
      <c r="I29" s="22"/>
      <c r="J29" s="120" t="s">
        <v>368</v>
      </c>
      <c r="K29" s="121">
        <v>2115</v>
      </c>
      <c r="L29" s="121">
        <f>K29</f>
        <v>2115</v>
      </c>
      <c r="M29" s="121"/>
      <c r="N29" s="123">
        <v>0.02</v>
      </c>
      <c r="O29" s="122">
        <f t="shared" si="1"/>
        <v>20000</v>
      </c>
      <c r="P29">
        <f t="shared" si="2"/>
        <v>1410000</v>
      </c>
      <c r="R29" s="120" t="s">
        <v>371</v>
      </c>
      <c r="S29" s="121">
        <f>(T29+U29)/2</f>
        <v>2110</v>
      </c>
      <c r="T29" s="121">
        <v>2120</v>
      </c>
      <c r="U29" s="121">
        <v>2100</v>
      </c>
      <c r="V29" s="123">
        <v>0.16</v>
      </c>
      <c r="W29" s="122">
        <f t="shared" si="3"/>
        <v>160000</v>
      </c>
      <c r="X29">
        <f t="shared" si="4"/>
        <v>1410000</v>
      </c>
      <c r="Z29" s="113" t="s">
        <v>140</v>
      </c>
      <c r="AA29" s="113">
        <v>1882.8</v>
      </c>
      <c r="AB29" s="60">
        <v>2.2999999999999998</v>
      </c>
      <c r="AC29" s="61">
        <v>1060000</v>
      </c>
      <c r="AD29" s="113">
        <v>18</v>
      </c>
      <c r="AE29" s="61">
        <v>1060000</v>
      </c>
      <c r="AF29" s="61">
        <v>1060000</v>
      </c>
      <c r="AG29">
        <f t="shared" si="15"/>
        <v>1880.5</v>
      </c>
      <c r="AH29">
        <f t="shared" si="16"/>
        <v>1885.1</v>
      </c>
      <c r="AI29" s="62">
        <f t="shared" si="17"/>
        <v>61006000</v>
      </c>
      <c r="AK29" s="113" t="s">
        <v>140</v>
      </c>
      <c r="AL29" s="113">
        <v>1882.8</v>
      </c>
      <c r="AM29" s="60">
        <v>2.2999999999999998</v>
      </c>
      <c r="AN29" s="61">
        <v>1060000</v>
      </c>
      <c r="AO29" s="113">
        <v>18</v>
      </c>
      <c r="AP29" s="61">
        <v>1060000</v>
      </c>
      <c r="AQ29" s="61">
        <v>1060000</v>
      </c>
      <c r="AR29">
        <f t="shared" si="18"/>
        <v>1880.5</v>
      </c>
      <c r="AS29">
        <f t="shared" si="19"/>
        <v>1885.1</v>
      </c>
      <c r="AT29" s="62">
        <f t="shared" si="20"/>
        <v>61006000</v>
      </c>
    </row>
    <row r="30" spans="1:46" ht="26">
      <c r="A30" s="120" t="s">
        <v>367</v>
      </c>
      <c r="B30" s="121" t="s">
        <v>318</v>
      </c>
      <c r="C30" s="121">
        <f>(D30+E30)/2</f>
        <v>2113.5</v>
      </c>
      <c r="D30" s="121">
        <v>2116</v>
      </c>
      <c r="E30" s="121">
        <v>2111</v>
      </c>
      <c r="F30" s="123">
        <v>0.14000000000000001</v>
      </c>
      <c r="G30" s="122">
        <f t="shared" si="0"/>
        <v>140000</v>
      </c>
      <c r="H30">
        <f t="shared" si="11"/>
        <v>1250000</v>
      </c>
      <c r="J30" s="120" t="s">
        <v>369</v>
      </c>
      <c r="K30" s="121">
        <v>2115</v>
      </c>
      <c r="L30" s="121">
        <f>K30</f>
        <v>2115</v>
      </c>
      <c r="M30" s="121"/>
      <c r="N30" s="123">
        <v>0.11</v>
      </c>
      <c r="O30" s="122">
        <f t="shared" si="1"/>
        <v>110000</v>
      </c>
      <c r="P30">
        <f t="shared" si="2"/>
        <v>1390000</v>
      </c>
      <c r="R30" s="120" t="s">
        <v>372</v>
      </c>
      <c r="S30" s="121">
        <f>(T30+U30)/2</f>
        <v>2117</v>
      </c>
      <c r="T30" s="121">
        <v>2126</v>
      </c>
      <c r="U30" s="121">
        <v>2108</v>
      </c>
      <c r="V30" s="123">
        <v>0.04</v>
      </c>
      <c r="W30" s="122">
        <f t="shared" si="3"/>
        <v>40000</v>
      </c>
      <c r="X30">
        <f t="shared" si="4"/>
        <v>1250000</v>
      </c>
      <c r="Z30" s="113" t="s">
        <v>141</v>
      </c>
      <c r="AA30" s="113">
        <v>1890.5</v>
      </c>
      <c r="AB30" s="60">
        <v>2.5</v>
      </c>
      <c r="AC30" s="61">
        <v>2950000</v>
      </c>
      <c r="AD30" s="113">
        <v>19</v>
      </c>
      <c r="AE30" s="61">
        <v>2950000</v>
      </c>
      <c r="AF30" s="61">
        <v>2950000</v>
      </c>
      <c r="AG30">
        <f t="shared" si="15"/>
        <v>1888</v>
      </c>
      <c r="AH30">
        <f t="shared" si="16"/>
        <v>1893</v>
      </c>
      <c r="AI30" s="62">
        <f t="shared" si="17"/>
        <v>59946000</v>
      </c>
      <c r="AK30" s="113" t="s">
        <v>141</v>
      </c>
      <c r="AL30" s="113">
        <v>1890.5</v>
      </c>
      <c r="AM30" s="60">
        <v>2.5</v>
      </c>
      <c r="AN30" s="61">
        <v>2950000</v>
      </c>
      <c r="AO30" s="113">
        <v>19</v>
      </c>
      <c r="AP30" s="61">
        <v>2950000</v>
      </c>
      <c r="AQ30" s="61">
        <v>2950000</v>
      </c>
      <c r="AR30">
        <f t="shared" si="18"/>
        <v>1888</v>
      </c>
      <c r="AS30">
        <f t="shared" si="19"/>
        <v>1893</v>
      </c>
      <c r="AT30" s="62">
        <f t="shared" si="20"/>
        <v>59946000</v>
      </c>
    </row>
    <row r="31" spans="1:46" ht="26">
      <c r="A31" s="120" t="s">
        <v>368</v>
      </c>
      <c r="B31" s="121">
        <v>2115</v>
      </c>
      <c r="C31" s="121">
        <v>2115</v>
      </c>
      <c r="D31" s="121">
        <f>C31</f>
        <v>2115</v>
      </c>
      <c r="E31" s="121"/>
      <c r="F31" s="123">
        <v>0.02</v>
      </c>
      <c r="G31" s="122">
        <f t="shared" si="0"/>
        <v>20000</v>
      </c>
      <c r="H31">
        <f t="shared" si="11"/>
        <v>1110000</v>
      </c>
      <c r="I31" s="54"/>
      <c r="J31" s="120" t="s">
        <v>367</v>
      </c>
      <c r="K31" s="121">
        <f>(L31+M31)/2</f>
        <v>2113.5</v>
      </c>
      <c r="L31" s="121">
        <v>2116</v>
      </c>
      <c r="M31" s="121">
        <v>2111</v>
      </c>
      <c r="N31" s="123">
        <v>0.14000000000000001</v>
      </c>
      <c r="O31" s="122">
        <f t="shared" si="1"/>
        <v>140000</v>
      </c>
      <c r="P31">
        <f t="shared" si="2"/>
        <v>1280000</v>
      </c>
      <c r="R31" s="120" t="s">
        <v>373</v>
      </c>
      <c r="S31" s="121">
        <f>(T31+U31)/2</f>
        <v>2125</v>
      </c>
      <c r="T31" s="121">
        <v>2140</v>
      </c>
      <c r="U31" s="121">
        <v>2110</v>
      </c>
      <c r="V31" s="123">
        <v>0.01</v>
      </c>
      <c r="W31" s="122">
        <f t="shared" si="3"/>
        <v>10000</v>
      </c>
      <c r="X31">
        <f t="shared" si="4"/>
        <v>1210000</v>
      </c>
      <c r="Z31" s="113" t="s">
        <v>142</v>
      </c>
      <c r="AA31" s="113">
        <v>1975</v>
      </c>
      <c r="AB31" s="60">
        <v>24</v>
      </c>
      <c r="AC31" s="61">
        <v>42600000</v>
      </c>
      <c r="AD31" s="113" t="s">
        <v>143</v>
      </c>
      <c r="AE31" s="61">
        <v>42600000</v>
      </c>
      <c r="AF31" s="61">
        <v>42600000</v>
      </c>
      <c r="AG31">
        <f t="shared" si="15"/>
        <v>1951</v>
      </c>
      <c r="AH31">
        <f t="shared" si="16"/>
        <v>1999</v>
      </c>
      <c r="AI31" s="62">
        <f t="shared" si="17"/>
        <v>56996000</v>
      </c>
      <c r="AK31" s="113" t="s">
        <v>142</v>
      </c>
      <c r="AL31" s="113">
        <v>1975</v>
      </c>
      <c r="AM31" s="60">
        <v>24</v>
      </c>
      <c r="AN31" s="61">
        <v>42600000</v>
      </c>
      <c r="AO31" s="113" t="s">
        <v>143</v>
      </c>
      <c r="AP31" s="61">
        <v>42600000</v>
      </c>
      <c r="AQ31" s="61">
        <v>42600000</v>
      </c>
      <c r="AR31">
        <f t="shared" si="18"/>
        <v>1951</v>
      </c>
      <c r="AS31">
        <f t="shared" si="19"/>
        <v>1999</v>
      </c>
      <c r="AT31" s="62">
        <f t="shared" si="20"/>
        <v>56996000</v>
      </c>
    </row>
    <row r="32" spans="1:46" ht="26">
      <c r="A32" s="120" t="s">
        <v>369</v>
      </c>
      <c r="B32" s="121">
        <v>2115</v>
      </c>
      <c r="C32" s="121">
        <v>2115</v>
      </c>
      <c r="D32" s="121">
        <f>C32</f>
        <v>2115</v>
      </c>
      <c r="E32" s="121"/>
      <c r="F32" s="123">
        <v>0.11</v>
      </c>
      <c r="G32" s="122">
        <f t="shared" si="0"/>
        <v>110000</v>
      </c>
      <c r="H32">
        <f t="shared" si="11"/>
        <v>1090000</v>
      </c>
      <c r="I32" s="52"/>
      <c r="J32" s="120" t="s">
        <v>371</v>
      </c>
      <c r="K32" s="121">
        <f>(L32+M32)/2</f>
        <v>2110</v>
      </c>
      <c r="L32" s="121">
        <v>2120</v>
      </c>
      <c r="M32" s="121">
        <v>2100</v>
      </c>
      <c r="N32" s="123">
        <v>0.16</v>
      </c>
      <c r="O32" s="122">
        <f t="shared" si="1"/>
        <v>160000</v>
      </c>
      <c r="P32">
        <f t="shared" si="2"/>
        <v>1140000</v>
      </c>
      <c r="R32" s="120" t="s">
        <v>367</v>
      </c>
      <c r="S32" s="121">
        <f>(T32+U32)/2</f>
        <v>2113.5</v>
      </c>
      <c r="T32" s="121">
        <v>2116</v>
      </c>
      <c r="U32" s="121">
        <v>2111</v>
      </c>
      <c r="V32" s="123">
        <v>0.14000000000000001</v>
      </c>
      <c r="W32" s="122">
        <f t="shared" si="3"/>
        <v>140000</v>
      </c>
      <c r="X32">
        <f t="shared" si="4"/>
        <v>1200000</v>
      </c>
      <c r="Z32" s="113" t="s">
        <v>144</v>
      </c>
      <c r="AA32" s="113">
        <v>2010</v>
      </c>
      <c r="AB32" s="60">
        <v>10</v>
      </c>
      <c r="AC32" s="61">
        <v>737000</v>
      </c>
      <c r="AD32" s="113" t="s">
        <v>145</v>
      </c>
      <c r="AE32" s="61">
        <v>737000</v>
      </c>
      <c r="AF32" s="61">
        <v>737000</v>
      </c>
      <c r="AG32">
        <f t="shared" si="15"/>
        <v>2000</v>
      </c>
      <c r="AH32">
        <f t="shared" si="16"/>
        <v>2020</v>
      </c>
      <c r="AI32" s="62">
        <f>AC32+AI33</f>
        <v>14396000</v>
      </c>
      <c r="AK32" s="113" t="s">
        <v>144</v>
      </c>
      <c r="AL32" s="113">
        <v>2010</v>
      </c>
      <c r="AM32" s="60">
        <v>10</v>
      </c>
      <c r="AN32" s="61">
        <v>737000</v>
      </c>
      <c r="AO32" s="113" t="s">
        <v>145</v>
      </c>
      <c r="AP32" s="61">
        <v>737000</v>
      </c>
      <c r="AQ32" s="61">
        <v>737000</v>
      </c>
      <c r="AR32">
        <f t="shared" si="18"/>
        <v>2000</v>
      </c>
      <c r="AS32">
        <f t="shared" si="19"/>
        <v>2020</v>
      </c>
      <c r="AT32" s="62">
        <f>AN32+AT33</f>
        <v>14396000</v>
      </c>
    </row>
    <row r="33" spans="1:46" ht="26">
      <c r="A33" s="120" t="s">
        <v>372</v>
      </c>
      <c r="B33" s="121" t="s">
        <v>321</v>
      </c>
      <c r="C33" s="121">
        <f>(D33+E33)/2</f>
        <v>2117</v>
      </c>
      <c r="D33" s="121">
        <v>2126</v>
      </c>
      <c r="E33" s="121">
        <v>2108</v>
      </c>
      <c r="F33" s="123">
        <v>0.04</v>
      </c>
      <c r="G33" s="122">
        <f t="shared" si="0"/>
        <v>40000</v>
      </c>
      <c r="H33">
        <f t="shared" si="11"/>
        <v>980000</v>
      </c>
      <c r="I33" s="53"/>
      <c r="J33" s="120" t="s">
        <v>372</v>
      </c>
      <c r="K33" s="121">
        <f>(L33+M33)/2</f>
        <v>2117</v>
      </c>
      <c r="L33" s="121">
        <v>2126</v>
      </c>
      <c r="M33" s="121">
        <v>2108</v>
      </c>
      <c r="N33" s="123">
        <v>0.04</v>
      </c>
      <c r="O33" s="122">
        <f t="shared" si="1"/>
        <v>40000</v>
      </c>
      <c r="P33">
        <f t="shared" si="2"/>
        <v>980000</v>
      </c>
      <c r="R33" s="120" t="s">
        <v>368</v>
      </c>
      <c r="S33" s="121">
        <v>2115</v>
      </c>
      <c r="T33" s="121">
        <f>S33</f>
        <v>2115</v>
      </c>
      <c r="U33" s="121">
        <f>T33</f>
        <v>2115</v>
      </c>
      <c r="V33" s="123">
        <v>0.02</v>
      </c>
      <c r="W33" s="122">
        <f t="shared" si="3"/>
        <v>20000</v>
      </c>
      <c r="X33">
        <f t="shared" si="4"/>
        <v>1060000</v>
      </c>
      <c r="Z33" s="113" t="s">
        <v>146</v>
      </c>
      <c r="AA33" s="113">
        <v>2026.5</v>
      </c>
      <c r="AB33" s="60">
        <v>3.5</v>
      </c>
      <c r="AC33" s="61">
        <v>737000</v>
      </c>
      <c r="AD33" s="113" t="s">
        <v>147</v>
      </c>
      <c r="AE33" s="61">
        <v>737000</v>
      </c>
      <c r="AF33" s="61">
        <v>737000</v>
      </c>
      <c r="AG33">
        <f t="shared" si="15"/>
        <v>2023</v>
      </c>
      <c r="AH33">
        <f t="shared" si="16"/>
        <v>2030</v>
      </c>
      <c r="AI33" s="62">
        <f>AC33+AI34</f>
        <v>13659000</v>
      </c>
      <c r="AK33" s="113" t="s">
        <v>146</v>
      </c>
      <c r="AL33" s="113">
        <v>2026.5</v>
      </c>
      <c r="AM33" s="60">
        <v>3.5</v>
      </c>
      <c r="AN33" s="61">
        <v>737000</v>
      </c>
      <c r="AO33" s="113" t="s">
        <v>147</v>
      </c>
      <c r="AP33" s="61">
        <v>737000</v>
      </c>
      <c r="AQ33" s="61">
        <v>737000</v>
      </c>
      <c r="AR33">
        <f t="shared" si="18"/>
        <v>2023</v>
      </c>
      <c r="AS33">
        <f t="shared" si="19"/>
        <v>2030</v>
      </c>
      <c r="AT33" s="62">
        <f>AN33+AT34</f>
        <v>13659000</v>
      </c>
    </row>
    <row r="34" spans="1:46" ht="26">
      <c r="A34" s="120" t="s">
        <v>373</v>
      </c>
      <c r="B34" s="121" t="s">
        <v>322</v>
      </c>
      <c r="C34" s="121">
        <f>(D34+E34)/2</f>
        <v>2125</v>
      </c>
      <c r="D34" s="121">
        <v>2140</v>
      </c>
      <c r="E34" s="121">
        <v>2110</v>
      </c>
      <c r="F34" s="123">
        <v>0.01</v>
      </c>
      <c r="G34" s="122">
        <f t="shared" si="0"/>
        <v>10000</v>
      </c>
      <c r="H34">
        <f t="shared" si="11"/>
        <v>940000</v>
      </c>
      <c r="I34" s="52"/>
      <c r="J34" s="120" t="s">
        <v>373</v>
      </c>
      <c r="K34" s="121">
        <f>(L34+M34)/2</f>
        <v>2125</v>
      </c>
      <c r="L34" s="121">
        <v>2140</v>
      </c>
      <c r="M34" s="121">
        <v>2110</v>
      </c>
      <c r="N34" s="123">
        <v>0.01</v>
      </c>
      <c r="O34" s="122">
        <f t="shared" si="1"/>
        <v>10000</v>
      </c>
      <c r="P34">
        <f t="shared" si="2"/>
        <v>940000</v>
      </c>
      <c r="R34" s="120" t="s">
        <v>369</v>
      </c>
      <c r="S34" s="121">
        <v>2115</v>
      </c>
      <c r="T34" s="121">
        <f>S34</f>
        <v>2115</v>
      </c>
      <c r="U34" s="121">
        <f>T34</f>
        <v>2115</v>
      </c>
      <c r="V34" s="123">
        <v>0.11</v>
      </c>
      <c r="W34" s="122">
        <f t="shared" si="3"/>
        <v>110000</v>
      </c>
      <c r="X34">
        <f t="shared" si="4"/>
        <v>1040000</v>
      </c>
      <c r="Z34" s="113" t="s">
        <v>148</v>
      </c>
      <c r="AA34" s="113">
        <v>2039.5</v>
      </c>
      <c r="AB34" s="60">
        <v>1.5</v>
      </c>
      <c r="AC34" s="61">
        <v>737000</v>
      </c>
      <c r="AD34" s="113">
        <v>20</v>
      </c>
      <c r="AE34" s="61">
        <v>737000</v>
      </c>
      <c r="AF34" s="61">
        <v>737000</v>
      </c>
      <c r="AG34">
        <f t="shared" si="15"/>
        <v>2038</v>
      </c>
      <c r="AH34">
        <f t="shared" si="16"/>
        <v>2041</v>
      </c>
      <c r="AI34" s="62">
        <f t="shared" si="17"/>
        <v>12922000</v>
      </c>
      <c r="AK34" s="113" t="s">
        <v>148</v>
      </c>
      <c r="AL34" s="113">
        <v>2039.5</v>
      </c>
      <c r="AM34" s="60">
        <v>1.5</v>
      </c>
      <c r="AN34" s="61">
        <v>737000</v>
      </c>
      <c r="AO34" s="113">
        <v>20</v>
      </c>
      <c r="AP34" s="61">
        <v>737000</v>
      </c>
      <c r="AQ34" s="61">
        <v>737000</v>
      </c>
      <c r="AR34">
        <f t="shared" si="18"/>
        <v>2038</v>
      </c>
      <c r="AS34">
        <f t="shared" si="19"/>
        <v>2041</v>
      </c>
      <c r="AT34" s="62">
        <f t="shared" si="20"/>
        <v>12922000</v>
      </c>
    </row>
    <row r="35" spans="1:46" ht="39">
      <c r="A35" s="120" t="s">
        <v>375</v>
      </c>
      <c r="B35" s="121">
        <v>2150</v>
      </c>
      <c r="C35" s="121">
        <v>2150</v>
      </c>
      <c r="D35" s="121">
        <f>C35</f>
        <v>2150</v>
      </c>
      <c r="E35" s="121">
        <f>C35</f>
        <v>2150</v>
      </c>
      <c r="F35" s="123">
        <v>0.04</v>
      </c>
      <c r="G35" s="122">
        <f t="shared" si="0"/>
        <v>40000</v>
      </c>
      <c r="H35">
        <f t="shared" si="11"/>
        <v>930000</v>
      </c>
      <c r="I35" s="53"/>
      <c r="J35" s="120" t="s">
        <v>375</v>
      </c>
      <c r="K35" s="121">
        <v>2150</v>
      </c>
      <c r="L35" s="121">
        <f>K35</f>
        <v>2150</v>
      </c>
      <c r="M35" s="121">
        <f>K35</f>
        <v>2150</v>
      </c>
      <c r="N35" s="123">
        <v>0.04</v>
      </c>
      <c r="O35" s="122">
        <f t="shared" si="1"/>
        <v>40000</v>
      </c>
      <c r="P35">
        <f t="shared" si="2"/>
        <v>930000</v>
      </c>
      <c r="R35" s="120" t="s">
        <v>375</v>
      </c>
      <c r="S35" s="121">
        <v>2150</v>
      </c>
      <c r="T35" s="121">
        <f>S35</f>
        <v>2150</v>
      </c>
      <c r="U35" s="121">
        <f>S35</f>
        <v>2150</v>
      </c>
      <c r="V35" s="123">
        <v>0.04</v>
      </c>
      <c r="W35" s="122">
        <f t="shared" si="3"/>
        <v>40000</v>
      </c>
      <c r="X35">
        <f t="shared" si="4"/>
        <v>930000</v>
      </c>
      <c r="Z35" s="113" t="s">
        <v>153</v>
      </c>
      <c r="AA35" s="113">
        <v>2120</v>
      </c>
      <c r="AB35" s="60">
        <v>67</v>
      </c>
      <c r="AC35" s="61">
        <v>1060000</v>
      </c>
      <c r="AD35" s="113" t="s">
        <v>154</v>
      </c>
      <c r="AE35" s="56"/>
      <c r="AF35" s="56"/>
      <c r="AG35">
        <f t="shared" si="15"/>
        <v>2053</v>
      </c>
      <c r="AH35">
        <f t="shared" si="16"/>
        <v>2187</v>
      </c>
      <c r="AI35" s="62">
        <f t="shared" si="17"/>
        <v>12185000</v>
      </c>
      <c r="AK35" s="113" t="s">
        <v>149</v>
      </c>
      <c r="AL35" s="113">
        <v>2076.5</v>
      </c>
      <c r="AM35" s="60">
        <v>4.5</v>
      </c>
      <c r="AN35" s="61">
        <v>737000</v>
      </c>
      <c r="AO35" s="113" t="s">
        <v>150</v>
      </c>
      <c r="AP35" s="61">
        <v>737000</v>
      </c>
      <c r="AQ35" s="61">
        <v>737000</v>
      </c>
      <c r="AR35">
        <f t="shared" si="18"/>
        <v>2072</v>
      </c>
      <c r="AS35">
        <f t="shared" si="19"/>
        <v>2081</v>
      </c>
      <c r="AT35" s="62">
        <f t="shared" si="20"/>
        <v>12185000</v>
      </c>
    </row>
    <row r="36" spans="1:46" ht="26">
      <c r="A36" s="120" t="s">
        <v>376</v>
      </c>
      <c r="B36" s="121">
        <v>2150</v>
      </c>
      <c r="C36" s="121">
        <v>2150</v>
      </c>
      <c r="D36" s="121">
        <f>C36</f>
        <v>2150</v>
      </c>
      <c r="E36" s="121">
        <f>C36</f>
        <v>2150</v>
      </c>
      <c r="F36" s="123">
        <v>7.0000000000000007E-2</v>
      </c>
      <c r="G36" s="122">
        <f t="shared" si="0"/>
        <v>70000</v>
      </c>
      <c r="H36">
        <f t="shared" si="11"/>
        <v>890000</v>
      </c>
      <c r="J36" s="120" t="s">
        <v>376</v>
      </c>
      <c r="K36" s="121">
        <v>2150</v>
      </c>
      <c r="L36" s="121">
        <f>K36</f>
        <v>2150</v>
      </c>
      <c r="M36" s="121">
        <f>K36</f>
        <v>2150</v>
      </c>
      <c r="N36" s="123">
        <v>7.0000000000000007E-2</v>
      </c>
      <c r="O36" s="122">
        <f t="shared" si="1"/>
        <v>70000</v>
      </c>
      <c r="P36">
        <f t="shared" si="2"/>
        <v>890000</v>
      </c>
      <c r="R36" s="120" t="s">
        <v>376</v>
      </c>
      <c r="S36" s="121">
        <v>2150</v>
      </c>
      <c r="T36" s="121">
        <f>S36</f>
        <v>2150</v>
      </c>
      <c r="U36" s="121">
        <f>S36</f>
        <v>2150</v>
      </c>
      <c r="V36" s="123">
        <v>7.0000000000000007E-2</v>
      </c>
      <c r="W36" s="122">
        <f t="shared" si="3"/>
        <v>70000</v>
      </c>
      <c r="X36">
        <f t="shared" si="4"/>
        <v>890000</v>
      </c>
      <c r="Z36" s="113" t="s">
        <v>149</v>
      </c>
      <c r="AA36" s="113">
        <v>2076.5</v>
      </c>
      <c r="AB36" s="60">
        <v>4.5</v>
      </c>
      <c r="AC36" s="61">
        <v>737000</v>
      </c>
      <c r="AD36" s="113" t="s">
        <v>150</v>
      </c>
      <c r="AE36" s="61">
        <v>737000</v>
      </c>
      <c r="AF36" s="61">
        <v>737000</v>
      </c>
      <c r="AG36">
        <f t="shared" si="15"/>
        <v>2072</v>
      </c>
      <c r="AH36">
        <f t="shared" si="16"/>
        <v>2081</v>
      </c>
      <c r="AI36" s="62">
        <f t="shared" si="17"/>
        <v>11125000</v>
      </c>
      <c r="AK36" s="113" t="s">
        <v>151</v>
      </c>
      <c r="AL36" s="113">
        <v>2113</v>
      </c>
      <c r="AM36" s="60">
        <v>4</v>
      </c>
      <c r="AN36" s="61">
        <v>737000</v>
      </c>
      <c r="AO36" s="113">
        <v>21</v>
      </c>
      <c r="AP36" s="61">
        <v>1470000</v>
      </c>
      <c r="AQ36" s="61">
        <v>3270000</v>
      </c>
      <c r="AR36">
        <f t="shared" si="18"/>
        <v>2109</v>
      </c>
      <c r="AS36">
        <f t="shared" si="19"/>
        <v>2117</v>
      </c>
      <c r="AT36" s="62">
        <f t="shared" si="20"/>
        <v>11448000</v>
      </c>
    </row>
    <row r="37" spans="1:46" ht="26">
      <c r="A37" s="120" t="s">
        <v>377</v>
      </c>
      <c r="B37" s="121" t="s">
        <v>323</v>
      </c>
      <c r="C37" s="121">
        <f>(D37+E37)/2</f>
        <v>2169.5</v>
      </c>
      <c r="D37" s="121">
        <v>2172</v>
      </c>
      <c r="E37" s="121">
        <v>2167</v>
      </c>
      <c r="F37" s="123">
        <v>0.45</v>
      </c>
      <c r="G37" s="122">
        <f t="shared" si="0"/>
        <v>450000</v>
      </c>
      <c r="H37">
        <f t="shared" si="11"/>
        <v>820000</v>
      </c>
      <c r="J37" s="120" t="s">
        <v>377</v>
      </c>
      <c r="K37" s="121">
        <f>(L37+M37)/2</f>
        <v>2169.5</v>
      </c>
      <c r="L37" s="121">
        <v>2172</v>
      </c>
      <c r="M37" s="121">
        <v>2167</v>
      </c>
      <c r="N37" s="123">
        <v>0.45</v>
      </c>
      <c r="O37" s="122">
        <f t="shared" si="1"/>
        <v>450000</v>
      </c>
      <c r="P37">
        <f t="shared" si="2"/>
        <v>820000</v>
      </c>
      <c r="R37" s="120" t="s">
        <v>377</v>
      </c>
      <c r="S37" s="121">
        <f>(T37+U37)/2</f>
        <v>2169.5</v>
      </c>
      <c r="T37" s="121">
        <v>2172</v>
      </c>
      <c r="U37" s="121">
        <v>2167</v>
      </c>
      <c r="V37" s="123">
        <v>0.45</v>
      </c>
      <c r="W37" s="122">
        <f t="shared" si="3"/>
        <v>450000</v>
      </c>
      <c r="X37">
        <f t="shared" si="4"/>
        <v>820000</v>
      </c>
      <c r="Z37" s="113" t="s">
        <v>152</v>
      </c>
      <c r="AA37" s="113">
        <v>2114.5</v>
      </c>
      <c r="AB37" s="60">
        <v>10.5</v>
      </c>
      <c r="AC37" s="61">
        <v>737000</v>
      </c>
      <c r="AD37" s="113">
        <v>21</v>
      </c>
      <c r="AE37" s="61">
        <v>737000</v>
      </c>
      <c r="AF37" s="56"/>
      <c r="AG37">
        <f t="shared" si="15"/>
        <v>2104</v>
      </c>
      <c r="AH37">
        <f t="shared" si="16"/>
        <v>2125</v>
      </c>
      <c r="AI37" s="62">
        <f>AC37+AI53</f>
        <v>10388000</v>
      </c>
      <c r="AK37" s="113" t="s">
        <v>152</v>
      </c>
      <c r="AL37" s="113">
        <v>2114.5</v>
      </c>
      <c r="AM37" s="60">
        <v>10.5</v>
      </c>
      <c r="AN37" s="61">
        <v>737000</v>
      </c>
      <c r="AO37" s="113">
        <v>21</v>
      </c>
      <c r="AP37" s="61">
        <v>737000</v>
      </c>
      <c r="AQ37" s="56"/>
      <c r="AR37">
        <f t="shared" si="18"/>
        <v>2104</v>
      </c>
      <c r="AS37">
        <f t="shared" si="19"/>
        <v>2125</v>
      </c>
      <c r="AT37" s="62">
        <f>AN37+AT53</f>
        <v>10711000</v>
      </c>
    </row>
    <row r="38" spans="1:46">
      <c r="A38" s="120" t="s">
        <v>379</v>
      </c>
      <c r="B38" s="121">
        <v>2180</v>
      </c>
      <c r="C38" s="121">
        <v>2180</v>
      </c>
      <c r="D38" s="121">
        <f>C38</f>
        <v>2180</v>
      </c>
      <c r="E38" s="121">
        <f>C38</f>
        <v>2180</v>
      </c>
      <c r="F38" s="123">
        <v>0.28999999999999998</v>
      </c>
      <c r="G38" s="122">
        <f t="shared" si="0"/>
        <v>290000</v>
      </c>
      <c r="H38">
        <f t="shared" si="11"/>
        <v>370000</v>
      </c>
      <c r="J38" s="120" t="s">
        <v>379</v>
      </c>
      <c r="K38" s="121">
        <v>2180</v>
      </c>
      <c r="L38" s="121">
        <f>K38</f>
        <v>2180</v>
      </c>
      <c r="M38" s="121">
        <f>K38</f>
        <v>2180</v>
      </c>
      <c r="N38" s="123">
        <v>0.28999999999999998</v>
      </c>
      <c r="O38" s="122">
        <f t="shared" si="1"/>
        <v>290000</v>
      </c>
      <c r="P38">
        <f t="shared" si="2"/>
        <v>370000</v>
      </c>
      <c r="R38" s="120" t="s">
        <v>379</v>
      </c>
      <c r="S38" s="121">
        <v>2180</v>
      </c>
      <c r="T38" s="121">
        <f>S38</f>
        <v>2180</v>
      </c>
      <c r="U38" s="121">
        <f>S38</f>
        <v>2180</v>
      </c>
      <c r="V38" s="123">
        <v>0.28999999999999998</v>
      </c>
      <c r="W38" s="122">
        <f t="shared" si="3"/>
        <v>290000</v>
      </c>
      <c r="X38">
        <f t="shared" si="4"/>
        <v>370000</v>
      </c>
    </row>
    <row r="39" spans="1:46" ht="26">
      <c r="A39" s="120" t="s">
        <v>380</v>
      </c>
      <c r="B39" s="121" t="s">
        <v>325</v>
      </c>
      <c r="C39" s="121">
        <f>(D39+E39)/2</f>
        <v>2186.5</v>
      </c>
      <c r="D39" s="121">
        <v>2193</v>
      </c>
      <c r="E39" s="121">
        <v>2180</v>
      </c>
      <c r="F39" s="123">
        <v>0.04</v>
      </c>
      <c r="G39" s="122">
        <f t="shared" si="0"/>
        <v>40000</v>
      </c>
      <c r="H39">
        <f t="shared" si="11"/>
        <v>80000</v>
      </c>
      <c r="I39" s="73"/>
      <c r="J39" s="120" t="s">
        <v>381</v>
      </c>
      <c r="K39" s="121">
        <v>2190</v>
      </c>
      <c r="L39" s="121">
        <f>K39</f>
        <v>2190</v>
      </c>
      <c r="M39" s="121">
        <f>L39</f>
        <v>2190</v>
      </c>
      <c r="N39" s="123">
        <v>0.04</v>
      </c>
      <c r="O39" s="122">
        <f t="shared" si="1"/>
        <v>40000</v>
      </c>
      <c r="P39">
        <f>O39+P40</f>
        <v>80000</v>
      </c>
      <c r="R39" s="120" t="s">
        <v>380</v>
      </c>
      <c r="S39" s="121">
        <f>(T39+U39)/2</f>
        <v>2186.5</v>
      </c>
      <c r="T39" s="121">
        <v>2193</v>
      </c>
      <c r="U39" s="121">
        <v>2180</v>
      </c>
      <c r="V39" s="123">
        <v>0.04</v>
      </c>
      <c r="W39" s="122">
        <f t="shared" si="3"/>
        <v>40000</v>
      </c>
      <c r="X39">
        <f>W39+X40</f>
        <v>80000</v>
      </c>
      <c r="Z39" s="113" t="s">
        <v>155</v>
      </c>
      <c r="AA39" s="113">
        <v>2123</v>
      </c>
      <c r="AB39" s="60">
        <v>10</v>
      </c>
      <c r="AC39" s="61">
        <v>737000</v>
      </c>
      <c r="AD39" s="113" t="s">
        <v>154</v>
      </c>
      <c r="AE39" s="56"/>
      <c r="AF39" s="56"/>
      <c r="AG39">
        <f t="shared" si="15"/>
        <v>2113</v>
      </c>
      <c r="AH39">
        <f t="shared" si="16"/>
        <v>2133</v>
      </c>
      <c r="AI39" s="62">
        <f>AC39+AI52</f>
        <v>8914000</v>
      </c>
      <c r="AK39" s="113" t="s">
        <v>158</v>
      </c>
      <c r="AL39" s="113">
        <v>2166.6999999999998</v>
      </c>
      <c r="AM39" s="60">
        <v>1.4</v>
      </c>
      <c r="AN39" s="61">
        <v>4610000</v>
      </c>
      <c r="AO39" s="113">
        <v>22</v>
      </c>
      <c r="AP39" s="61">
        <v>4610000</v>
      </c>
      <c r="AQ39" s="61">
        <v>5670000</v>
      </c>
      <c r="AR39">
        <f t="shared" si="18"/>
        <v>2165.2999999999997</v>
      </c>
      <c r="AS39">
        <f t="shared" si="19"/>
        <v>2168.1</v>
      </c>
      <c r="AT39" s="62">
        <f>AN39+AT52</f>
        <v>9237000</v>
      </c>
    </row>
    <row r="40" spans="1:46">
      <c r="A40" s="120" t="s">
        <v>381</v>
      </c>
      <c r="B40" s="121">
        <v>2190</v>
      </c>
      <c r="C40" s="121">
        <v>2190</v>
      </c>
      <c r="D40" s="121">
        <f>C40</f>
        <v>2190</v>
      </c>
      <c r="E40" s="121">
        <f>D40</f>
        <v>2190</v>
      </c>
      <c r="F40" s="123">
        <v>0.04</v>
      </c>
      <c r="G40" s="122">
        <f t="shared" si="0"/>
        <v>40000</v>
      </c>
      <c r="H40">
        <f>G40</f>
        <v>40000</v>
      </c>
      <c r="J40" s="120" t="s">
        <v>380</v>
      </c>
      <c r="K40" s="121">
        <f>(L40+M40)/2</f>
        <v>2186.5</v>
      </c>
      <c r="L40" s="121">
        <v>2193</v>
      </c>
      <c r="M40" s="121">
        <v>2180</v>
      </c>
      <c r="N40" s="123">
        <v>0.04</v>
      </c>
      <c r="O40" s="122">
        <f t="shared" si="1"/>
        <v>40000</v>
      </c>
      <c r="P40">
        <f>O40</f>
        <v>40000</v>
      </c>
      <c r="R40" s="120" t="s">
        <v>381</v>
      </c>
      <c r="S40" s="121">
        <v>2190</v>
      </c>
      <c r="T40" s="121">
        <f>S40</f>
        <v>2190</v>
      </c>
      <c r="U40" s="121">
        <f>T40</f>
        <v>2190</v>
      </c>
      <c r="V40" s="123">
        <v>0.04</v>
      </c>
      <c r="W40" s="122">
        <f t="shared" si="3"/>
        <v>40000</v>
      </c>
      <c r="X40">
        <f>W40+X41</f>
        <v>40000</v>
      </c>
    </row>
    <row r="41" spans="1:46" ht="39">
      <c r="A41" s="118"/>
      <c r="B41" s="117"/>
      <c r="C41" s="117"/>
      <c r="D41" s="117"/>
      <c r="E41" s="117"/>
      <c r="F41" s="117"/>
      <c r="G41" s="117"/>
      <c r="Z41" s="113" t="s">
        <v>161</v>
      </c>
      <c r="AA41" s="113">
        <v>2200</v>
      </c>
      <c r="AB41" s="60">
        <v>35</v>
      </c>
      <c r="AC41" s="61">
        <v>1660000</v>
      </c>
      <c r="AD41" s="113" t="s">
        <v>162</v>
      </c>
      <c r="AE41" s="56"/>
      <c r="AF41" s="56"/>
      <c r="AG41">
        <f>AA41-AB41</f>
        <v>2165</v>
      </c>
      <c r="AH41">
        <f>AA41+AB41</f>
        <v>2235</v>
      </c>
      <c r="AI41" s="62">
        <f>AC41+AI42</f>
        <v>7117000</v>
      </c>
      <c r="AK41" s="113" t="s">
        <v>153</v>
      </c>
      <c r="AL41" s="113">
        <v>2120</v>
      </c>
      <c r="AM41" s="60">
        <v>67</v>
      </c>
      <c r="AN41" s="61">
        <v>1060000</v>
      </c>
      <c r="AO41" s="113" t="s">
        <v>154</v>
      </c>
      <c r="AP41" s="56"/>
      <c r="AQ41" s="56"/>
      <c r="AR41">
        <f t="shared" si="18"/>
        <v>2053</v>
      </c>
      <c r="AS41">
        <f t="shared" si="19"/>
        <v>2187</v>
      </c>
      <c r="AT41" s="62">
        <f t="shared" si="20"/>
        <v>3567000</v>
      </c>
    </row>
    <row r="42" spans="1:46" ht="26">
      <c r="A42" s="119" t="s">
        <v>389</v>
      </c>
      <c r="B42" s="117"/>
      <c r="C42" s="117"/>
      <c r="D42" s="117"/>
      <c r="E42" s="117"/>
      <c r="F42" s="117"/>
      <c r="G42" s="117"/>
      <c r="I42" s="73"/>
      <c r="Z42" s="113" t="s">
        <v>158</v>
      </c>
      <c r="AA42" s="113">
        <v>2166.6999999999998</v>
      </c>
      <c r="AB42" s="60">
        <v>1.4</v>
      </c>
      <c r="AC42" s="61">
        <v>4610000</v>
      </c>
      <c r="AD42" s="113">
        <v>22</v>
      </c>
      <c r="AE42" s="61">
        <v>4610000</v>
      </c>
      <c r="AF42" s="61">
        <v>5670000</v>
      </c>
      <c r="AG42">
        <f>AA42-AB42</f>
        <v>2165.2999999999997</v>
      </c>
      <c r="AH42">
        <f>AA42+AB42</f>
        <v>2168.1</v>
      </c>
      <c r="AI42" s="62">
        <f>AC42+AI43</f>
        <v>5457000</v>
      </c>
      <c r="AK42" s="113" t="s">
        <v>159</v>
      </c>
      <c r="AL42" s="113">
        <v>2183.6999999999998</v>
      </c>
      <c r="AM42" s="60">
        <v>6.7</v>
      </c>
      <c r="AN42" s="61">
        <v>110000</v>
      </c>
      <c r="AO42" s="113" t="s">
        <v>160</v>
      </c>
      <c r="AP42" s="61">
        <v>110000</v>
      </c>
      <c r="AQ42" s="61">
        <v>110000</v>
      </c>
      <c r="AR42">
        <f t="shared" si="18"/>
        <v>2177</v>
      </c>
      <c r="AS42">
        <f t="shared" si="19"/>
        <v>2190.3999999999996</v>
      </c>
      <c r="AT42" s="62">
        <f t="shared" si="20"/>
        <v>2507000</v>
      </c>
    </row>
    <row r="43" spans="1:46" ht="26">
      <c r="A43" s="118"/>
      <c r="B43" s="117"/>
      <c r="C43" s="117"/>
      <c r="D43" s="117"/>
      <c r="E43" s="117"/>
      <c r="F43" s="117"/>
      <c r="G43" s="117"/>
      <c r="J43" s="74"/>
      <c r="R43" s="74"/>
      <c r="Z43" s="113" t="s">
        <v>159</v>
      </c>
      <c r="AA43" s="113">
        <v>2183.6999999999998</v>
      </c>
      <c r="AB43" s="60">
        <v>6.7</v>
      </c>
      <c r="AC43" s="61">
        <v>110000</v>
      </c>
      <c r="AD43" s="113" t="s">
        <v>160</v>
      </c>
      <c r="AE43" s="61">
        <v>110000</v>
      </c>
      <c r="AF43" s="61">
        <v>110000</v>
      </c>
      <c r="AG43">
        <f>AA43-AB43</f>
        <v>2177</v>
      </c>
      <c r="AH43">
        <f>AA43+AB43</f>
        <v>2190.3999999999996</v>
      </c>
      <c r="AI43" s="62">
        <f>AC43+AI44</f>
        <v>847000</v>
      </c>
      <c r="AK43" s="113" t="s">
        <v>163</v>
      </c>
      <c r="AL43" s="113">
        <v>2209</v>
      </c>
      <c r="AM43" s="60">
        <v>2</v>
      </c>
      <c r="AN43" s="61">
        <v>737000</v>
      </c>
      <c r="AO43" s="113">
        <v>23</v>
      </c>
      <c r="AP43" s="61">
        <v>737000</v>
      </c>
      <c r="AQ43" s="61">
        <v>6080000</v>
      </c>
      <c r="AR43">
        <f t="shared" si="18"/>
        <v>2207</v>
      </c>
      <c r="AS43">
        <f t="shared" si="19"/>
        <v>2211</v>
      </c>
      <c r="AT43" s="62">
        <f>AN43+AT44</f>
        <v>2397000</v>
      </c>
    </row>
    <row r="44" spans="1:46" ht="39">
      <c r="A44" s="74"/>
      <c r="Z44" s="113" t="s">
        <v>163</v>
      </c>
      <c r="AA44" s="113">
        <v>2209</v>
      </c>
      <c r="AB44" s="60">
        <v>2</v>
      </c>
      <c r="AC44" s="61">
        <v>737000</v>
      </c>
      <c r="AD44" s="113">
        <v>23</v>
      </c>
      <c r="AE44" s="61">
        <v>737000</v>
      </c>
      <c r="AF44" s="61">
        <v>6080000</v>
      </c>
      <c r="AG44">
        <f>AA44-AB44</f>
        <v>2207</v>
      </c>
      <c r="AH44">
        <f>AA44+AB44</f>
        <v>2211</v>
      </c>
      <c r="AI44" s="62">
        <f>AC44</f>
        <v>737000</v>
      </c>
      <c r="AK44" s="113" t="s">
        <v>161</v>
      </c>
      <c r="AL44" s="113">
        <v>2200</v>
      </c>
      <c r="AM44" s="60">
        <v>35</v>
      </c>
      <c r="AN44" s="61">
        <v>1660000</v>
      </c>
      <c r="AO44" s="113" t="s">
        <v>162</v>
      </c>
      <c r="AP44" s="56"/>
      <c r="AQ44" s="56"/>
      <c r="AR44">
        <f t="shared" si="18"/>
        <v>2165</v>
      </c>
      <c r="AS44">
        <f t="shared" si="19"/>
        <v>2235</v>
      </c>
      <c r="AT44" s="62">
        <f>AN44</f>
        <v>1660000</v>
      </c>
    </row>
    <row r="45" spans="1:46" ht="34">
      <c r="A45" s="118" t="s">
        <v>386</v>
      </c>
      <c r="B45" s="117" t="s">
        <v>385</v>
      </c>
      <c r="C45" s="114" t="s">
        <v>384</v>
      </c>
      <c r="D45" s="114" t="s">
        <v>383</v>
      </c>
      <c r="E45" s="114" t="s">
        <v>125</v>
      </c>
      <c r="F45" s="117" t="s">
        <v>387</v>
      </c>
      <c r="G45" s="117" t="s">
        <v>388</v>
      </c>
    </row>
    <row r="46" spans="1:46">
      <c r="A46" s="120" t="s">
        <v>327</v>
      </c>
      <c r="B46" s="121">
        <v>1870</v>
      </c>
      <c r="C46" s="121">
        <v>1870</v>
      </c>
      <c r="D46" s="122"/>
      <c r="E46" s="122"/>
      <c r="F46" s="123">
        <v>0.57999999999999996</v>
      </c>
      <c r="G46" s="122">
        <f>F46*10^6</f>
        <v>580000</v>
      </c>
    </row>
    <row r="47" spans="1:46">
      <c r="A47" s="120" t="s">
        <v>328</v>
      </c>
      <c r="B47" s="121" t="s">
        <v>302</v>
      </c>
      <c r="C47" s="121">
        <f>(D47+E47)/2</f>
        <v>1860</v>
      </c>
      <c r="D47" s="121">
        <v>1880</v>
      </c>
      <c r="E47" s="121">
        <v>1840</v>
      </c>
      <c r="F47" s="123">
        <v>0.04</v>
      </c>
      <c r="G47" s="122">
        <f t="shared" ref="G47:G85" si="21">F47*10^6</f>
        <v>40000</v>
      </c>
    </row>
    <row r="48" spans="1:46">
      <c r="A48" s="120" t="s">
        <v>329</v>
      </c>
      <c r="B48" s="121" t="s">
        <v>303</v>
      </c>
      <c r="C48" s="121">
        <f>(D48+E48)/2</f>
        <v>1877.5</v>
      </c>
      <c r="D48" s="121">
        <v>1885</v>
      </c>
      <c r="E48" s="121">
        <v>1870</v>
      </c>
      <c r="F48" s="123">
        <v>0.2</v>
      </c>
      <c r="G48" s="122">
        <f t="shared" si="21"/>
        <v>200000</v>
      </c>
      <c r="L48" s="74"/>
      <c r="T48" s="74"/>
    </row>
    <row r="49" spans="1:46">
      <c r="A49" s="120" t="s">
        <v>330</v>
      </c>
      <c r="B49" s="121" t="s">
        <v>304</v>
      </c>
      <c r="C49" s="121">
        <f>(D49+E49)/2</f>
        <v>1880</v>
      </c>
      <c r="D49" s="121">
        <v>1890</v>
      </c>
      <c r="E49" s="121">
        <v>1870</v>
      </c>
      <c r="F49" s="123">
        <v>0.21</v>
      </c>
      <c r="G49" s="122">
        <f t="shared" si="21"/>
        <v>210000</v>
      </c>
    </row>
    <row r="50" spans="1:46">
      <c r="A50" s="120" t="s">
        <v>331</v>
      </c>
      <c r="B50" s="121">
        <v>1880</v>
      </c>
      <c r="C50" s="121">
        <v>1880</v>
      </c>
      <c r="D50" s="121"/>
      <c r="E50" s="121"/>
      <c r="F50" s="123">
        <v>0.18</v>
      </c>
      <c r="G50" s="122">
        <f t="shared" si="21"/>
        <v>180000</v>
      </c>
    </row>
    <row r="51" spans="1:46">
      <c r="A51" s="120" t="s">
        <v>333</v>
      </c>
      <c r="B51" s="121">
        <v>1890</v>
      </c>
      <c r="C51" s="121">
        <v>1890</v>
      </c>
      <c r="D51" s="121"/>
      <c r="E51" s="121"/>
      <c r="F51" s="123">
        <v>0.18</v>
      </c>
      <c r="G51" s="122">
        <f t="shared" si="21"/>
        <v>180000</v>
      </c>
    </row>
    <row r="52" spans="1:46" ht="39">
      <c r="A52" s="120" t="s">
        <v>335</v>
      </c>
      <c r="B52" s="121">
        <v>1880</v>
      </c>
      <c r="C52" s="121">
        <v>1880</v>
      </c>
      <c r="D52" s="121"/>
      <c r="E52" s="121"/>
      <c r="F52" s="123">
        <v>1.5</v>
      </c>
      <c r="G52" s="122">
        <f t="shared" si="21"/>
        <v>1500000</v>
      </c>
      <c r="Z52" s="113" t="s">
        <v>156</v>
      </c>
      <c r="AA52" s="113">
        <v>2145</v>
      </c>
      <c r="AB52" s="60">
        <v>25</v>
      </c>
      <c r="AC52" s="61">
        <v>1060000</v>
      </c>
      <c r="AD52" s="113" t="s">
        <v>157</v>
      </c>
      <c r="AE52" s="56"/>
      <c r="AF52" s="56"/>
      <c r="AG52">
        <f>AA52-AB52</f>
        <v>2120</v>
      </c>
      <c r="AH52">
        <f>AA52+AB52</f>
        <v>2170</v>
      </c>
      <c r="AI52" s="62">
        <f>AC52+AI41</f>
        <v>8177000</v>
      </c>
      <c r="AK52" s="113" t="s">
        <v>156</v>
      </c>
      <c r="AL52" s="113">
        <v>2145</v>
      </c>
      <c r="AM52" s="60">
        <v>25</v>
      </c>
      <c r="AN52" s="61">
        <v>1060000</v>
      </c>
      <c r="AO52" s="113" t="s">
        <v>157</v>
      </c>
      <c r="AP52" s="56"/>
      <c r="AQ52" s="56"/>
      <c r="AR52">
        <f>AL52-AM52</f>
        <v>2120</v>
      </c>
      <c r="AS52">
        <f>AL52+AM52</f>
        <v>2170</v>
      </c>
      <c r="AT52" s="62">
        <f>AN52+AT41</f>
        <v>4627000</v>
      </c>
    </row>
    <row r="53" spans="1:46" ht="26">
      <c r="A53" s="120" t="s">
        <v>338</v>
      </c>
      <c r="B53" s="121">
        <v>1900</v>
      </c>
      <c r="C53" s="121">
        <v>1900</v>
      </c>
      <c r="D53" s="121"/>
      <c r="E53" s="121"/>
      <c r="F53" s="123">
        <v>0.04</v>
      </c>
      <c r="G53" s="122">
        <f t="shared" si="21"/>
        <v>40000</v>
      </c>
      <c r="Z53" s="113" t="s">
        <v>151</v>
      </c>
      <c r="AA53" s="113">
        <v>2113</v>
      </c>
      <c r="AB53" s="60">
        <v>4</v>
      </c>
      <c r="AC53" s="61">
        <v>737000</v>
      </c>
      <c r="AD53" s="113">
        <v>21</v>
      </c>
      <c r="AE53" s="61">
        <v>1470000</v>
      </c>
      <c r="AF53" s="61">
        <v>3270000</v>
      </c>
      <c r="AG53">
        <f>AA53-AB53</f>
        <v>2109</v>
      </c>
      <c r="AH53">
        <f>AA53+AB53</f>
        <v>2117</v>
      </c>
      <c r="AI53" s="62">
        <f>AC53+AI39</f>
        <v>9651000</v>
      </c>
      <c r="AK53" s="113" t="s">
        <v>155</v>
      </c>
      <c r="AL53" s="113">
        <v>2123</v>
      </c>
      <c r="AM53" s="60">
        <v>10</v>
      </c>
      <c r="AN53" s="61">
        <v>737000</v>
      </c>
      <c r="AO53" s="113" t="s">
        <v>154</v>
      </c>
      <c r="AP53" s="56"/>
      <c r="AQ53" s="56"/>
      <c r="AR53">
        <f>AL53-AM53</f>
        <v>2113</v>
      </c>
      <c r="AS53">
        <f>AL53+AM53</f>
        <v>2133</v>
      </c>
      <c r="AT53" s="62">
        <f>AN53+AT39</f>
        <v>9974000</v>
      </c>
    </row>
    <row r="54" spans="1:46">
      <c r="A54" s="120" t="s">
        <v>339</v>
      </c>
      <c r="B54" s="121" t="s">
        <v>307</v>
      </c>
      <c r="C54" s="121">
        <f>(D54+E54)/2</f>
        <v>1920</v>
      </c>
      <c r="D54" s="121">
        <f>1920+50</f>
        <v>1970</v>
      </c>
      <c r="E54" s="121">
        <f>1920-50</f>
        <v>1870</v>
      </c>
      <c r="F54" s="123">
        <v>7.0000000000000007E-2</v>
      </c>
      <c r="G54" s="122">
        <f t="shared" si="21"/>
        <v>70000</v>
      </c>
    </row>
    <row r="55" spans="1:46">
      <c r="A55" s="120" t="s">
        <v>340</v>
      </c>
      <c r="B55" s="121" t="s">
        <v>308</v>
      </c>
      <c r="C55" s="121">
        <f>(D55+E55)/2</f>
        <v>1920</v>
      </c>
      <c r="D55" s="121">
        <v>1930</v>
      </c>
      <c r="E55" s="121">
        <v>1910</v>
      </c>
      <c r="F55" s="123">
        <v>0.27</v>
      </c>
      <c r="G55" s="122">
        <f t="shared" si="21"/>
        <v>270000</v>
      </c>
    </row>
    <row r="56" spans="1:46">
      <c r="A56" s="120" t="s">
        <v>343</v>
      </c>
      <c r="B56" s="121" t="s">
        <v>309</v>
      </c>
      <c r="C56" s="121">
        <f>(D56+E56)/2</f>
        <v>1945</v>
      </c>
      <c r="D56" s="121">
        <v>1960</v>
      </c>
      <c r="E56" s="121">
        <v>1930</v>
      </c>
      <c r="F56" s="123">
        <v>0.03</v>
      </c>
      <c r="G56" s="122">
        <f t="shared" si="21"/>
        <v>30000</v>
      </c>
    </row>
    <row r="57" spans="1:46">
      <c r="A57" s="120" t="s">
        <v>344</v>
      </c>
      <c r="B57" s="121">
        <v>1970</v>
      </c>
      <c r="C57" s="121">
        <v>1970</v>
      </c>
      <c r="D57" s="121"/>
      <c r="E57" s="121"/>
      <c r="F57" s="123">
        <v>0.02</v>
      </c>
      <c r="G57" s="122">
        <f t="shared" si="21"/>
        <v>20000</v>
      </c>
    </row>
    <row r="58" spans="1:46">
      <c r="A58" s="120" t="s">
        <v>345</v>
      </c>
      <c r="B58" s="121">
        <v>1970</v>
      </c>
      <c r="C58" s="121">
        <v>1970</v>
      </c>
      <c r="D58" s="121"/>
      <c r="E58" s="121"/>
      <c r="F58" s="123">
        <v>0.5</v>
      </c>
      <c r="G58" s="122">
        <f t="shared" si="21"/>
        <v>500000</v>
      </c>
    </row>
    <row r="59" spans="1:46">
      <c r="A59" s="120" t="s">
        <v>346</v>
      </c>
      <c r="B59" s="121">
        <v>1970</v>
      </c>
      <c r="C59" s="121">
        <v>1970</v>
      </c>
      <c r="D59" s="121"/>
      <c r="E59" s="121"/>
      <c r="F59" s="123">
        <v>0.01</v>
      </c>
      <c r="G59" s="122">
        <f t="shared" si="21"/>
        <v>10000</v>
      </c>
    </row>
    <row r="60" spans="1:46">
      <c r="A60" s="120" t="s">
        <v>347</v>
      </c>
      <c r="B60" s="121" t="s">
        <v>310</v>
      </c>
      <c r="C60" s="121">
        <f>(D60+E60)/2</f>
        <v>1970</v>
      </c>
      <c r="D60" s="121">
        <v>1980</v>
      </c>
      <c r="E60" s="121">
        <v>1960</v>
      </c>
      <c r="F60" s="123">
        <v>0.2</v>
      </c>
      <c r="G60" s="122">
        <f t="shared" si="21"/>
        <v>200000</v>
      </c>
    </row>
    <row r="61" spans="1:46">
      <c r="A61" s="120" t="s">
        <v>349</v>
      </c>
      <c r="B61" s="121">
        <v>1998</v>
      </c>
      <c r="C61" s="121">
        <v>1998</v>
      </c>
      <c r="D61" s="121"/>
      <c r="E61" s="121"/>
      <c r="F61" s="123">
        <v>0.44</v>
      </c>
      <c r="G61" s="122">
        <f t="shared" si="21"/>
        <v>440000</v>
      </c>
    </row>
    <row r="62" spans="1:46">
      <c r="A62" s="120" t="s">
        <v>350</v>
      </c>
      <c r="B62" s="121">
        <v>2010</v>
      </c>
      <c r="C62" s="121">
        <v>2010</v>
      </c>
      <c r="D62" s="121"/>
      <c r="E62" s="121"/>
      <c r="F62" s="123">
        <v>0.01</v>
      </c>
      <c r="G62" s="122">
        <f t="shared" si="21"/>
        <v>10000</v>
      </c>
    </row>
    <row r="63" spans="1:46">
      <c r="A63" s="120" t="s">
        <v>351</v>
      </c>
      <c r="B63" s="121" t="s">
        <v>312</v>
      </c>
      <c r="C63" s="121">
        <f>(D63+E63)/2</f>
        <v>2025</v>
      </c>
      <c r="D63" s="121">
        <v>2027</v>
      </c>
      <c r="E63" s="121">
        <v>2023</v>
      </c>
      <c r="F63" s="123">
        <v>7.0000000000000007E-2</v>
      </c>
      <c r="G63" s="122">
        <f t="shared" si="21"/>
        <v>70000</v>
      </c>
    </row>
    <row r="64" spans="1:46">
      <c r="A64" s="120" t="s">
        <v>354</v>
      </c>
      <c r="B64" s="121" t="s">
        <v>314</v>
      </c>
      <c r="C64" s="121">
        <f>(D64+E64)/2</f>
        <v>2040</v>
      </c>
      <c r="D64" s="121">
        <v>2050</v>
      </c>
      <c r="E64" s="121">
        <v>2030</v>
      </c>
      <c r="F64" s="123">
        <v>0.09</v>
      </c>
      <c r="G64" s="122">
        <f t="shared" si="21"/>
        <v>90000</v>
      </c>
    </row>
    <row r="65" spans="1:9">
      <c r="A65" s="120" t="s">
        <v>355</v>
      </c>
      <c r="B65" s="121">
        <v>2060</v>
      </c>
      <c r="C65" s="121">
        <v>2060</v>
      </c>
      <c r="D65" s="121"/>
      <c r="E65" s="121"/>
      <c r="F65" s="123">
        <v>0.39</v>
      </c>
      <c r="G65" s="122">
        <f t="shared" si="21"/>
        <v>390000</v>
      </c>
    </row>
    <row r="66" spans="1:9">
      <c r="A66" s="120" t="s">
        <v>357</v>
      </c>
      <c r="B66" s="121">
        <v>2060</v>
      </c>
      <c r="C66" s="121">
        <v>2060</v>
      </c>
      <c r="D66" s="121"/>
      <c r="E66" s="121"/>
      <c r="F66" s="123">
        <v>0.01</v>
      </c>
      <c r="G66" s="122">
        <f t="shared" si="21"/>
        <v>10000</v>
      </c>
    </row>
    <row r="67" spans="1:9">
      <c r="A67" s="120" t="s">
        <v>358</v>
      </c>
      <c r="B67" s="121">
        <v>2070</v>
      </c>
      <c r="C67" s="121">
        <v>2070</v>
      </c>
      <c r="D67" s="121"/>
      <c r="E67" s="121"/>
      <c r="F67" s="123">
        <v>7.0000000000000007E-2</v>
      </c>
      <c r="G67" s="122">
        <f t="shared" si="21"/>
        <v>70000</v>
      </c>
    </row>
    <row r="68" spans="1:9">
      <c r="A68" s="120" t="s">
        <v>359</v>
      </c>
      <c r="B68" s="121">
        <v>2070</v>
      </c>
      <c r="C68" s="121">
        <v>2070</v>
      </c>
      <c r="D68" s="121"/>
      <c r="E68" s="121"/>
      <c r="F68" s="123">
        <v>0.2</v>
      </c>
      <c r="G68" s="122">
        <f t="shared" si="21"/>
        <v>200000</v>
      </c>
    </row>
    <row r="69" spans="1:9">
      <c r="A69" s="120" t="s">
        <v>360</v>
      </c>
      <c r="B69" s="121">
        <v>2075</v>
      </c>
      <c r="C69" s="121">
        <v>2075</v>
      </c>
      <c r="D69" s="121"/>
      <c r="E69" s="121"/>
      <c r="F69" s="123">
        <v>0.17</v>
      </c>
      <c r="G69" s="122">
        <f t="shared" si="21"/>
        <v>170000</v>
      </c>
    </row>
    <row r="70" spans="1:9">
      <c r="A70" s="120" t="s">
        <v>361</v>
      </c>
      <c r="B70" s="121">
        <v>2070</v>
      </c>
      <c r="C70" s="121">
        <v>2070</v>
      </c>
      <c r="D70" s="121"/>
      <c r="E70" s="121"/>
      <c r="F70" s="123" t="s">
        <v>305</v>
      </c>
      <c r="G70" s="122"/>
    </row>
    <row r="71" spans="1:9">
      <c r="A71" s="120" t="s">
        <v>362</v>
      </c>
      <c r="B71" s="121">
        <v>2080</v>
      </c>
      <c r="C71" s="121">
        <v>2080</v>
      </c>
      <c r="D71" s="121"/>
      <c r="E71" s="121"/>
      <c r="F71" s="123">
        <v>7.0000000000000007E-2</v>
      </c>
      <c r="G71" s="122">
        <f t="shared" si="21"/>
        <v>70000</v>
      </c>
    </row>
    <row r="72" spans="1:9">
      <c r="A72" s="120" t="s">
        <v>363</v>
      </c>
      <c r="B72" s="121" t="s">
        <v>315</v>
      </c>
      <c r="C72" s="121">
        <f>(D72+E72)/2</f>
        <v>2080</v>
      </c>
      <c r="D72" s="121">
        <v>2090</v>
      </c>
      <c r="E72" s="121">
        <v>2070</v>
      </c>
      <c r="F72" s="123">
        <v>0.02</v>
      </c>
      <c r="G72" s="122">
        <f t="shared" si="21"/>
        <v>20000</v>
      </c>
      <c r="H72" s="23"/>
    </row>
    <row r="73" spans="1:9">
      <c r="A73" s="120" t="s">
        <v>365</v>
      </c>
      <c r="B73" s="121" t="s">
        <v>316</v>
      </c>
      <c r="C73" s="121">
        <f>(D73+E73)/2</f>
        <v>2090</v>
      </c>
      <c r="D73" s="121">
        <v>2100</v>
      </c>
      <c r="E73" s="121">
        <v>2080</v>
      </c>
      <c r="F73" s="123">
        <v>0.01</v>
      </c>
      <c r="G73" s="122">
        <f t="shared" si="21"/>
        <v>10000</v>
      </c>
      <c r="H73" s="23"/>
      <c r="I73" s="73"/>
    </row>
    <row r="74" spans="1:9">
      <c r="A74" s="120" t="s">
        <v>367</v>
      </c>
      <c r="B74" s="121" t="s">
        <v>318</v>
      </c>
      <c r="C74" s="121">
        <f>(D74+E74)/2</f>
        <v>2113.5</v>
      </c>
      <c r="D74" s="121">
        <v>2116</v>
      </c>
      <c r="E74" s="121">
        <v>2111</v>
      </c>
      <c r="F74" s="123">
        <v>0.14000000000000001</v>
      </c>
      <c r="G74" s="122">
        <f t="shared" si="21"/>
        <v>140000</v>
      </c>
      <c r="H74" s="23"/>
      <c r="I74" s="23"/>
    </row>
    <row r="75" spans="1:9">
      <c r="A75" s="120" t="s">
        <v>368</v>
      </c>
      <c r="B75" s="121">
        <v>2115</v>
      </c>
      <c r="C75" s="121">
        <v>2115</v>
      </c>
      <c r="D75" s="121"/>
      <c r="E75" s="121"/>
      <c r="F75" s="123">
        <v>0.02</v>
      </c>
      <c r="G75" s="122">
        <f t="shared" si="21"/>
        <v>20000</v>
      </c>
      <c r="H75" s="23"/>
      <c r="I75" s="23"/>
    </row>
    <row r="76" spans="1:9">
      <c r="A76" s="120" t="s">
        <v>369</v>
      </c>
      <c r="B76" s="121">
        <v>2115</v>
      </c>
      <c r="C76" s="121">
        <v>2115</v>
      </c>
      <c r="D76" s="121"/>
      <c r="E76" s="121"/>
      <c r="F76" s="123">
        <v>0.11</v>
      </c>
      <c r="G76" s="122">
        <f t="shared" si="21"/>
        <v>110000</v>
      </c>
      <c r="H76" s="23"/>
      <c r="I76" s="73"/>
    </row>
    <row r="77" spans="1:9">
      <c r="A77" s="120" t="s">
        <v>371</v>
      </c>
      <c r="B77" s="121" t="s">
        <v>320</v>
      </c>
      <c r="C77" s="121">
        <f>(D77+E77)/2</f>
        <v>2110</v>
      </c>
      <c r="D77" s="121">
        <v>2120</v>
      </c>
      <c r="E77" s="121">
        <v>2100</v>
      </c>
      <c r="F77" s="123">
        <v>0.16</v>
      </c>
      <c r="G77" s="122">
        <f t="shared" si="21"/>
        <v>160000</v>
      </c>
      <c r="I77" s="23"/>
    </row>
    <row r="78" spans="1:9">
      <c r="A78" s="120" t="s">
        <v>372</v>
      </c>
      <c r="B78" s="121" t="s">
        <v>321</v>
      </c>
      <c r="C78" s="121">
        <f>(D78+E78)/2</f>
        <v>2117</v>
      </c>
      <c r="D78" s="121">
        <v>2126</v>
      </c>
      <c r="E78" s="121">
        <v>2108</v>
      </c>
      <c r="F78" s="123">
        <v>0.04</v>
      </c>
      <c r="G78" s="122">
        <f t="shared" si="21"/>
        <v>40000</v>
      </c>
    </row>
    <row r="79" spans="1:9">
      <c r="A79" s="120" t="s">
        <v>373</v>
      </c>
      <c r="B79" s="121" t="s">
        <v>322</v>
      </c>
      <c r="C79" s="121">
        <f>(D79+E79)/2</f>
        <v>2125</v>
      </c>
      <c r="D79" s="121">
        <v>2140</v>
      </c>
      <c r="E79" s="121">
        <v>2110</v>
      </c>
      <c r="F79" s="123">
        <v>0.01</v>
      </c>
      <c r="G79" s="122">
        <f t="shared" si="21"/>
        <v>10000</v>
      </c>
    </row>
    <row r="80" spans="1:9">
      <c r="A80" s="120" t="s">
        <v>375</v>
      </c>
      <c r="B80" s="121">
        <v>2150</v>
      </c>
      <c r="C80" s="121">
        <v>2150</v>
      </c>
      <c r="D80" s="121"/>
      <c r="E80" s="121"/>
      <c r="F80" s="123">
        <v>0.04</v>
      </c>
      <c r="G80" s="122">
        <f t="shared" si="21"/>
        <v>40000</v>
      </c>
    </row>
    <row r="81" spans="1:7">
      <c r="A81" s="120" t="s">
        <v>376</v>
      </c>
      <c r="B81" s="121">
        <v>2150</v>
      </c>
      <c r="C81" s="121">
        <v>2150</v>
      </c>
      <c r="D81" s="121"/>
      <c r="E81" s="121"/>
      <c r="F81" s="123">
        <v>7.0000000000000007E-2</v>
      </c>
      <c r="G81" s="122">
        <f t="shared" si="21"/>
        <v>70000</v>
      </c>
    </row>
    <row r="82" spans="1:7">
      <c r="A82" s="120" t="s">
        <v>377</v>
      </c>
      <c r="B82" s="121" t="s">
        <v>323</v>
      </c>
      <c r="C82" s="121">
        <f>(D82+E82)/2</f>
        <v>2169.5</v>
      </c>
      <c r="D82" s="121">
        <v>2172</v>
      </c>
      <c r="E82" s="121">
        <v>2167</v>
      </c>
      <c r="F82" s="123">
        <v>0.45</v>
      </c>
      <c r="G82" s="122">
        <f t="shared" si="21"/>
        <v>450000</v>
      </c>
    </row>
    <row r="83" spans="1:7">
      <c r="A83" s="120" t="s">
        <v>379</v>
      </c>
      <c r="B83" s="121">
        <v>2180</v>
      </c>
      <c r="C83" s="121">
        <v>2180</v>
      </c>
      <c r="D83" s="121"/>
      <c r="E83" s="121"/>
      <c r="F83" s="123">
        <v>0.28999999999999998</v>
      </c>
      <c r="G83" s="122">
        <f t="shared" si="21"/>
        <v>290000</v>
      </c>
    </row>
    <row r="84" spans="1:7">
      <c r="A84" s="120" t="s">
        <v>380</v>
      </c>
      <c r="B84" s="121" t="s">
        <v>325</v>
      </c>
      <c r="C84" s="121">
        <f>(D84+E84)/2</f>
        <v>2186.5</v>
      </c>
      <c r="D84" s="121">
        <v>2193</v>
      </c>
      <c r="E84" s="121">
        <v>2180</v>
      </c>
      <c r="F84" s="123">
        <v>0.04</v>
      </c>
      <c r="G84" s="122">
        <f t="shared" si="21"/>
        <v>40000</v>
      </c>
    </row>
    <row r="85" spans="1:7">
      <c r="A85" s="120" t="s">
        <v>381</v>
      </c>
      <c r="B85" s="121">
        <v>2190</v>
      </c>
      <c r="C85" s="121">
        <v>2190</v>
      </c>
      <c r="D85" s="121"/>
      <c r="E85" s="121"/>
      <c r="F85" s="123">
        <v>0.04</v>
      </c>
      <c r="G85" s="122">
        <f t="shared" si="21"/>
        <v>40000</v>
      </c>
    </row>
  </sheetData>
  <sortState xmlns:xlrd2="http://schemas.microsoft.com/office/spreadsheetml/2017/richdata2" ref="A2:H40">
    <sortCondition ref="C2:C40"/>
  </sortState>
  <mergeCells count="1">
    <mergeCell ref="Z2:AB2"/>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15E1-54D9-1945-9EBC-2307030739CE}">
  <dimension ref="A1:DE102"/>
  <sheetViews>
    <sheetView zoomScale="46" zoomScaleNormal="46" workbookViewId="0">
      <selection activeCell="AE49" sqref="AE49"/>
    </sheetView>
  </sheetViews>
  <sheetFormatPr baseColWidth="10" defaultRowHeight="16"/>
  <cols>
    <col min="1" max="1" width="10.83203125" style="5"/>
    <col min="2" max="2" width="33.1640625" style="5" customWidth="1"/>
    <col min="3" max="3" width="17.33203125" style="5" customWidth="1"/>
    <col min="9" max="11" width="10.83203125" customWidth="1"/>
    <col min="13" max="15" width="10.83203125" customWidth="1"/>
    <col min="28" max="30" width="10.83203125" customWidth="1"/>
    <col min="67" max="67" width="12.33203125" bestFit="1" customWidth="1"/>
    <col min="81" max="81" width="18" customWidth="1"/>
    <col min="92" max="92" width="27.33203125" customWidth="1"/>
  </cols>
  <sheetData>
    <row r="1" spans="1:109">
      <c r="E1" s="5"/>
      <c r="F1" s="5"/>
      <c r="G1" s="5"/>
      <c r="H1" s="5"/>
      <c r="I1" s="5"/>
      <c r="J1" s="5"/>
      <c r="K1" s="5"/>
      <c r="L1" s="5"/>
      <c r="M1" s="5"/>
      <c r="N1" s="5"/>
      <c r="O1" s="5"/>
      <c r="P1" s="5"/>
      <c r="Q1" s="5"/>
    </row>
    <row r="2" spans="1:109">
      <c r="B2" s="6" t="s">
        <v>0</v>
      </c>
      <c r="C2" s="6"/>
      <c r="D2" s="24"/>
      <c r="E2" s="23"/>
      <c r="F2" s="23"/>
      <c r="G2" s="23"/>
      <c r="H2" s="23"/>
      <c r="I2" s="25" t="s">
        <v>1</v>
      </c>
      <c r="J2" s="23"/>
      <c r="K2" s="23"/>
      <c r="L2" s="23"/>
      <c r="M2" s="23"/>
      <c r="N2" s="23"/>
      <c r="O2" s="23"/>
      <c r="P2" s="23"/>
      <c r="Q2" s="23"/>
    </row>
    <row r="3" spans="1:109" ht="155">
      <c r="D3" s="23"/>
      <c r="E3" s="23"/>
      <c r="F3" s="23"/>
      <c r="G3" s="23"/>
      <c r="H3" s="23"/>
      <c r="I3" s="23"/>
      <c r="J3" s="23"/>
      <c r="K3" s="23"/>
      <c r="L3" s="23"/>
      <c r="M3" s="23"/>
      <c r="N3" s="23"/>
      <c r="O3" s="23"/>
      <c r="P3" s="23"/>
      <c r="Q3" s="23"/>
      <c r="V3" s="5"/>
      <c r="W3" s="17" t="s">
        <v>2</v>
      </c>
      <c r="X3" s="125" t="s">
        <v>62</v>
      </c>
      <c r="Y3" s="27" t="s">
        <v>38</v>
      </c>
      <c r="Z3" s="27" t="s">
        <v>73</v>
      </c>
      <c r="AA3" s="27" t="s">
        <v>74</v>
      </c>
      <c r="AB3" s="27" t="s">
        <v>4</v>
      </c>
      <c r="AC3" s="28" t="s">
        <v>5</v>
      </c>
      <c r="AD3" s="29" t="s">
        <v>6</v>
      </c>
      <c r="AE3" s="30" t="s">
        <v>7</v>
      </c>
      <c r="AF3" s="27" t="s">
        <v>8</v>
      </c>
      <c r="AG3" s="27" t="s">
        <v>10</v>
      </c>
      <c r="AH3" s="27"/>
      <c r="AI3" s="27" t="s">
        <v>38</v>
      </c>
      <c r="AJ3" s="45" t="s">
        <v>77</v>
      </c>
      <c r="AN3" s="5"/>
      <c r="AO3" s="17" t="s">
        <v>2</v>
      </c>
      <c r="AP3" s="26" t="s">
        <v>62</v>
      </c>
      <c r="AQ3" s="27" t="s">
        <v>38</v>
      </c>
      <c r="AR3" s="27" t="s">
        <v>73</v>
      </c>
      <c r="AS3" s="27"/>
      <c r="AT3" s="27"/>
      <c r="AU3" s="27"/>
      <c r="AV3" s="124" t="s">
        <v>74</v>
      </c>
      <c r="AW3" s="27" t="s">
        <v>4</v>
      </c>
      <c r="AX3" s="28" t="s">
        <v>5</v>
      </c>
      <c r="AY3" s="29" t="s">
        <v>6</v>
      </c>
      <c r="AZ3" s="30" t="s">
        <v>7</v>
      </c>
      <c r="BA3" s="27" t="s">
        <v>8</v>
      </c>
      <c r="BB3" s="27" t="s">
        <v>10</v>
      </c>
      <c r="BC3" s="27"/>
      <c r="BD3" s="27" t="s">
        <v>38</v>
      </c>
      <c r="BE3" s="45" t="s">
        <v>78</v>
      </c>
      <c r="BJ3" s="5"/>
      <c r="BK3" s="17" t="s">
        <v>2</v>
      </c>
      <c r="BL3" s="26" t="s">
        <v>62</v>
      </c>
      <c r="BM3" s="27" t="s">
        <v>38</v>
      </c>
      <c r="BN3" s="124" t="s">
        <v>73</v>
      </c>
      <c r="BO3" s="27" t="s">
        <v>74</v>
      </c>
      <c r="BP3" s="27" t="s">
        <v>4</v>
      </c>
      <c r="BQ3" s="28" t="s">
        <v>5</v>
      </c>
      <c r="BR3" s="29" t="s">
        <v>6</v>
      </c>
      <c r="BS3" s="30" t="s">
        <v>7</v>
      </c>
      <c r="BT3" s="27" t="s">
        <v>8</v>
      </c>
      <c r="BU3" s="27" t="s">
        <v>10</v>
      </c>
      <c r="BV3" s="46" t="s">
        <v>70</v>
      </c>
      <c r="BW3" s="27" t="s">
        <v>38</v>
      </c>
      <c r="BX3" s="45" t="s">
        <v>77</v>
      </c>
      <c r="CA3" s="5"/>
      <c r="CB3" s="17" t="s">
        <v>2</v>
      </c>
      <c r="CC3" s="125" t="s">
        <v>62</v>
      </c>
      <c r="CD3" s="27" t="s">
        <v>38</v>
      </c>
      <c r="CE3" s="27" t="s">
        <v>73</v>
      </c>
      <c r="CF3" s="27" t="s">
        <v>74</v>
      </c>
      <c r="CG3" s="27" t="s">
        <v>4</v>
      </c>
      <c r="CH3" s="28" t="s">
        <v>5</v>
      </c>
      <c r="CI3" s="29" t="s">
        <v>6</v>
      </c>
      <c r="CJ3" s="30" t="s">
        <v>7</v>
      </c>
      <c r="CK3" s="27" t="s">
        <v>8</v>
      </c>
      <c r="CL3" s="27" t="s">
        <v>10</v>
      </c>
      <c r="CM3" s="27"/>
      <c r="CN3" s="27" t="s">
        <v>38</v>
      </c>
      <c r="CO3" s="45" t="s">
        <v>77</v>
      </c>
      <c r="CQ3" s="5"/>
      <c r="CR3" s="17" t="s">
        <v>2</v>
      </c>
      <c r="CS3" s="125" t="s">
        <v>62</v>
      </c>
      <c r="CT3" s="27" t="s">
        <v>38</v>
      </c>
      <c r="CU3" s="27" t="s">
        <v>73</v>
      </c>
      <c r="CV3" s="27" t="s">
        <v>74</v>
      </c>
      <c r="CW3" s="27" t="s">
        <v>4</v>
      </c>
      <c r="CX3" s="28" t="s">
        <v>5</v>
      </c>
      <c r="CY3" s="29" t="s">
        <v>6</v>
      </c>
      <c r="CZ3" s="30" t="s">
        <v>7</v>
      </c>
      <c r="DA3" s="27" t="s">
        <v>8</v>
      </c>
      <c r="DB3" s="27" t="s">
        <v>10</v>
      </c>
      <c r="DC3" s="27"/>
      <c r="DD3" s="27" t="s">
        <v>38</v>
      </c>
      <c r="DE3" s="45" t="s">
        <v>77</v>
      </c>
    </row>
    <row r="4" spans="1:109" ht="21" customHeight="1">
      <c r="B4" s="17" t="s">
        <v>2</v>
      </c>
      <c r="C4" s="17" t="s">
        <v>3</v>
      </c>
      <c r="D4" s="26" t="s">
        <v>62</v>
      </c>
      <c r="E4" s="27" t="s">
        <v>38</v>
      </c>
      <c r="F4" s="27" t="s">
        <v>73</v>
      </c>
      <c r="G4" s="27" t="s">
        <v>74</v>
      </c>
      <c r="H4" s="27" t="s">
        <v>4</v>
      </c>
      <c r="I4" s="28" t="s">
        <v>5</v>
      </c>
      <c r="J4" s="29" t="s">
        <v>6</v>
      </c>
      <c r="K4" s="30" t="s">
        <v>7</v>
      </c>
      <c r="L4" s="27" t="s">
        <v>8</v>
      </c>
      <c r="M4" s="27" t="s">
        <v>72</v>
      </c>
      <c r="N4" s="31" t="s">
        <v>9</v>
      </c>
      <c r="O4" s="27" t="s">
        <v>38</v>
      </c>
      <c r="P4" s="27" t="s">
        <v>10</v>
      </c>
      <c r="Q4" s="27" t="s">
        <v>38</v>
      </c>
      <c r="R4" s="45" t="s">
        <v>75</v>
      </c>
      <c r="S4" s="45" t="s">
        <v>76</v>
      </c>
      <c r="V4" s="2"/>
      <c r="W4" s="2" t="s">
        <v>26</v>
      </c>
      <c r="X4" s="32">
        <v>1824</v>
      </c>
      <c r="Y4" s="32">
        <v>14</v>
      </c>
      <c r="Z4" s="32">
        <f t="shared" ref="Z4:Z24" si="0">X4+2*Y4</f>
        <v>1852</v>
      </c>
      <c r="AA4" s="32">
        <f t="shared" ref="AA4:AA24" si="1">X4-2*Y4</f>
        <v>1796</v>
      </c>
      <c r="AB4" s="32">
        <v>8</v>
      </c>
      <c r="AC4" s="33">
        <v>1840</v>
      </c>
      <c r="AD4" s="32">
        <v>1780</v>
      </c>
      <c r="AE4" s="34">
        <v>60</v>
      </c>
      <c r="AF4" s="34">
        <v>800</v>
      </c>
      <c r="AG4" s="32">
        <v>484.8</v>
      </c>
      <c r="AH4" s="32">
        <f t="shared" ref="AH4:AH22" si="2">AG4+AH5</f>
        <v>26616.35</v>
      </c>
      <c r="AI4" s="32">
        <v>136</v>
      </c>
      <c r="AJ4">
        <f t="shared" ref="AJ4:AJ22" si="3">AJ5+AF4</f>
        <v>32340</v>
      </c>
      <c r="AN4" s="2" t="s">
        <v>39</v>
      </c>
      <c r="AO4" s="13" t="s">
        <v>29</v>
      </c>
      <c r="AP4" s="41">
        <v>1860</v>
      </c>
      <c r="AQ4" s="32">
        <v>157</v>
      </c>
      <c r="AR4" s="32">
        <f t="shared" ref="AR4:AR24" si="4">AP4+2*AQ4</f>
        <v>2174</v>
      </c>
      <c r="AS4" s="32"/>
      <c r="AT4" s="32"/>
      <c r="AU4" s="32"/>
      <c r="AV4" s="32">
        <f t="shared" ref="AV4:AV24" si="5">AP4-2*AQ4</f>
        <v>1546</v>
      </c>
      <c r="AW4" s="32">
        <v>49</v>
      </c>
      <c r="AX4" s="33">
        <v>1900</v>
      </c>
      <c r="AY4" s="32">
        <v>1870</v>
      </c>
      <c r="AZ4" s="34">
        <v>30</v>
      </c>
      <c r="BA4" s="42">
        <v>2200</v>
      </c>
      <c r="BB4" s="43">
        <v>1716</v>
      </c>
      <c r="BC4" s="32">
        <f t="shared" ref="BC4:BC22" si="6">BB4+BC5</f>
        <v>26616.350000000002</v>
      </c>
      <c r="BD4" s="43">
        <v>253</v>
      </c>
      <c r="BE4">
        <f t="shared" ref="BE4:BE22" si="7">BA4+BE5</f>
        <v>32340</v>
      </c>
      <c r="BJ4" s="2" t="s">
        <v>66</v>
      </c>
      <c r="BK4" s="2" t="s">
        <v>27</v>
      </c>
      <c r="BL4" s="41">
        <v>1850</v>
      </c>
      <c r="BM4" s="32">
        <v>0</v>
      </c>
      <c r="BN4" s="41">
        <f t="shared" ref="BN4:BN24" si="8">BL4+2*BM4</f>
        <v>1850</v>
      </c>
      <c r="BO4" s="32">
        <f t="shared" ref="BO4:BO24" si="9">BL4-2*BM4</f>
        <v>1850</v>
      </c>
      <c r="BP4" s="32">
        <v>10</v>
      </c>
      <c r="BQ4" s="33">
        <v>1890</v>
      </c>
      <c r="BR4" s="32">
        <v>1830</v>
      </c>
      <c r="BS4" s="34">
        <v>60</v>
      </c>
      <c r="BT4" s="42">
        <v>1500</v>
      </c>
      <c r="BU4" s="43">
        <v>1054.5</v>
      </c>
      <c r="BV4" s="41">
        <f t="shared" ref="BV4:BV24" si="10">BU4+BV5</f>
        <v>28008.349999999995</v>
      </c>
      <c r="BW4" s="43">
        <v>555</v>
      </c>
      <c r="BX4">
        <f t="shared" ref="BX4:BX22" si="11">BX5+BT4</f>
        <v>32340</v>
      </c>
      <c r="CA4" s="4"/>
      <c r="CB4" s="4" t="s">
        <v>20</v>
      </c>
      <c r="CC4" s="36">
        <v>1998</v>
      </c>
      <c r="CD4" s="36">
        <v>87</v>
      </c>
      <c r="CE4" s="32">
        <f t="shared" ref="CE4:CE24" si="12">CC4+2*CD4</f>
        <v>2172</v>
      </c>
      <c r="CF4" s="32">
        <f t="shared" ref="CF4:CF24" si="13">CC4-2*CD4</f>
        <v>1824</v>
      </c>
      <c r="CG4" s="36">
        <v>9</v>
      </c>
      <c r="CH4" s="37">
        <v>1800</v>
      </c>
      <c r="CI4" s="36">
        <v>1780</v>
      </c>
      <c r="CJ4" s="38">
        <v>20</v>
      </c>
      <c r="CK4" s="38">
        <v>2100</v>
      </c>
      <c r="CL4" s="40">
        <v>1999.2</v>
      </c>
      <c r="CM4" s="32">
        <f t="shared" ref="CM4:CM23" si="14">CL4+CM5</f>
        <v>28008.35</v>
      </c>
      <c r="CN4" s="40">
        <v>37.799999999999997</v>
      </c>
      <c r="CO4">
        <f t="shared" ref="CO4:CO22" si="15">CO5+CK4</f>
        <v>32340</v>
      </c>
      <c r="CQ4" s="4" t="s">
        <v>35</v>
      </c>
      <c r="CR4" s="11" t="s">
        <v>16</v>
      </c>
      <c r="CS4" s="35">
        <v>1885</v>
      </c>
      <c r="CT4" s="36">
        <v>103</v>
      </c>
      <c r="CU4" s="32">
        <f t="shared" ref="CU4:CU24" si="16">CS4+2*CT4</f>
        <v>2091</v>
      </c>
      <c r="CV4" s="32">
        <f t="shared" ref="CV4:CV24" si="17">CS4-2*CT4</f>
        <v>1679</v>
      </c>
      <c r="CW4" s="36">
        <v>254</v>
      </c>
      <c r="CX4" s="37">
        <v>1900</v>
      </c>
      <c r="CY4" s="36">
        <v>1650</v>
      </c>
      <c r="CZ4" s="38">
        <v>250</v>
      </c>
      <c r="DA4" s="39">
        <v>1800</v>
      </c>
      <c r="DB4" s="36">
        <v>1647</v>
      </c>
      <c r="DC4" s="32">
        <f t="shared" ref="DC4:DC22" si="18">DB4+DC5</f>
        <v>25815.949999999997</v>
      </c>
      <c r="DD4" s="36">
        <v>241.2</v>
      </c>
      <c r="DE4">
        <f t="shared" ref="DE4:DE22" si="19">DE5+DA4</f>
        <v>29640</v>
      </c>
    </row>
    <row r="5" spans="1:109">
      <c r="A5" s="2"/>
      <c r="B5" s="2" t="s">
        <v>26</v>
      </c>
      <c r="C5" s="14" t="s">
        <v>25</v>
      </c>
      <c r="D5" s="32">
        <v>1824</v>
      </c>
      <c r="E5" s="32">
        <v>14</v>
      </c>
      <c r="F5" s="32">
        <f>D5+E5</f>
        <v>1838</v>
      </c>
      <c r="G5" s="32">
        <f>D5-E5</f>
        <v>1810</v>
      </c>
      <c r="H5" s="32">
        <v>8</v>
      </c>
      <c r="I5" s="33">
        <v>1840</v>
      </c>
      <c r="J5" s="32">
        <v>1780</v>
      </c>
      <c r="K5" s="34">
        <v>60</v>
      </c>
      <c r="L5" s="34">
        <v>800</v>
      </c>
      <c r="M5" s="34">
        <v>-8.1999999999999993</v>
      </c>
      <c r="N5" s="34">
        <v>0.60599999999999998</v>
      </c>
      <c r="O5" s="34">
        <v>0.17</v>
      </c>
      <c r="P5" s="32">
        <v>484.8</v>
      </c>
      <c r="Q5" s="32">
        <v>136</v>
      </c>
      <c r="R5">
        <f>P5+Q5</f>
        <v>620.79999999999995</v>
      </c>
      <c r="S5">
        <f>P5-Q5</f>
        <v>348.8</v>
      </c>
      <c r="V5" s="4" t="s">
        <v>32</v>
      </c>
      <c r="W5" s="11" t="s">
        <v>12</v>
      </c>
      <c r="X5" s="35">
        <v>1850</v>
      </c>
      <c r="Y5" s="36">
        <v>13</v>
      </c>
      <c r="Z5" s="32">
        <f t="shared" si="0"/>
        <v>1876</v>
      </c>
      <c r="AA5" s="32">
        <f t="shared" si="1"/>
        <v>1824</v>
      </c>
      <c r="AB5" s="36">
        <v>38</v>
      </c>
      <c r="AC5" s="37">
        <v>1830</v>
      </c>
      <c r="AD5" s="36">
        <v>1800</v>
      </c>
      <c r="AE5" s="38">
        <v>30</v>
      </c>
      <c r="AF5" s="39">
        <v>3200</v>
      </c>
      <c r="AG5" s="40">
        <v>3116.8</v>
      </c>
      <c r="AH5" s="32">
        <f t="shared" si="2"/>
        <v>26131.55</v>
      </c>
      <c r="AI5" s="40">
        <v>160</v>
      </c>
      <c r="AJ5">
        <f t="shared" si="3"/>
        <v>31540</v>
      </c>
      <c r="AN5" s="2" t="s">
        <v>64</v>
      </c>
      <c r="AO5" s="13" t="s">
        <v>65</v>
      </c>
      <c r="AP5" s="32">
        <v>1989</v>
      </c>
      <c r="AQ5" s="32">
        <v>179</v>
      </c>
      <c r="AR5" s="32">
        <f t="shared" si="4"/>
        <v>2347</v>
      </c>
      <c r="AS5" s="32"/>
      <c r="AT5" s="32"/>
      <c r="AU5" s="32"/>
      <c r="AV5" s="32">
        <f t="shared" si="5"/>
        <v>1631</v>
      </c>
      <c r="AW5" s="32">
        <v>19</v>
      </c>
      <c r="AX5" s="33">
        <v>1965</v>
      </c>
      <c r="AY5" s="32">
        <v>1940</v>
      </c>
      <c r="AZ5" s="34">
        <v>25</v>
      </c>
      <c r="BA5" s="34">
        <v>1000</v>
      </c>
      <c r="BB5" s="32">
        <v>744</v>
      </c>
      <c r="BC5" s="32">
        <f t="shared" si="6"/>
        <v>24900.350000000002</v>
      </c>
      <c r="BD5" s="32">
        <v>110</v>
      </c>
      <c r="BE5">
        <f t="shared" si="7"/>
        <v>30140</v>
      </c>
      <c r="BJ5" s="2"/>
      <c r="BK5" s="2" t="s">
        <v>26</v>
      </c>
      <c r="BL5" s="32">
        <v>1824</v>
      </c>
      <c r="BM5" s="32">
        <v>14</v>
      </c>
      <c r="BN5" s="41">
        <f t="shared" si="8"/>
        <v>1852</v>
      </c>
      <c r="BO5" s="32">
        <f t="shared" si="9"/>
        <v>1796</v>
      </c>
      <c r="BP5" s="32">
        <v>8</v>
      </c>
      <c r="BQ5" s="33">
        <v>1840</v>
      </c>
      <c r="BR5" s="32">
        <v>1780</v>
      </c>
      <c r="BS5" s="34">
        <v>60</v>
      </c>
      <c r="BT5" s="34">
        <v>800</v>
      </c>
      <c r="BU5" s="32">
        <v>484.8</v>
      </c>
      <c r="BV5" s="41">
        <f t="shared" si="10"/>
        <v>26953.849999999995</v>
      </c>
      <c r="BW5" s="32">
        <v>136</v>
      </c>
      <c r="BX5">
        <f t="shared" si="11"/>
        <v>30840</v>
      </c>
      <c r="CA5" s="4" t="s">
        <v>32</v>
      </c>
      <c r="CB5" s="11" t="s">
        <v>12</v>
      </c>
      <c r="CC5" s="35">
        <v>1850</v>
      </c>
      <c r="CD5" s="36">
        <v>13</v>
      </c>
      <c r="CE5" s="32">
        <f t="shared" si="12"/>
        <v>1876</v>
      </c>
      <c r="CF5" s="32">
        <f t="shared" si="13"/>
        <v>1824</v>
      </c>
      <c r="CG5" s="36">
        <v>38</v>
      </c>
      <c r="CH5" s="37">
        <v>1830</v>
      </c>
      <c r="CI5" s="36">
        <v>1800</v>
      </c>
      <c r="CJ5" s="38">
        <v>30</v>
      </c>
      <c r="CK5" s="39">
        <v>3200</v>
      </c>
      <c r="CL5" s="40">
        <v>3116.8</v>
      </c>
      <c r="CM5" s="32">
        <f t="shared" si="14"/>
        <v>26009.149999999998</v>
      </c>
      <c r="CN5" s="40">
        <v>160</v>
      </c>
      <c r="CO5">
        <f t="shared" si="15"/>
        <v>30240</v>
      </c>
      <c r="CQ5" s="4"/>
      <c r="CR5" s="4" t="s">
        <v>20</v>
      </c>
      <c r="CS5" s="36">
        <v>1998</v>
      </c>
      <c r="CT5" s="36">
        <v>87</v>
      </c>
      <c r="CU5" s="32">
        <f t="shared" si="16"/>
        <v>2172</v>
      </c>
      <c r="CV5" s="32">
        <f t="shared" si="17"/>
        <v>1824</v>
      </c>
      <c r="CW5" s="36">
        <v>9</v>
      </c>
      <c r="CX5" s="37">
        <v>1800</v>
      </c>
      <c r="CY5" s="36">
        <v>1780</v>
      </c>
      <c r="CZ5" s="38">
        <v>20</v>
      </c>
      <c r="DA5" s="38">
        <v>2100</v>
      </c>
      <c r="DB5" s="40">
        <v>1999.2</v>
      </c>
      <c r="DC5" s="32">
        <f t="shared" si="18"/>
        <v>24168.949999999997</v>
      </c>
      <c r="DD5" s="40">
        <v>37.799999999999997</v>
      </c>
      <c r="DE5">
        <f t="shared" si="19"/>
        <v>27840</v>
      </c>
    </row>
    <row r="6" spans="1:109">
      <c r="A6" s="4" t="s">
        <v>32</v>
      </c>
      <c r="B6" s="11" t="s">
        <v>12</v>
      </c>
      <c r="C6" s="8" t="s">
        <v>11</v>
      </c>
      <c r="D6" s="35">
        <v>1850</v>
      </c>
      <c r="E6" s="36">
        <v>13</v>
      </c>
      <c r="F6" s="32">
        <f t="shared" ref="F6:F25" si="20">D6+E6</f>
        <v>1863</v>
      </c>
      <c r="G6" s="32">
        <f t="shared" ref="G6:G25" si="21">D6-E6</f>
        <v>1837</v>
      </c>
      <c r="H6" s="36">
        <v>38</v>
      </c>
      <c r="I6" s="37">
        <v>1830</v>
      </c>
      <c r="J6" s="36">
        <v>1800</v>
      </c>
      <c r="K6" s="38">
        <v>30</v>
      </c>
      <c r="L6" s="39">
        <v>3200</v>
      </c>
      <c r="M6" s="38">
        <v>3</v>
      </c>
      <c r="N6" s="38">
        <v>0.97399999999999998</v>
      </c>
      <c r="O6" s="38">
        <v>0.05</v>
      </c>
      <c r="P6" s="40">
        <v>3116.8</v>
      </c>
      <c r="Q6" s="40">
        <v>160</v>
      </c>
      <c r="R6">
        <f t="shared" ref="R6:R24" si="22">P6+Q6</f>
        <v>3276.8</v>
      </c>
      <c r="S6">
        <f t="shared" ref="S6:S25" si="23">P6-Q6</f>
        <v>2956.8</v>
      </c>
      <c r="V6" s="4" t="s">
        <v>32</v>
      </c>
      <c r="W6" s="11" t="s">
        <v>13</v>
      </c>
      <c r="X6" s="36">
        <v>1850</v>
      </c>
      <c r="Y6" s="36">
        <v>29</v>
      </c>
      <c r="Z6" s="32">
        <f t="shared" si="0"/>
        <v>1908</v>
      </c>
      <c r="AA6" s="32">
        <f t="shared" si="1"/>
        <v>1792</v>
      </c>
      <c r="AB6" s="36">
        <v>25</v>
      </c>
      <c r="AC6" s="37">
        <v>1880</v>
      </c>
      <c r="AD6" s="36">
        <v>1830</v>
      </c>
      <c r="AE6" s="38">
        <v>50</v>
      </c>
      <c r="AF6" s="38">
        <v>1000</v>
      </c>
      <c r="AG6" s="40">
        <v>892</v>
      </c>
      <c r="AH6" s="32">
        <f t="shared" si="2"/>
        <v>23014.75</v>
      </c>
      <c r="AI6" s="40">
        <v>179</v>
      </c>
      <c r="AJ6">
        <f t="shared" si="3"/>
        <v>28340</v>
      </c>
      <c r="AN6" s="4" t="s">
        <v>34</v>
      </c>
      <c r="AO6" s="4" t="s">
        <v>15</v>
      </c>
      <c r="AP6" s="36">
        <v>1867</v>
      </c>
      <c r="AQ6" s="36">
        <v>112</v>
      </c>
      <c r="AR6" s="32">
        <f t="shared" si="4"/>
        <v>2091</v>
      </c>
      <c r="AS6" s="32"/>
      <c r="AT6" s="32"/>
      <c r="AU6" s="32"/>
      <c r="AV6" s="32">
        <f t="shared" si="5"/>
        <v>1643</v>
      </c>
      <c r="AW6" s="36">
        <v>12</v>
      </c>
      <c r="AX6" s="37">
        <v>1880</v>
      </c>
      <c r="AY6" s="36">
        <v>1850</v>
      </c>
      <c r="AZ6" s="38">
        <v>30</v>
      </c>
      <c r="BA6" s="38">
        <v>1000</v>
      </c>
      <c r="BB6" s="40">
        <v>936</v>
      </c>
      <c r="BC6" s="32">
        <f t="shared" si="6"/>
        <v>24156.350000000002</v>
      </c>
      <c r="BD6" s="40">
        <v>107</v>
      </c>
      <c r="BE6">
        <f t="shared" si="7"/>
        <v>29140</v>
      </c>
      <c r="BJ6" s="2" t="s">
        <v>33</v>
      </c>
      <c r="BK6" s="2" t="s">
        <v>28</v>
      </c>
      <c r="BL6" s="32">
        <v>1858</v>
      </c>
      <c r="BM6" s="32">
        <v>4.5</v>
      </c>
      <c r="BN6" s="41">
        <f t="shared" si="8"/>
        <v>1867</v>
      </c>
      <c r="BO6" s="32">
        <f t="shared" si="9"/>
        <v>1849</v>
      </c>
      <c r="BP6" s="32">
        <v>8</v>
      </c>
      <c r="BQ6" s="33">
        <v>1850</v>
      </c>
      <c r="BR6" s="32">
        <v>1820</v>
      </c>
      <c r="BS6" s="34">
        <v>30</v>
      </c>
      <c r="BT6" s="34">
        <v>950</v>
      </c>
      <c r="BU6" s="43">
        <v>764.8</v>
      </c>
      <c r="BV6" s="41">
        <f t="shared" si="10"/>
        <v>26469.049999999996</v>
      </c>
      <c r="BW6" s="43">
        <v>16.2</v>
      </c>
      <c r="BX6">
        <f t="shared" si="11"/>
        <v>30040</v>
      </c>
      <c r="CA6" s="2"/>
      <c r="CB6" s="2" t="s">
        <v>26</v>
      </c>
      <c r="CC6" s="32">
        <v>1824</v>
      </c>
      <c r="CD6" s="32">
        <v>14</v>
      </c>
      <c r="CE6" s="32">
        <f t="shared" si="12"/>
        <v>1852</v>
      </c>
      <c r="CF6" s="32">
        <f t="shared" si="13"/>
        <v>1796</v>
      </c>
      <c r="CG6" s="32">
        <v>8</v>
      </c>
      <c r="CH6" s="33">
        <v>1840</v>
      </c>
      <c r="CI6" s="32">
        <v>1780</v>
      </c>
      <c r="CJ6" s="34">
        <v>60</v>
      </c>
      <c r="CK6" s="34">
        <v>800</v>
      </c>
      <c r="CL6" s="32">
        <v>484.8</v>
      </c>
      <c r="CM6" s="32">
        <f t="shared" si="14"/>
        <v>22892.35</v>
      </c>
      <c r="CN6" s="32">
        <v>136</v>
      </c>
      <c r="CO6">
        <f t="shared" si="15"/>
        <v>27040</v>
      </c>
      <c r="CQ6" s="2"/>
      <c r="CR6" s="2" t="s">
        <v>26</v>
      </c>
      <c r="CS6" s="32">
        <v>1824</v>
      </c>
      <c r="CT6" s="32">
        <v>14</v>
      </c>
      <c r="CU6" s="32">
        <f t="shared" si="16"/>
        <v>1852</v>
      </c>
      <c r="CV6" s="32">
        <f t="shared" si="17"/>
        <v>1796</v>
      </c>
      <c r="CW6" s="32">
        <v>8</v>
      </c>
      <c r="CX6" s="33">
        <v>1840</v>
      </c>
      <c r="CY6" s="32">
        <v>1780</v>
      </c>
      <c r="CZ6" s="34">
        <v>60</v>
      </c>
      <c r="DA6" s="34">
        <v>800</v>
      </c>
      <c r="DB6" s="32">
        <v>484.8</v>
      </c>
      <c r="DC6" s="32">
        <f t="shared" si="18"/>
        <v>22169.749999999996</v>
      </c>
      <c r="DD6" s="32">
        <v>136</v>
      </c>
      <c r="DE6">
        <f t="shared" si="19"/>
        <v>25740</v>
      </c>
    </row>
    <row r="7" spans="1:109">
      <c r="A7" s="4" t="s">
        <v>32</v>
      </c>
      <c r="B7" s="11" t="s">
        <v>13</v>
      </c>
      <c r="C7" s="8" t="s">
        <v>11</v>
      </c>
      <c r="D7" s="36">
        <v>1850</v>
      </c>
      <c r="E7" s="36">
        <v>29</v>
      </c>
      <c r="F7" s="32">
        <f t="shared" si="20"/>
        <v>1879</v>
      </c>
      <c r="G7" s="32">
        <f t="shared" si="21"/>
        <v>1821</v>
      </c>
      <c r="H7" s="36">
        <v>25</v>
      </c>
      <c r="I7" s="37">
        <v>1880</v>
      </c>
      <c r="J7" s="36">
        <v>1830</v>
      </c>
      <c r="K7" s="38">
        <v>50</v>
      </c>
      <c r="L7" s="38">
        <v>1000</v>
      </c>
      <c r="M7" s="38">
        <v>-1</v>
      </c>
      <c r="N7" s="38">
        <v>0.89200000000000002</v>
      </c>
      <c r="O7" s="38">
        <v>0.17899999999999999</v>
      </c>
      <c r="P7" s="40">
        <v>892</v>
      </c>
      <c r="Q7" s="40">
        <v>179</v>
      </c>
      <c r="R7">
        <f t="shared" si="22"/>
        <v>1071</v>
      </c>
      <c r="S7">
        <f t="shared" si="23"/>
        <v>713</v>
      </c>
      <c r="V7" s="2" t="s">
        <v>66</v>
      </c>
      <c r="W7" s="2" t="s">
        <v>27</v>
      </c>
      <c r="X7" s="41">
        <v>1850</v>
      </c>
      <c r="Y7" s="32">
        <v>0</v>
      </c>
      <c r="Z7" s="32">
        <f t="shared" si="0"/>
        <v>1850</v>
      </c>
      <c r="AA7" s="32">
        <f t="shared" si="1"/>
        <v>1850</v>
      </c>
      <c r="AB7" s="32">
        <v>10</v>
      </c>
      <c r="AC7" s="33">
        <v>1890</v>
      </c>
      <c r="AD7" s="32">
        <v>1830</v>
      </c>
      <c r="AE7" s="34">
        <v>60</v>
      </c>
      <c r="AF7" s="42">
        <v>1500</v>
      </c>
      <c r="AG7" s="43">
        <v>1054.5</v>
      </c>
      <c r="AH7" s="32">
        <f t="shared" si="2"/>
        <v>22122.75</v>
      </c>
      <c r="AI7" s="43">
        <v>555</v>
      </c>
      <c r="AJ7">
        <f t="shared" si="3"/>
        <v>27340</v>
      </c>
      <c r="AN7" s="4" t="s">
        <v>33</v>
      </c>
      <c r="AO7" s="19" t="s">
        <v>14</v>
      </c>
      <c r="AP7" s="36">
        <v>1862</v>
      </c>
      <c r="AQ7" s="36">
        <v>100</v>
      </c>
      <c r="AR7" s="32">
        <f t="shared" si="4"/>
        <v>2062</v>
      </c>
      <c r="AS7" s="32"/>
      <c r="AT7" s="32"/>
      <c r="AU7" s="32"/>
      <c r="AV7" s="32">
        <f t="shared" si="5"/>
        <v>1662</v>
      </c>
      <c r="AW7" s="36">
        <v>13</v>
      </c>
      <c r="AX7" s="37">
        <v>1875</v>
      </c>
      <c r="AY7" s="36">
        <v>1845</v>
      </c>
      <c r="AZ7" s="38">
        <v>30</v>
      </c>
      <c r="BA7" s="38">
        <v>860</v>
      </c>
      <c r="BB7" s="40">
        <v>740.5</v>
      </c>
      <c r="BC7" s="32">
        <f t="shared" si="6"/>
        <v>23220.350000000002</v>
      </c>
      <c r="BD7" s="40">
        <v>39.6</v>
      </c>
      <c r="BE7">
        <f t="shared" si="7"/>
        <v>28140</v>
      </c>
      <c r="BJ7" s="4" t="s">
        <v>32</v>
      </c>
      <c r="BK7" s="11" t="s">
        <v>12</v>
      </c>
      <c r="BL7" s="35">
        <v>1850</v>
      </c>
      <c r="BM7" s="36">
        <v>13</v>
      </c>
      <c r="BN7" s="41">
        <f t="shared" si="8"/>
        <v>1876</v>
      </c>
      <c r="BO7" s="32">
        <f t="shared" si="9"/>
        <v>1824</v>
      </c>
      <c r="BP7" s="36">
        <v>38</v>
      </c>
      <c r="BQ7" s="37">
        <v>1830</v>
      </c>
      <c r="BR7" s="36">
        <v>1800</v>
      </c>
      <c r="BS7" s="38">
        <v>30</v>
      </c>
      <c r="BT7" s="39">
        <v>3200</v>
      </c>
      <c r="BU7" s="40">
        <v>3116.8</v>
      </c>
      <c r="BV7" s="41">
        <f t="shared" si="10"/>
        <v>25704.249999999996</v>
      </c>
      <c r="BW7" s="40">
        <v>160</v>
      </c>
      <c r="BX7">
        <f t="shared" si="11"/>
        <v>29090</v>
      </c>
      <c r="CA7" s="2" t="s">
        <v>33</v>
      </c>
      <c r="CB7" s="2" t="s">
        <v>28</v>
      </c>
      <c r="CC7" s="32">
        <v>1858</v>
      </c>
      <c r="CD7" s="32">
        <v>4.5</v>
      </c>
      <c r="CE7" s="32">
        <f t="shared" si="12"/>
        <v>1867</v>
      </c>
      <c r="CF7" s="32">
        <f t="shared" si="13"/>
        <v>1849</v>
      </c>
      <c r="CG7" s="32">
        <v>8</v>
      </c>
      <c r="CH7" s="33">
        <v>1850</v>
      </c>
      <c r="CI7" s="32">
        <v>1820</v>
      </c>
      <c r="CJ7" s="34">
        <v>30</v>
      </c>
      <c r="CK7" s="34">
        <v>950</v>
      </c>
      <c r="CL7" s="43">
        <v>764.8</v>
      </c>
      <c r="CM7" s="32">
        <f t="shared" si="14"/>
        <v>22407.55</v>
      </c>
      <c r="CN7" s="43">
        <v>16.2</v>
      </c>
      <c r="CO7">
        <f t="shared" si="15"/>
        <v>26240</v>
      </c>
      <c r="CQ7" s="4" t="s">
        <v>32</v>
      </c>
      <c r="CR7" s="11" t="s">
        <v>12</v>
      </c>
      <c r="CS7" s="35">
        <v>1850</v>
      </c>
      <c r="CT7" s="36">
        <v>13</v>
      </c>
      <c r="CU7" s="32">
        <f t="shared" si="16"/>
        <v>1876</v>
      </c>
      <c r="CV7" s="32">
        <f t="shared" si="17"/>
        <v>1824</v>
      </c>
      <c r="CW7" s="36">
        <v>38</v>
      </c>
      <c r="CX7" s="37">
        <v>1830</v>
      </c>
      <c r="CY7" s="36">
        <v>1800</v>
      </c>
      <c r="CZ7" s="38">
        <v>30</v>
      </c>
      <c r="DA7" s="39">
        <v>3200</v>
      </c>
      <c r="DB7" s="40">
        <v>3116.8</v>
      </c>
      <c r="DC7" s="32">
        <f t="shared" si="18"/>
        <v>21684.949999999997</v>
      </c>
      <c r="DD7" s="40">
        <v>160</v>
      </c>
      <c r="DE7">
        <f t="shared" si="19"/>
        <v>24940</v>
      </c>
    </row>
    <row r="8" spans="1:109">
      <c r="A8" s="2" t="s">
        <v>66</v>
      </c>
      <c r="B8" s="2" t="s">
        <v>27</v>
      </c>
      <c r="C8" s="14" t="s">
        <v>25</v>
      </c>
      <c r="D8" s="41">
        <v>1850</v>
      </c>
      <c r="E8" s="32">
        <v>0</v>
      </c>
      <c r="F8" s="32">
        <f t="shared" si="20"/>
        <v>1850</v>
      </c>
      <c r="G8" s="32">
        <f t="shared" si="21"/>
        <v>1850</v>
      </c>
      <c r="H8" s="32">
        <v>10</v>
      </c>
      <c r="I8" s="33">
        <v>1890</v>
      </c>
      <c r="J8" s="32">
        <v>1830</v>
      </c>
      <c r="K8" s="34">
        <v>60</v>
      </c>
      <c r="L8" s="42">
        <v>1500</v>
      </c>
      <c r="M8" s="34">
        <v>-6</v>
      </c>
      <c r="N8" s="34">
        <v>0.70299999999999996</v>
      </c>
      <c r="O8" s="34">
        <v>0.37</v>
      </c>
      <c r="P8" s="43">
        <v>1054.5</v>
      </c>
      <c r="Q8" s="43">
        <v>555</v>
      </c>
      <c r="R8">
        <f t="shared" si="22"/>
        <v>1609.5</v>
      </c>
      <c r="S8">
        <f t="shared" si="23"/>
        <v>499.5</v>
      </c>
      <c r="V8" s="2" t="s">
        <v>33</v>
      </c>
      <c r="W8" s="2" t="s">
        <v>28</v>
      </c>
      <c r="X8" s="32">
        <v>1858</v>
      </c>
      <c r="Y8" s="32">
        <v>4.5</v>
      </c>
      <c r="Z8" s="32">
        <f t="shared" si="0"/>
        <v>1867</v>
      </c>
      <c r="AA8" s="32">
        <f t="shared" si="1"/>
        <v>1849</v>
      </c>
      <c r="AB8" s="32">
        <v>8</v>
      </c>
      <c r="AC8" s="33">
        <v>1850</v>
      </c>
      <c r="AD8" s="32">
        <v>1820</v>
      </c>
      <c r="AE8" s="34">
        <v>30</v>
      </c>
      <c r="AF8" s="34">
        <v>950</v>
      </c>
      <c r="AG8" s="43">
        <v>764.8</v>
      </c>
      <c r="AH8" s="32">
        <f t="shared" si="2"/>
        <v>21068.25</v>
      </c>
      <c r="AI8" s="43">
        <v>16.2</v>
      </c>
      <c r="AJ8">
        <f t="shared" si="3"/>
        <v>25840</v>
      </c>
      <c r="AN8" s="4" t="s">
        <v>35</v>
      </c>
      <c r="AO8" s="11" t="s">
        <v>16</v>
      </c>
      <c r="AP8" s="35">
        <v>1885</v>
      </c>
      <c r="AQ8" s="36">
        <v>103</v>
      </c>
      <c r="AR8" s="32">
        <f t="shared" si="4"/>
        <v>2091</v>
      </c>
      <c r="AS8" s="32"/>
      <c r="AT8" s="32"/>
      <c r="AU8" s="32"/>
      <c r="AV8" s="32">
        <f t="shared" si="5"/>
        <v>1679</v>
      </c>
      <c r="AW8" s="36">
        <v>254</v>
      </c>
      <c r="AX8" s="37">
        <v>1900</v>
      </c>
      <c r="AY8" s="36">
        <v>1650</v>
      </c>
      <c r="AZ8" s="38">
        <v>250</v>
      </c>
      <c r="BA8" s="39">
        <v>1800</v>
      </c>
      <c r="BB8" s="36">
        <v>1647</v>
      </c>
      <c r="BC8" s="32">
        <f t="shared" si="6"/>
        <v>22479.850000000002</v>
      </c>
      <c r="BD8" s="36">
        <v>241.2</v>
      </c>
      <c r="BE8">
        <f t="shared" si="7"/>
        <v>27280</v>
      </c>
      <c r="BJ8" s="4" t="s">
        <v>36</v>
      </c>
      <c r="BK8" s="11" t="s">
        <v>17</v>
      </c>
      <c r="BL8" s="36">
        <v>1900</v>
      </c>
      <c r="BM8" s="36">
        <v>0</v>
      </c>
      <c r="BN8" s="41">
        <f t="shared" si="8"/>
        <v>1900</v>
      </c>
      <c r="BO8" s="32">
        <f t="shared" si="9"/>
        <v>1900</v>
      </c>
      <c r="BP8" s="36">
        <v>27</v>
      </c>
      <c r="BQ8" s="37">
        <v>1869</v>
      </c>
      <c r="BR8" s="36">
        <v>1844</v>
      </c>
      <c r="BS8" s="38">
        <v>25</v>
      </c>
      <c r="BT8" s="38">
        <v>700</v>
      </c>
      <c r="BU8" s="40">
        <v>586.6</v>
      </c>
      <c r="BV8" s="41">
        <f t="shared" si="10"/>
        <v>22587.449999999997</v>
      </c>
      <c r="BW8" s="40">
        <v>95.9</v>
      </c>
      <c r="BX8">
        <f t="shared" si="11"/>
        <v>25890</v>
      </c>
      <c r="CA8" s="4" t="s">
        <v>36</v>
      </c>
      <c r="CB8" s="11" t="s">
        <v>17</v>
      </c>
      <c r="CC8" s="36">
        <v>1900</v>
      </c>
      <c r="CD8" s="36">
        <v>0</v>
      </c>
      <c r="CE8" s="32">
        <f t="shared" si="12"/>
        <v>1900</v>
      </c>
      <c r="CF8" s="32">
        <f t="shared" si="13"/>
        <v>1900</v>
      </c>
      <c r="CG8" s="36">
        <v>27</v>
      </c>
      <c r="CH8" s="37">
        <v>1869</v>
      </c>
      <c r="CI8" s="36">
        <v>1844</v>
      </c>
      <c r="CJ8" s="38">
        <v>25</v>
      </c>
      <c r="CK8" s="38">
        <v>700</v>
      </c>
      <c r="CL8" s="40">
        <v>586.6</v>
      </c>
      <c r="CM8" s="32">
        <f t="shared" si="14"/>
        <v>21642.75</v>
      </c>
      <c r="CN8" s="40">
        <v>95.9</v>
      </c>
      <c r="CO8">
        <f t="shared" si="15"/>
        <v>25290</v>
      </c>
      <c r="CQ8" s="4" t="s">
        <v>41</v>
      </c>
      <c r="CR8" s="11" t="s">
        <v>24</v>
      </c>
      <c r="CS8" s="36">
        <v>2101</v>
      </c>
      <c r="CT8" s="36">
        <v>12</v>
      </c>
      <c r="CU8" s="32">
        <f t="shared" si="16"/>
        <v>2125</v>
      </c>
      <c r="CV8" s="32">
        <f t="shared" si="17"/>
        <v>2077</v>
      </c>
      <c r="CW8" s="36">
        <v>8</v>
      </c>
      <c r="CX8" s="37">
        <v>1900</v>
      </c>
      <c r="CY8" s="36">
        <v>1800</v>
      </c>
      <c r="CZ8" s="38">
        <v>100</v>
      </c>
      <c r="DA8" s="38">
        <v>1500</v>
      </c>
      <c r="DB8" s="40">
        <v>1392</v>
      </c>
      <c r="DC8" s="32">
        <f t="shared" si="18"/>
        <v>18568.149999999998</v>
      </c>
      <c r="DD8" s="40">
        <v>87</v>
      </c>
      <c r="DE8">
        <f t="shared" si="19"/>
        <v>21740</v>
      </c>
    </row>
    <row r="9" spans="1:109">
      <c r="A9" s="2" t="s">
        <v>33</v>
      </c>
      <c r="B9" s="2" t="s">
        <v>28</v>
      </c>
      <c r="C9" s="14" t="s">
        <v>25</v>
      </c>
      <c r="D9" s="32">
        <v>1858</v>
      </c>
      <c r="E9" s="32">
        <v>4.5</v>
      </c>
      <c r="F9" s="32">
        <f t="shared" si="20"/>
        <v>1862.5</v>
      </c>
      <c r="G9" s="32">
        <f t="shared" si="21"/>
        <v>1853.5</v>
      </c>
      <c r="H9" s="32">
        <v>8</v>
      </c>
      <c r="I9" s="33">
        <v>1850</v>
      </c>
      <c r="J9" s="32">
        <v>1820</v>
      </c>
      <c r="K9" s="34">
        <v>30</v>
      </c>
      <c r="L9" s="34">
        <v>950</v>
      </c>
      <c r="M9" s="34">
        <v>-4</v>
      </c>
      <c r="N9" s="34">
        <v>0.80500000000000005</v>
      </c>
      <c r="O9" s="34">
        <v>1.7000000000000001E-2</v>
      </c>
      <c r="P9" s="43">
        <v>764.8</v>
      </c>
      <c r="Q9" s="43">
        <v>16.2</v>
      </c>
      <c r="R9">
        <f t="shared" si="22"/>
        <v>781</v>
      </c>
      <c r="S9">
        <f t="shared" si="23"/>
        <v>748.59999999999991</v>
      </c>
      <c r="V9" s="2" t="s">
        <v>39</v>
      </c>
      <c r="W9" s="13" t="s">
        <v>29</v>
      </c>
      <c r="X9" s="41">
        <v>1860</v>
      </c>
      <c r="Y9" s="32">
        <v>157</v>
      </c>
      <c r="Z9" s="32">
        <f t="shared" si="0"/>
        <v>2174</v>
      </c>
      <c r="AA9" s="32">
        <f t="shared" si="1"/>
        <v>1546</v>
      </c>
      <c r="AB9" s="32">
        <v>49</v>
      </c>
      <c r="AC9" s="33">
        <v>1900</v>
      </c>
      <c r="AD9" s="32">
        <v>1870</v>
      </c>
      <c r="AE9" s="34">
        <v>30</v>
      </c>
      <c r="AF9" s="42">
        <v>2200</v>
      </c>
      <c r="AG9" s="43">
        <v>1716</v>
      </c>
      <c r="AH9" s="32">
        <f t="shared" si="2"/>
        <v>20303.45</v>
      </c>
      <c r="AI9" s="43">
        <v>253</v>
      </c>
      <c r="AJ9">
        <f t="shared" si="3"/>
        <v>24890</v>
      </c>
      <c r="AN9" s="2" t="s">
        <v>41</v>
      </c>
      <c r="AO9" s="2" t="s">
        <v>40</v>
      </c>
      <c r="AP9" s="32">
        <v>1968</v>
      </c>
      <c r="AQ9" s="32">
        <v>96</v>
      </c>
      <c r="AR9" s="32">
        <f t="shared" si="4"/>
        <v>2160</v>
      </c>
      <c r="AS9" s="32"/>
      <c r="AT9" s="32"/>
      <c r="AU9" s="32"/>
      <c r="AV9" s="32">
        <f t="shared" si="5"/>
        <v>1776</v>
      </c>
      <c r="AW9" s="32">
        <v>38</v>
      </c>
      <c r="AX9" s="33">
        <v>1985</v>
      </c>
      <c r="AY9" s="32">
        <v>1930</v>
      </c>
      <c r="AZ9" s="34">
        <v>55</v>
      </c>
      <c r="BA9" s="34">
        <v>2000</v>
      </c>
      <c r="BB9" s="32">
        <v>1464</v>
      </c>
      <c r="BC9" s="32">
        <f t="shared" si="6"/>
        <v>20832.850000000002</v>
      </c>
      <c r="BD9" s="32">
        <v>18</v>
      </c>
      <c r="BE9">
        <f t="shared" si="7"/>
        <v>25480</v>
      </c>
      <c r="BJ9" s="4" t="s">
        <v>32</v>
      </c>
      <c r="BK9" s="11" t="s">
        <v>13</v>
      </c>
      <c r="BL9" s="36">
        <v>1850</v>
      </c>
      <c r="BM9" s="36">
        <v>29</v>
      </c>
      <c r="BN9" s="41">
        <f t="shared" si="8"/>
        <v>1908</v>
      </c>
      <c r="BO9" s="32">
        <f t="shared" si="9"/>
        <v>1792</v>
      </c>
      <c r="BP9" s="36">
        <v>25</v>
      </c>
      <c r="BQ9" s="37">
        <v>1880</v>
      </c>
      <c r="BR9" s="36">
        <v>1830</v>
      </c>
      <c r="BS9" s="38">
        <v>50</v>
      </c>
      <c r="BT9" s="38">
        <v>1000</v>
      </c>
      <c r="BU9" s="40">
        <v>892</v>
      </c>
      <c r="BV9" s="41">
        <f t="shared" si="10"/>
        <v>22000.85</v>
      </c>
      <c r="BW9" s="40">
        <v>179</v>
      </c>
      <c r="BX9">
        <f t="shared" si="11"/>
        <v>25190</v>
      </c>
      <c r="CA9" s="4" t="s">
        <v>37</v>
      </c>
      <c r="CB9" s="11" t="s">
        <v>18</v>
      </c>
      <c r="CC9" s="36">
        <v>1920</v>
      </c>
      <c r="CD9" s="36">
        <v>56</v>
      </c>
      <c r="CE9" s="32">
        <f t="shared" si="12"/>
        <v>2032</v>
      </c>
      <c r="CF9" s="32">
        <f t="shared" si="13"/>
        <v>1808</v>
      </c>
      <c r="CG9" s="36">
        <v>17</v>
      </c>
      <c r="CH9" s="37">
        <v>1870</v>
      </c>
      <c r="CI9" s="36">
        <v>1840</v>
      </c>
      <c r="CJ9" s="38">
        <v>30</v>
      </c>
      <c r="CK9" s="38">
        <v>900</v>
      </c>
      <c r="CL9" s="40">
        <v>783</v>
      </c>
      <c r="CM9" s="32">
        <f t="shared" si="14"/>
        <v>21056.15</v>
      </c>
      <c r="CN9" s="40">
        <v>153</v>
      </c>
      <c r="CO9">
        <f t="shared" si="15"/>
        <v>24590</v>
      </c>
      <c r="CQ9" s="2" t="s">
        <v>33</v>
      </c>
      <c r="CR9" s="2" t="s">
        <v>28</v>
      </c>
      <c r="CS9" s="32">
        <v>1858</v>
      </c>
      <c r="CT9" s="32">
        <v>4.5</v>
      </c>
      <c r="CU9" s="32">
        <f t="shared" si="16"/>
        <v>1867</v>
      </c>
      <c r="CV9" s="32">
        <f t="shared" si="17"/>
        <v>1849</v>
      </c>
      <c r="CW9" s="32">
        <v>8</v>
      </c>
      <c r="CX9" s="33">
        <v>1850</v>
      </c>
      <c r="CY9" s="32">
        <v>1820</v>
      </c>
      <c r="CZ9" s="34">
        <v>30</v>
      </c>
      <c r="DA9" s="34">
        <v>950</v>
      </c>
      <c r="DB9" s="43">
        <v>764.8</v>
      </c>
      <c r="DC9" s="32">
        <f t="shared" si="18"/>
        <v>17176.149999999998</v>
      </c>
      <c r="DD9" s="43">
        <v>16.2</v>
      </c>
      <c r="DE9">
        <f t="shared" si="19"/>
        <v>20240</v>
      </c>
    </row>
    <row r="10" spans="1:109">
      <c r="A10" s="2" t="s">
        <v>39</v>
      </c>
      <c r="B10" s="13" t="s">
        <v>29</v>
      </c>
      <c r="C10" s="14" t="s">
        <v>25</v>
      </c>
      <c r="D10" s="41">
        <v>1860</v>
      </c>
      <c r="E10" s="32">
        <v>157</v>
      </c>
      <c r="F10" s="32">
        <f t="shared" si="20"/>
        <v>2017</v>
      </c>
      <c r="G10" s="32">
        <f t="shared" si="21"/>
        <v>1703</v>
      </c>
      <c r="H10" s="32">
        <v>49</v>
      </c>
      <c r="I10" s="33">
        <v>1900</v>
      </c>
      <c r="J10" s="32">
        <v>1870</v>
      </c>
      <c r="K10" s="34">
        <v>30</v>
      </c>
      <c r="L10" s="42">
        <v>2200</v>
      </c>
      <c r="M10" s="34">
        <v>-4</v>
      </c>
      <c r="N10" s="34">
        <v>0.78</v>
      </c>
      <c r="O10" s="34">
        <v>0.115</v>
      </c>
      <c r="P10" s="43">
        <v>1716</v>
      </c>
      <c r="Q10" s="43">
        <v>253</v>
      </c>
      <c r="R10">
        <f t="shared" si="22"/>
        <v>1969</v>
      </c>
      <c r="S10">
        <f t="shared" si="23"/>
        <v>1463</v>
      </c>
      <c r="V10" s="4" t="s">
        <v>33</v>
      </c>
      <c r="W10" s="19" t="s">
        <v>14</v>
      </c>
      <c r="X10" s="36">
        <v>1862</v>
      </c>
      <c r="Y10" s="36">
        <v>100</v>
      </c>
      <c r="Z10" s="32">
        <f t="shared" si="0"/>
        <v>2062</v>
      </c>
      <c r="AA10" s="32">
        <f t="shared" si="1"/>
        <v>1662</v>
      </c>
      <c r="AB10" s="36">
        <v>13</v>
      </c>
      <c r="AC10" s="37">
        <v>1875</v>
      </c>
      <c r="AD10" s="36">
        <v>1845</v>
      </c>
      <c r="AE10" s="38">
        <v>30</v>
      </c>
      <c r="AF10" s="38">
        <v>860</v>
      </c>
      <c r="AG10" s="40">
        <v>740.5</v>
      </c>
      <c r="AH10" s="32">
        <f t="shared" si="2"/>
        <v>18587.45</v>
      </c>
      <c r="AI10" s="40">
        <v>39.6</v>
      </c>
      <c r="AJ10">
        <f t="shared" si="3"/>
        <v>22690</v>
      </c>
      <c r="AN10" s="5" t="s">
        <v>55</v>
      </c>
      <c r="AO10" s="2" t="s">
        <v>31</v>
      </c>
      <c r="AP10" s="32">
        <v>2100</v>
      </c>
      <c r="AQ10" s="32">
        <v>162</v>
      </c>
      <c r="AR10" s="32">
        <f t="shared" si="4"/>
        <v>2424</v>
      </c>
      <c r="AS10" s="32"/>
      <c r="AT10" s="32"/>
      <c r="AU10" s="32"/>
      <c r="AV10" s="32">
        <f t="shared" si="5"/>
        <v>1776</v>
      </c>
      <c r="AW10" s="32">
        <v>25</v>
      </c>
      <c r="AX10" s="33">
        <v>2100</v>
      </c>
      <c r="AY10" s="41">
        <v>2000</v>
      </c>
      <c r="AZ10" s="34">
        <v>100</v>
      </c>
      <c r="BA10" s="34">
        <v>2700</v>
      </c>
      <c r="BB10" s="32">
        <v>2192.4</v>
      </c>
      <c r="BC10" s="32">
        <f t="shared" si="6"/>
        <v>19368.850000000002</v>
      </c>
      <c r="BD10" s="32">
        <v>59.4</v>
      </c>
      <c r="BE10">
        <f t="shared" si="7"/>
        <v>23480</v>
      </c>
      <c r="BJ10" s="2" t="s">
        <v>39</v>
      </c>
      <c r="BK10" s="2" t="s">
        <v>30</v>
      </c>
      <c r="BL10" s="41">
        <v>1900</v>
      </c>
      <c r="BM10" s="32">
        <v>20</v>
      </c>
      <c r="BN10" s="41">
        <f t="shared" si="8"/>
        <v>1940</v>
      </c>
      <c r="BO10" s="32">
        <f t="shared" si="9"/>
        <v>1860</v>
      </c>
      <c r="BP10" s="32">
        <v>7</v>
      </c>
      <c r="BQ10" s="33">
        <v>1900</v>
      </c>
      <c r="BR10" s="32">
        <v>1850</v>
      </c>
      <c r="BS10" s="34">
        <v>50</v>
      </c>
      <c r="BT10" s="41">
        <v>1300</v>
      </c>
      <c r="BU10" s="32">
        <v>1093.3</v>
      </c>
      <c r="BV10" s="41">
        <f t="shared" si="10"/>
        <v>21108.85</v>
      </c>
      <c r="BW10" s="32">
        <v>274.3</v>
      </c>
      <c r="BX10">
        <f t="shared" si="11"/>
        <v>24190</v>
      </c>
      <c r="CA10" s="4" t="s">
        <v>33</v>
      </c>
      <c r="CB10" s="19" t="s">
        <v>14</v>
      </c>
      <c r="CC10" s="36">
        <v>1862</v>
      </c>
      <c r="CD10" s="36">
        <v>100</v>
      </c>
      <c r="CE10" s="32">
        <f t="shared" si="12"/>
        <v>2062</v>
      </c>
      <c r="CF10" s="32">
        <f t="shared" si="13"/>
        <v>1662</v>
      </c>
      <c r="CG10" s="36">
        <v>13</v>
      </c>
      <c r="CH10" s="37">
        <v>1875</v>
      </c>
      <c r="CI10" s="36">
        <v>1845</v>
      </c>
      <c r="CJ10" s="38">
        <v>30</v>
      </c>
      <c r="CK10" s="38">
        <v>860</v>
      </c>
      <c r="CL10" s="40">
        <v>740.5</v>
      </c>
      <c r="CM10" s="32">
        <f t="shared" si="14"/>
        <v>20273.150000000001</v>
      </c>
      <c r="CN10" s="40">
        <v>39.6</v>
      </c>
      <c r="CO10">
        <f t="shared" si="15"/>
        <v>23690</v>
      </c>
      <c r="CQ10" s="4" t="s">
        <v>32</v>
      </c>
      <c r="CR10" s="11" t="s">
        <v>13</v>
      </c>
      <c r="CS10" s="36">
        <v>1850</v>
      </c>
      <c r="CT10" s="36">
        <v>29</v>
      </c>
      <c r="CU10" s="32">
        <f t="shared" si="16"/>
        <v>1908</v>
      </c>
      <c r="CV10" s="32">
        <f t="shared" si="17"/>
        <v>1792</v>
      </c>
      <c r="CW10" s="36">
        <v>25</v>
      </c>
      <c r="CX10" s="37">
        <v>1880</v>
      </c>
      <c r="CY10" s="36">
        <v>1830</v>
      </c>
      <c r="CZ10" s="38">
        <v>50</v>
      </c>
      <c r="DA10" s="38">
        <v>1000</v>
      </c>
      <c r="DB10" s="40">
        <v>892</v>
      </c>
      <c r="DC10" s="32">
        <f t="shared" si="18"/>
        <v>16411.349999999999</v>
      </c>
      <c r="DD10" s="40">
        <v>179</v>
      </c>
      <c r="DE10">
        <f t="shared" si="19"/>
        <v>19290</v>
      </c>
    </row>
    <row r="11" spans="1:109">
      <c r="A11" s="4" t="s">
        <v>33</v>
      </c>
      <c r="B11" s="19" t="s">
        <v>14</v>
      </c>
      <c r="C11" s="8" t="s">
        <v>11</v>
      </c>
      <c r="D11" s="36">
        <v>1862</v>
      </c>
      <c r="E11" s="36">
        <v>100</v>
      </c>
      <c r="F11" s="32">
        <f t="shared" si="20"/>
        <v>1962</v>
      </c>
      <c r="G11" s="32">
        <f t="shared" si="21"/>
        <v>1762</v>
      </c>
      <c r="H11" s="36">
        <v>13</v>
      </c>
      <c r="I11" s="37">
        <v>1875</v>
      </c>
      <c r="J11" s="36">
        <v>1845</v>
      </c>
      <c r="K11" s="38">
        <v>30</v>
      </c>
      <c r="L11" s="38">
        <v>860</v>
      </c>
      <c r="M11" s="38">
        <v>-2</v>
      </c>
      <c r="N11" s="38">
        <v>0.86099999999999999</v>
      </c>
      <c r="O11" s="38">
        <v>4.5999999999999999E-2</v>
      </c>
      <c r="P11" s="40">
        <v>740.5</v>
      </c>
      <c r="Q11" s="40">
        <v>39.6</v>
      </c>
      <c r="R11">
        <f t="shared" si="22"/>
        <v>780.1</v>
      </c>
      <c r="S11">
        <f t="shared" si="23"/>
        <v>700.9</v>
      </c>
      <c r="V11" s="4" t="s">
        <v>34</v>
      </c>
      <c r="W11" s="4" t="s">
        <v>15</v>
      </c>
      <c r="X11" s="36">
        <v>1867</v>
      </c>
      <c r="Y11" s="36">
        <v>112</v>
      </c>
      <c r="Z11" s="32">
        <f t="shared" si="0"/>
        <v>2091</v>
      </c>
      <c r="AA11" s="32">
        <f t="shared" si="1"/>
        <v>1643</v>
      </c>
      <c r="AB11" s="36">
        <v>12</v>
      </c>
      <c r="AC11" s="37">
        <v>1880</v>
      </c>
      <c r="AD11" s="36">
        <v>1850</v>
      </c>
      <c r="AE11" s="38">
        <v>30</v>
      </c>
      <c r="AF11" s="38">
        <v>1000</v>
      </c>
      <c r="AG11" s="40">
        <v>936</v>
      </c>
      <c r="AH11" s="32">
        <f t="shared" si="2"/>
        <v>17846.95</v>
      </c>
      <c r="AI11" s="40">
        <v>107</v>
      </c>
      <c r="AJ11">
        <f t="shared" si="3"/>
        <v>21830</v>
      </c>
      <c r="AN11" s="4" t="s">
        <v>63</v>
      </c>
      <c r="AO11" s="4" t="s">
        <v>23</v>
      </c>
      <c r="AP11" s="36">
        <v>2100</v>
      </c>
      <c r="AQ11" s="36">
        <v>157</v>
      </c>
      <c r="AR11" s="32">
        <f t="shared" si="4"/>
        <v>2414</v>
      </c>
      <c r="AS11" s="32"/>
      <c r="AT11" s="32"/>
      <c r="AU11" s="32"/>
      <c r="AV11" s="32">
        <f t="shared" si="5"/>
        <v>1786</v>
      </c>
      <c r="AW11" s="36">
        <v>42</v>
      </c>
      <c r="AX11" s="37">
        <v>1890</v>
      </c>
      <c r="AY11" s="36">
        <v>1850</v>
      </c>
      <c r="AZ11" s="38">
        <v>40</v>
      </c>
      <c r="BA11" s="38">
        <v>1450</v>
      </c>
      <c r="BB11" s="36">
        <v>1384.75</v>
      </c>
      <c r="BC11" s="32">
        <f t="shared" si="6"/>
        <v>17176.45</v>
      </c>
      <c r="BD11" s="36">
        <v>11.6</v>
      </c>
      <c r="BE11">
        <f t="shared" si="7"/>
        <v>20780</v>
      </c>
      <c r="BJ11" s="4" t="s">
        <v>37</v>
      </c>
      <c r="BK11" s="11" t="s">
        <v>18</v>
      </c>
      <c r="BL11" s="36">
        <v>1920</v>
      </c>
      <c r="BM11" s="36">
        <v>56</v>
      </c>
      <c r="BN11" s="41">
        <f t="shared" si="8"/>
        <v>2032</v>
      </c>
      <c r="BO11" s="32">
        <f t="shared" si="9"/>
        <v>1808</v>
      </c>
      <c r="BP11" s="36">
        <v>17</v>
      </c>
      <c r="BQ11" s="37">
        <v>1870</v>
      </c>
      <c r="BR11" s="36">
        <v>1840</v>
      </c>
      <c r="BS11" s="38">
        <v>30</v>
      </c>
      <c r="BT11" s="38">
        <v>900</v>
      </c>
      <c r="BU11" s="40">
        <v>783</v>
      </c>
      <c r="BV11" s="41">
        <f t="shared" si="10"/>
        <v>20015.55</v>
      </c>
      <c r="BW11" s="40">
        <v>153</v>
      </c>
      <c r="BX11">
        <f t="shared" si="11"/>
        <v>22890</v>
      </c>
      <c r="CA11" s="4" t="s">
        <v>32</v>
      </c>
      <c r="CB11" s="11" t="s">
        <v>13</v>
      </c>
      <c r="CC11" s="36">
        <v>1850</v>
      </c>
      <c r="CD11" s="36">
        <v>29</v>
      </c>
      <c r="CE11" s="32">
        <f t="shared" si="12"/>
        <v>1908</v>
      </c>
      <c r="CF11" s="32">
        <f t="shared" si="13"/>
        <v>1792</v>
      </c>
      <c r="CG11" s="36">
        <v>25</v>
      </c>
      <c r="CH11" s="37">
        <v>1880</v>
      </c>
      <c r="CI11" s="36">
        <v>1830</v>
      </c>
      <c r="CJ11" s="38">
        <v>50</v>
      </c>
      <c r="CK11" s="38">
        <v>1000</v>
      </c>
      <c r="CL11" s="40">
        <v>892</v>
      </c>
      <c r="CM11" s="32">
        <f t="shared" si="14"/>
        <v>19532.650000000001</v>
      </c>
      <c r="CN11" s="40">
        <v>179</v>
      </c>
      <c r="CO11">
        <f t="shared" si="15"/>
        <v>22830</v>
      </c>
      <c r="CQ11" s="2" t="s">
        <v>66</v>
      </c>
      <c r="CR11" s="2" t="s">
        <v>27</v>
      </c>
      <c r="CS11" s="41">
        <v>1850</v>
      </c>
      <c r="CT11" s="32">
        <v>0</v>
      </c>
      <c r="CU11" s="32">
        <f t="shared" si="16"/>
        <v>1850</v>
      </c>
      <c r="CV11" s="32">
        <f t="shared" si="17"/>
        <v>1850</v>
      </c>
      <c r="CW11" s="32">
        <v>10</v>
      </c>
      <c r="CX11" s="33">
        <v>1890</v>
      </c>
      <c r="CY11" s="32">
        <v>1830</v>
      </c>
      <c r="CZ11" s="34">
        <v>60</v>
      </c>
      <c r="DA11" s="42">
        <v>1500</v>
      </c>
      <c r="DB11" s="43">
        <v>1054.5</v>
      </c>
      <c r="DC11" s="32">
        <f t="shared" si="18"/>
        <v>15519.35</v>
      </c>
      <c r="DD11" s="43">
        <v>555</v>
      </c>
      <c r="DE11">
        <f t="shared" si="19"/>
        <v>18290</v>
      </c>
    </row>
    <row r="12" spans="1:109">
      <c r="A12" s="4" t="s">
        <v>34</v>
      </c>
      <c r="B12" s="4" t="s">
        <v>15</v>
      </c>
      <c r="C12" s="8" t="s">
        <v>11</v>
      </c>
      <c r="D12" s="36">
        <v>1867</v>
      </c>
      <c r="E12" s="36">
        <v>112</v>
      </c>
      <c r="F12" s="32">
        <f t="shared" si="20"/>
        <v>1979</v>
      </c>
      <c r="G12" s="32">
        <f t="shared" si="21"/>
        <v>1755</v>
      </c>
      <c r="H12" s="36">
        <v>12</v>
      </c>
      <c r="I12" s="37">
        <v>1880</v>
      </c>
      <c r="J12" s="36">
        <v>1850</v>
      </c>
      <c r="K12" s="38">
        <v>30</v>
      </c>
      <c r="L12" s="38">
        <v>1000</v>
      </c>
      <c r="M12" s="38">
        <v>1</v>
      </c>
      <c r="N12" s="38">
        <v>0.93600000000000005</v>
      </c>
      <c r="O12" s="38">
        <v>0.107</v>
      </c>
      <c r="P12" s="40">
        <v>936</v>
      </c>
      <c r="Q12" s="40">
        <v>107</v>
      </c>
      <c r="R12">
        <f t="shared" si="22"/>
        <v>1043</v>
      </c>
      <c r="S12">
        <f t="shared" si="23"/>
        <v>829</v>
      </c>
      <c r="V12" s="4" t="s">
        <v>35</v>
      </c>
      <c r="W12" s="11" t="s">
        <v>16</v>
      </c>
      <c r="X12" s="35">
        <v>1885</v>
      </c>
      <c r="Y12" s="36">
        <v>103</v>
      </c>
      <c r="Z12" s="32">
        <f t="shared" si="0"/>
        <v>2091</v>
      </c>
      <c r="AA12" s="32">
        <f t="shared" si="1"/>
        <v>1679</v>
      </c>
      <c r="AB12" s="36">
        <v>254</v>
      </c>
      <c r="AC12" s="37">
        <v>1900</v>
      </c>
      <c r="AD12" s="36">
        <v>1650</v>
      </c>
      <c r="AE12" s="38">
        <v>250</v>
      </c>
      <c r="AF12" s="39">
        <v>1800</v>
      </c>
      <c r="AG12" s="36">
        <v>1647</v>
      </c>
      <c r="AH12" s="32">
        <f t="shared" si="2"/>
        <v>16910.95</v>
      </c>
      <c r="AI12" s="36">
        <v>241.2</v>
      </c>
      <c r="AJ12">
        <f t="shared" si="3"/>
        <v>20830</v>
      </c>
      <c r="AN12" s="4" t="s">
        <v>32</v>
      </c>
      <c r="AO12" s="11" t="s">
        <v>13</v>
      </c>
      <c r="AP12" s="36">
        <v>1850</v>
      </c>
      <c r="AQ12" s="36">
        <v>29</v>
      </c>
      <c r="AR12" s="32">
        <f t="shared" si="4"/>
        <v>1908</v>
      </c>
      <c r="AS12" s="32"/>
      <c r="AT12" s="32"/>
      <c r="AU12" s="32"/>
      <c r="AV12" s="32">
        <f t="shared" si="5"/>
        <v>1792</v>
      </c>
      <c r="AW12" s="36">
        <v>25</v>
      </c>
      <c r="AX12" s="37">
        <v>1880</v>
      </c>
      <c r="AY12" s="36">
        <v>1830</v>
      </c>
      <c r="AZ12" s="38">
        <v>50</v>
      </c>
      <c r="BA12" s="38">
        <v>1000</v>
      </c>
      <c r="BB12" s="40">
        <v>892</v>
      </c>
      <c r="BC12" s="32">
        <f t="shared" si="6"/>
        <v>15791.7</v>
      </c>
      <c r="BD12" s="40">
        <v>179</v>
      </c>
      <c r="BE12">
        <f t="shared" si="7"/>
        <v>19330</v>
      </c>
      <c r="BJ12" s="4" t="s">
        <v>33</v>
      </c>
      <c r="BK12" s="19" t="s">
        <v>14</v>
      </c>
      <c r="BL12" s="36">
        <v>1862</v>
      </c>
      <c r="BM12" s="36">
        <v>100</v>
      </c>
      <c r="BN12" s="41">
        <f t="shared" si="8"/>
        <v>2062</v>
      </c>
      <c r="BO12" s="32">
        <f t="shared" si="9"/>
        <v>1662</v>
      </c>
      <c r="BP12" s="36">
        <v>13</v>
      </c>
      <c r="BQ12" s="37">
        <v>1875</v>
      </c>
      <c r="BR12" s="36">
        <v>1845</v>
      </c>
      <c r="BS12" s="38">
        <v>30</v>
      </c>
      <c r="BT12" s="38">
        <v>860</v>
      </c>
      <c r="BU12" s="40">
        <v>740.5</v>
      </c>
      <c r="BV12" s="41">
        <f t="shared" si="10"/>
        <v>19232.55</v>
      </c>
      <c r="BW12" s="40">
        <v>39.6</v>
      </c>
      <c r="BX12">
        <f t="shared" si="11"/>
        <v>21990</v>
      </c>
      <c r="CA12" s="4" t="s">
        <v>34</v>
      </c>
      <c r="CB12" s="4" t="s">
        <v>15</v>
      </c>
      <c r="CC12" s="36">
        <v>1867</v>
      </c>
      <c r="CD12" s="36">
        <v>112</v>
      </c>
      <c r="CE12" s="32">
        <f t="shared" si="12"/>
        <v>2091</v>
      </c>
      <c r="CF12" s="32">
        <f t="shared" si="13"/>
        <v>1643</v>
      </c>
      <c r="CG12" s="36">
        <v>12</v>
      </c>
      <c r="CH12" s="37">
        <v>1880</v>
      </c>
      <c r="CI12" s="36">
        <v>1850</v>
      </c>
      <c r="CJ12" s="38">
        <v>30</v>
      </c>
      <c r="CK12" s="38">
        <v>1000</v>
      </c>
      <c r="CL12" s="40">
        <v>936</v>
      </c>
      <c r="CM12" s="32">
        <f t="shared" si="14"/>
        <v>18640.650000000001</v>
      </c>
      <c r="CN12" s="40">
        <v>107</v>
      </c>
      <c r="CO12">
        <f t="shared" si="15"/>
        <v>21830</v>
      </c>
      <c r="CQ12" s="4" t="s">
        <v>37</v>
      </c>
      <c r="CR12" s="11" t="s">
        <v>18</v>
      </c>
      <c r="CS12" s="36">
        <v>1920</v>
      </c>
      <c r="CT12" s="36">
        <v>56</v>
      </c>
      <c r="CU12" s="32">
        <f t="shared" si="16"/>
        <v>2032</v>
      </c>
      <c r="CV12" s="32">
        <f t="shared" si="17"/>
        <v>1808</v>
      </c>
      <c r="CW12" s="36">
        <v>17</v>
      </c>
      <c r="CX12" s="37">
        <v>1870</v>
      </c>
      <c r="CY12" s="36">
        <v>1840</v>
      </c>
      <c r="CZ12" s="38">
        <v>30</v>
      </c>
      <c r="DA12" s="38">
        <v>900</v>
      </c>
      <c r="DB12" s="40">
        <v>783</v>
      </c>
      <c r="DC12" s="32">
        <f t="shared" si="18"/>
        <v>14464.85</v>
      </c>
      <c r="DD12" s="40">
        <v>153</v>
      </c>
      <c r="DE12">
        <f t="shared" si="19"/>
        <v>16790</v>
      </c>
    </row>
    <row r="13" spans="1:109">
      <c r="A13" s="4" t="s">
        <v>35</v>
      </c>
      <c r="B13" s="11" t="s">
        <v>16</v>
      </c>
      <c r="C13" s="8" t="s">
        <v>11</v>
      </c>
      <c r="D13" s="35">
        <v>1885</v>
      </c>
      <c r="E13" s="36">
        <v>103</v>
      </c>
      <c r="F13" s="32">
        <f t="shared" si="20"/>
        <v>1988</v>
      </c>
      <c r="G13" s="32">
        <f t="shared" si="21"/>
        <v>1782</v>
      </c>
      <c r="H13" s="36">
        <v>254</v>
      </c>
      <c r="I13" s="37">
        <v>1900</v>
      </c>
      <c r="J13" s="36">
        <v>1650</v>
      </c>
      <c r="K13" s="38">
        <v>250</v>
      </c>
      <c r="L13" s="39">
        <v>1800</v>
      </c>
      <c r="M13" s="38">
        <v>0</v>
      </c>
      <c r="N13" s="38">
        <v>0.91500000000000004</v>
      </c>
      <c r="O13" s="38">
        <v>0.13400000000000001</v>
      </c>
      <c r="P13" s="36">
        <v>1647</v>
      </c>
      <c r="Q13" s="36">
        <v>241.2</v>
      </c>
      <c r="R13">
        <f t="shared" si="22"/>
        <v>1888.2</v>
      </c>
      <c r="S13">
        <f t="shared" si="23"/>
        <v>1405.8</v>
      </c>
      <c r="V13" s="4" t="s">
        <v>36</v>
      </c>
      <c r="W13" s="11" t="s">
        <v>17</v>
      </c>
      <c r="X13" s="36">
        <v>1900</v>
      </c>
      <c r="Y13" s="36">
        <v>0</v>
      </c>
      <c r="Z13" s="32">
        <f t="shared" si="0"/>
        <v>1900</v>
      </c>
      <c r="AA13" s="32">
        <f t="shared" si="1"/>
        <v>1900</v>
      </c>
      <c r="AB13" s="36">
        <v>27</v>
      </c>
      <c r="AC13" s="37">
        <v>1869</v>
      </c>
      <c r="AD13" s="36">
        <v>1844</v>
      </c>
      <c r="AE13" s="38">
        <v>25</v>
      </c>
      <c r="AF13" s="38">
        <v>700</v>
      </c>
      <c r="AG13" s="40">
        <v>586.6</v>
      </c>
      <c r="AH13" s="32">
        <f t="shared" si="2"/>
        <v>15263.95</v>
      </c>
      <c r="AI13" s="40">
        <v>95.9</v>
      </c>
      <c r="AJ13">
        <f t="shared" si="3"/>
        <v>19030</v>
      </c>
      <c r="AN13" s="2"/>
      <c r="AO13" s="2" t="s">
        <v>26</v>
      </c>
      <c r="AP13" s="32">
        <v>1824</v>
      </c>
      <c r="AQ13" s="32">
        <v>14</v>
      </c>
      <c r="AR13" s="32">
        <f t="shared" si="4"/>
        <v>1852</v>
      </c>
      <c r="AS13" s="32"/>
      <c r="AT13" s="32"/>
      <c r="AU13" s="32"/>
      <c r="AV13" s="32">
        <f t="shared" si="5"/>
        <v>1796</v>
      </c>
      <c r="AW13" s="32">
        <v>8</v>
      </c>
      <c r="AX13" s="33">
        <v>1840</v>
      </c>
      <c r="AY13" s="32">
        <v>1780</v>
      </c>
      <c r="AZ13" s="34">
        <v>60</v>
      </c>
      <c r="BA13" s="34">
        <v>800</v>
      </c>
      <c r="BB13" s="32">
        <v>484.8</v>
      </c>
      <c r="BC13" s="32">
        <f t="shared" si="6"/>
        <v>14899.7</v>
      </c>
      <c r="BD13" s="32">
        <v>136</v>
      </c>
      <c r="BE13">
        <f t="shared" si="7"/>
        <v>18330</v>
      </c>
      <c r="BJ13" s="4" t="s">
        <v>35</v>
      </c>
      <c r="BK13" s="11" t="s">
        <v>19</v>
      </c>
      <c r="BL13" s="36">
        <v>1960</v>
      </c>
      <c r="BM13" s="36">
        <v>60</v>
      </c>
      <c r="BN13" s="41">
        <f t="shared" si="8"/>
        <v>2080</v>
      </c>
      <c r="BO13" s="32">
        <f t="shared" si="9"/>
        <v>1840</v>
      </c>
      <c r="BP13" s="36">
        <v>28</v>
      </c>
      <c r="BQ13" s="37">
        <v>1920</v>
      </c>
      <c r="BR13" s="36">
        <v>1870</v>
      </c>
      <c r="BS13" s="38">
        <v>50</v>
      </c>
      <c r="BT13" s="38">
        <v>950</v>
      </c>
      <c r="BU13" s="40">
        <v>841.7</v>
      </c>
      <c r="BV13" s="41">
        <f t="shared" si="10"/>
        <v>18492.05</v>
      </c>
      <c r="BW13" s="40">
        <v>138.69999999999999</v>
      </c>
      <c r="BX13">
        <f t="shared" si="11"/>
        <v>21130</v>
      </c>
      <c r="CA13" s="2" t="s">
        <v>66</v>
      </c>
      <c r="CB13" s="2" t="s">
        <v>27</v>
      </c>
      <c r="CC13" s="41">
        <v>1850</v>
      </c>
      <c r="CD13" s="32">
        <v>0</v>
      </c>
      <c r="CE13" s="32">
        <f t="shared" si="12"/>
        <v>1850</v>
      </c>
      <c r="CF13" s="32">
        <f t="shared" si="13"/>
        <v>1850</v>
      </c>
      <c r="CG13" s="32">
        <v>10</v>
      </c>
      <c r="CH13" s="33">
        <v>1890</v>
      </c>
      <c r="CI13" s="32">
        <v>1830</v>
      </c>
      <c r="CJ13" s="34">
        <v>60</v>
      </c>
      <c r="CK13" s="42">
        <v>1500</v>
      </c>
      <c r="CL13" s="43">
        <v>1054.5</v>
      </c>
      <c r="CM13" s="32">
        <f t="shared" si="14"/>
        <v>17704.650000000001</v>
      </c>
      <c r="CN13" s="43">
        <v>555</v>
      </c>
      <c r="CO13">
        <f t="shared" si="15"/>
        <v>20830</v>
      </c>
      <c r="CQ13" s="4" t="s">
        <v>36</v>
      </c>
      <c r="CR13" s="11" t="s">
        <v>17</v>
      </c>
      <c r="CS13" s="36">
        <v>1900</v>
      </c>
      <c r="CT13" s="36">
        <v>0</v>
      </c>
      <c r="CU13" s="32">
        <f t="shared" si="16"/>
        <v>1900</v>
      </c>
      <c r="CV13" s="32">
        <f t="shared" si="17"/>
        <v>1900</v>
      </c>
      <c r="CW13" s="36">
        <v>27</v>
      </c>
      <c r="CX13" s="37">
        <v>1869</v>
      </c>
      <c r="CY13" s="36">
        <v>1844</v>
      </c>
      <c r="CZ13" s="38">
        <v>25</v>
      </c>
      <c r="DA13" s="38">
        <v>700</v>
      </c>
      <c r="DB13" s="40">
        <v>586.6</v>
      </c>
      <c r="DC13" s="32">
        <f t="shared" si="18"/>
        <v>13681.85</v>
      </c>
      <c r="DD13" s="40">
        <v>95.9</v>
      </c>
      <c r="DE13">
        <f t="shared" si="19"/>
        <v>15890</v>
      </c>
    </row>
    <row r="14" spans="1:109">
      <c r="A14" s="4" t="s">
        <v>36</v>
      </c>
      <c r="B14" s="11" t="s">
        <v>17</v>
      </c>
      <c r="C14" s="8" t="s">
        <v>11</v>
      </c>
      <c r="D14" s="36">
        <v>1900</v>
      </c>
      <c r="E14" s="36">
        <v>0</v>
      </c>
      <c r="F14" s="32">
        <f t="shared" si="20"/>
        <v>1900</v>
      </c>
      <c r="G14" s="32">
        <f t="shared" si="21"/>
        <v>1900</v>
      </c>
      <c r="H14" s="36">
        <v>27</v>
      </c>
      <c r="I14" s="37">
        <v>1869</v>
      </c>
      <c r="J14" s="36">
        <v>1844</v>
      </c>
      <c r="K14" s="38">
        <v>25</v>
      </c>
      <c r="L14" s="38">
        <v>700</v>
      </c>
      <c r="M14" s="38">
        <v>-3</v>
      </c>
      <c r="N14" s="38">
        <v>0.83799999999999997</v>
      </c>
      <c r="O14" s="38">
        <v>0.13700000000000001</v>
      </c>
      <c r="P14" s="40">
        <v>586.6</v>
      </c>
      <c r="Q14" s="40">
        <v>95.9</v>
      </c>
      <c r="R14">
        <f t="shared" si="22"/>
        <v>682.5</v>
      </c>
      <c r="S14">
        <f t="shared" si="23"/>
        <v>490.70000000000005</v>
      </c>
      <c r="V14" s="2" t="s">
        <v>39</v>
      </c>
      <c r="W14" s="2" t="s">
        <v>30</v>
      </c>
      <c r="X14" s="41">
        <v>1900</v>
      </c>
      <c r="Y14" s="32">
        <v>20</v>
      </c>
      <c r="Z14" s="32">
        <f t="shared" si="0"/>
        <v>1940</v>
      </c>
      <c r="AA14" s="32">
        <f t="shared" si="1"/>
        <v>1860</v>
      </c>
      <c r="AB14" s="32">
        <v>7</v>
      </c>
      <c r="AC14" s="33">
        <v>1900</v>
      </c>
      <c r="AD14" s="32">
        <v>1850</v>
      </c>
      <c r="AE14" s="34">
        <v>50</v>
      </c>
      <c r="AF14" s="41">
        <v>1300</v>
      </c>
      <c r="AG14" s="32">
        <v>1093.3</v>
      </c>
      <c r="AH14" s="32">
        <f t="shared" si="2"/>
        <v>14677.35</v>
      </c>
      <c r="AI14" s="32">
        <v>274.3</v>
      </c>
      <c r="AJ14">
        <f t="shared" si="3"/>
        <v>18330</v>
      </c>
      <c r="AN14" s="4" t="s">
        <v>37</v>
      </c>
      <c r="AO14" s="11" t="s">
        <v>18</v>
      </c>
      <c r="AP14" s="36">
        <v>1920</v>
      </c>
      <c r="AQ14" s="36">
        <v>56</v>
      </c>
      <c r="AR14" s="32">
        <f t="shared" si="4"/>
        <v>2032</v>
      </c>
      <c r="AS14" s="32"/>
      <c r="AT14" s="32"/>
      <c r="AU14" s="32"/>
      <c r="AV14" s="32">
        <f t="shared" si="5"/>
        <v>1808</v>
      </c>
      <c r="AW14" s="36">
        <v>17</v>
      </c>
      <c r="AX14" s="37">
        <v>1870</v>
      </c>
      <c r="AY14" s="36">
        <v>1840</v>
      </c>
      <c r="AZ14" s="38">
        <v>30</v>
      </c>
      <c r="BA14" s="38">
        <v>900</v>
      </c>
      <c r="BB14" s="40">
        <v>783</v>
      </c>
      <c r="BC14" s="32">
        <f t="shared" si="6"/>
        <v>14414.900000000001</v>
      </c>
      <c r="BD14" s="40">
        <v>153</v>
      </c>
      <c r="BE14">
        <f t="shared" si="7"/>
        <v>17530</v>
      </c>
      <c r="BJ14" s="5" t="s">
        <v>55</v>
      </c>
      <c r="BK14" s="11" t="s">
        <v>21</v>
      </c>
      <c r="BL14" s="36">
        <v>1998</v>
      </c>
      <c r="BM14" s="36">
        <v>45</v>
      </c>
      <c r="BN14" s="41">
        <f t="shared" si="8"/>
        <v>2088</v>
      </c>
      <c r="BO14" s="32">
        <f t="shared" si="9"/>
        <v>1908</v>
      </c>
      <c r="BP14" s="36">
        <v>13</v>
      </c>
      <c r="BQ14" s="37">
        <v>2040</v>
      </c>
      <c r="BR14" s="36">
        <v>1960</v>
      </c>
      <c r="BS14" s="38">
        <v>80</v>
      </c>
      <c r="BT14" s="38">
        <v>1930</v>
      </c>
      <c r="BU14" s="40">
        <v>1777.5</v>
      </c>
      <c r="BV14" s="41">
        <f t="shared" si="10"/>
        <v>17650.349999999999</v>
      </c>
      <c r="BW14" s="40">
        <v>482.5</v>
      </c>
      <c r="BX14">
        <f t="shared" si="11"/>
        <v>20180</v>
      </c>
      <c r="CA14" s="4" t="s">
        <v>63</v>
      </c>
      <c r="CB14" s="4" t="s">
        <v>23</v>
      </c>
      <c r="CC14" s="36">
        <v>2100</v>
      </c>
      <c r="CD14" s="36">
        <v>157</v>
      </c>
      <c r="CE14" s="32">
        <f t="shared" si="12"/>
        <v>2414</v>
      </c>
      <c r="CF14" s="32">
        <f t="shared" si="13"/>
        <v>1786</v>
      </c>
      <c r="CG14" s="36">
        <v>42</v>
      </c>
      <c r="CH14" s="37">
        <v>1890</v>
      </c>
      <c r="CI14" s="36">
        <v>1850</v>
      </c>
      <c r="CJ14" s="38">
        <v>40</v>
      </c>
      <c r="CK14" s="38">
        <v>1450</v>
      </c>
      <c r="CL14" s="36">
        <v>1384.75</v>
      </c>
      <c r="CM14" s="32">
        <f t="shared" si="14"/>
        <v>16650.150000000001</v>
      </c>
      <c r="CN14" s="36">
        <v>11.6</v>
      </c>
      <c r="CO14">
        <f t="shared" si="15"/>
        <v>19330</v>
      </c>
      <c r="CQ14" s="4" t="s">
        <v>33</v>
      </c>
      <c r="CR14" s="19" t="s">
        <v>14</v>
      </c>
      <c r="CS14" s="36">
        <v>1862</v>
      </c>
      <c r="CT14" s="36">
        <v>100</v>
      </c>
      <c r="CU14" s="32">
        <f t="shared" si="16"/>
        <v>2062</v>
      </c>
      <c r="CV14" s="32">
        <f t="shared" si="17"/>
        <v>1662</v>
      </c>
      <c r="CW14" s="36">
        <v>13</v>
      </c>
      <c r="CX14" s="37">
        <v>1875</v>
      </c>
      <c r="CY14" s="36">
        <v>1845</v>
      </c>
      <c r="CZ14" s="38">
        <v>30</v>
      </c>
      <c r="DA14" s="38">
        <v>860</v>
      </c>
      <c r="DB14" s="40">
        <v>740.5</v>
      </c>
      <c r="DC14" s="32">
        <f t="shared" si="18"/>
        <v>13095.25</v>
      </c>
      <c r="DD14" s="40">
        <v>39.6</v>
      </c>
      <c r="DE14">
        <f t="shared" si="19"/>
        <v>15190</v>
      </c>
    </row>
    <row r="15" spans="1:109">
      <c r="A15" s="2" t="s">
        <v>39</v>
      </c>
      <c r="B15" s="2" t="s">
        <v>30</v>
      </c>
      <c r="C15" s="14" t="s">
        <v>25</v>
      </c>
      <c r="D15" s="41">
        <v>1900</v>
      </c>
      <c r="E15" s="32">
        <v>20</v>
      </c>
      <c r="F15" s="32">
        <f t="shared" si="20"/>
        <v>1920</v>
      </c>
      <c r="G15" s="32">
        <f t="shared" si="21"/>
        <v>1880</v>
      </c>
      <c r="H15" s="32">
        <v>7</v>
      </c>
      <c r="I15" s="33">
        <v>1900</v>
      </c>
      <c r="J15" s="32">
        <v>1850</v>
      </c>
      <c r="K15" s="34">
        <v>50</v>
      </c>
      <c r="L15" s="41">
        <v>1300</v>
      </c>
      <c r="M15" s="32">
        <v>-1.9</v>
      </c>
      <c r="N15" s="44">
        <v>0.84099999999999997</v>
      </c>
      <c r="O15" s="44">
        <v>0.21099999999999999</v>
      </c>
      <c r="P15" s="32">
        <v>1093.3</v>
      </c>
      <c r="Q15" s="32">
        <v>274.3</v>
      </c>
      <c r="R15">
        <f t="shared" si="22"/>
        <v>1367.6</v>
      </c>
      <c r="S15">
        <f t="shared" si="23"/>
        <v>819</v>
      </c>
      <c r="V15" s="4" t="s">
        <v>37</v>
      </c>
      <c r="W15" s="11" t="s">
        <v>18</v>
      </c>
      <c r="X15" s="36">
        <v>1920</v>
      </c>
      <c r="Y15" s="36">
        <v>56</v>
      </c>
      <c r="Z15" s="32">
        <f t="shared" si="0"/>
        <v>2032</v>
      </c>
      <c r="AA15" s="32">
        <f t="shared" si="1"/>
        <v>1808</v>
      </c>
      <c r="AB15" s="36">
        <v>17</v>
      </c>
      <c r="AC15" s="37">
        <v>1870</v>
      </c>
      <c r="AD15" s="36">
        <v>1840</v>
      </c>
      <c r="AE15" s="38">
        <v>30</v>
      </c>
      <c r="AF15" s="38">
        <v>900</v>
      </c>
      <c r="AG15" s="40">
        <v>783</v>
      </c>
      <c r="AH15" s="32">
        <f t="shared" si="2"/>
        <v>13584.050000000001</v>
      </c>
      <c r="AI15" s="40">
        <v>153</v>
      </c>
      <c r="AJ15">
        <f t="shared" si="3"/>
        <v>17030</v>
      </c>
      <c r="AN15" s="4"/>
      <c r="AO15" s="4" t="s">
        <v>20</v>
      </c>
      <c r="AP15" s="36">
        <v>1998</v>
      </c>
      <c r="AQ15" s="36">
        <v>87</v>
      </c>
      <c r="AR15" s="32">
        <f t="shared" si="4"/>
        <v>2172</v>
      </c>
      <c r="AS15" s="32"/>
      <c r="AT15" s="32"/>
      <c r="AU15" s="32"/>
      <c r="AV15" s="32">
        <f t="shared" si="5"/>
        <v>1824</v>
      </c>
      <c r="AW15" s="36">
        <v>9</v>
      </c>
      <c r="AX15" s="37">
        <v>1800</v>
      </c>
      <c r="AY15" s="36">
        <v>1780</v>
      </c>
      <c r="AZ15" s="38">
        <v>20</v>
      </c>
      <c r="BA15" s="38">
        <v>2100</v>
      </c>
      <c r="BB15" s="40">
        <v>1999.2</v>
      </c>
      <c r="BC15" s="32">
        <f t="shared" si="6"/>
        <v>13631.900000000001</v>
      </c>
      <c r="BD15" s="40">
        <v>37.799999999999997</v>
      </c>
      <c r="BE15">
        <f t="shared" si="7"/>
        <v>16630</v>
      </c>
      <c r="BJ15" s="4" t="s">
        <v>34</v>
      </c>
      <c r="BK15" s="4" t="s">
        <v>15</v>
      </c>
      <c r="BL15" s="36">
        <v>1867</v>
      </c>
      <c r="BM15" s="36">
        <v>112</v>
      </c>
      <c r="BN15" s="41">
        <f t="shared" si="8"/>
        <v>2091</v>
      </c>
      <c r="BO15" s="32">
        <f t="shared" si="9"/>
        <v>1643</v>
      </c>
      <c r="BP15" s="36">
        <v>12</v>
      </c>
      <c r="BQ15" s="37">
        <v>1880</v>
      </c>
      <c r="BR15" s="36">
        <v>1850</v>
      </c>
      <c r="BS15" s="38">
        <v>30</v>
      </c>
      <c r="BT15" s="38">
        <v>1000</v>
      </c>
      <c r="BU15" s="40">
        <v>936</v>
      </c>
      <c r="BV15" s="41">
        <f t="shared" si="10"/>
        <v>15872.849999999999</v>
      </c>
      <c r="BW15" s="40">
        <v>107</v>
      </c>
      <c r="BX15">
        <f t="shared" si="11"/>
        <v>18250</v>
      </c>
      <c r="CA15" s="2" t="s">
        <v>39</v>
      </c>
      <c r="CB15" s="13" t="s">
        <v>29</v>
      </c>
      <c r="CC15" s="41">
        <v>1860</v>
      </c>
      <c r="CD15" s="32">
        <v>157</v>
      </c>
      <c r="CE15" s="32">
        <f t="shared" si="12"/>
        <v>2174</v>
      </c>
      <c r="CF15" s="32">
        <f t="shared" si="13"/>
        <v>1546</v>
      </c>
      <c r="CG15" s="32">
        <v>49</v>
      </c>
      <c r="CH15" s="33">
        <v>1900</v>
      </c>
      <c r="CI15" s="32">
        <v>1870</v>
      </c>
      <c r="CJ15" s="34">
        <v>30</v>
      </c>
      <c r="CK15" s="42">
        <v>2200</v>
      </c>
      <c r="CL15" s="43">
        <v>1716</v>
      </c>
      <c r="CM15" s="32">
        <f t="shared" si="14"/>
        <v>15265.4</v>
      </c>
      <c r="CN15" s="43">
        <v>253</v>
      </c>
      <c r="CO15">
        <f t="shared" si="15"/>
        <v>17880</v>
      </c>
      <c r="CQ15" s="4" t="s">
        <v>34</v>
      </c>
      <c r="CR15" s="4" t="s">
        <v>15</v>
      </c>
      <c r="CS15" s="36">
        <v>1867</v>
      </c>
      <c r="CT15" s="36">
        <v>112</v>
      </c>
      <c r="CU15" s="32">
        <f t="shared" si="16"/>
        <v>2091</v>
      </c>
      <c r="CV15" s="32">
        <f t="shared" si="17"/>
        <v>1643</v>
      </c>
      <c r="CW15" s="36">
        <v>12</v>
      </c>
      <c r="CX15" s="37">
        <v>1880</v>
      </c>
      <c r="CY15" s="36">
        <v>1850</v>
      </c>
      <c r="CZ15" s="38">
        <v>30</v>
      </c>
      <c r="DA15" s="38">
        <v>1000</v>
      </c>
      <c r="DB15" s="40">
        <v>936</v>
      </c>
      <c r="DC15" s="32">
        <f t="shared" si="18"/>
        <v>12354.75</v>
      </c>
      <c r="DD15" s="40">
        <v>107</v>
      </c>
      <c r="DE15">
        <f t="shared" si="19"/>
        <v>14330</v>
      </c>
    </row>
    <row r="16" spans="1:109">
      <c r="A16" s="4" t="s">
        <v>37</v>
      </c>
      <c r="B16" s="11" t="s">
        <v>18</v>
      </c>
      <c r="C16" s="8" t="s">
        <v>11</v>
      </c>
      <c r="D16" s="36">
        <v>1920</v>
      </c>
      <c r="E16" s="36">
        <v>56</v>
      </c>
      <c r="F16" s="32">
        <f t="shared" si="20"/>
        <v>1976</v>
      </c>
      <c r="G16" s="32">
        <f t="shared" si="21"/>
        <v>1864</v>
      </c>
      <c r="H16" s="36">
        <v>17</v>
      </c>
      <c r="I16" s="37">
        <v>1870</v>
      </c>
      <c r="J16" s="36">
        <v>1840</v>
      </c>
      <c r="K16" s="38">
        <v>30</v>
      </c>
      <c r="L16" s="38">
        <v>900</v>
      </c>
      <c r="M16" s="38">
        <v>-1</v>
      </c>
      <c r="N16" s="38">
        <v>0.87</v>
      </c>
      <c r="O16" s="38">
        <v>0.17</v>
      </c>
      <c r="P16" s="40">
        <v>783</v>
      </c>
      <c r="Q16" s="40">
        <v>153</v>
      </c>
      <c r="R16">
        <f t="shared" si="22"/>
        <v>936</v>
      </c>
      <c r="S16">
        <f t="shared" si="23"/>
        <v>630</v>
      </c>
      <c r="V16" s="4" t="s">
        <v>35</v>
      </c>
      <c r="W16" s="11" t="s">
        <v>19</v>
      </c>
      <c r="X16" s="36">
        <v>1960</v>
      </c>
      <c r="Y16" s="36">
        <v>60</v>
      </c>
      <c r="Z16" s="32">
        <f t="shared" si="0"/>
        <v>2080</v>
      </c>
      <c r="AA16" s="32">
        <f t="shared" si="1"/>
        <v>1840</v>
      </c>
      <c r="AB16" s="36">
        <v>28</v>
      </c>
      <c r="AC16" s="37">
        <v>1920</v>
      </c>
      <c r="AD16" s="36">
        <v>1870</v>
      </c>
      <c r="AE16" s="38">
        <v>50</v>
      </c>
      <c r="AF16" s="38">
        <v>950</v>
      </c>
      <c r="AG16" s="40">
        <v>841.7</v>
      </c>
      <c r="AH16" s="32">
        <f t="shared" si="2"/>
        <v>12801.050000000001</v>
      </c>
      <c r="AI16" s="40">
        <v>138.69999999999999</v>
      </c>
      <c r="AJ16">
        <f t="shared" si="3"/>
        <v>16130</v>
      </c>
      <c r="AN16" s="4" t="s">
        <v>32</v>
      </c>
      <c r="AO16" s="11" t="s">
        <v>12</v>
      </c>
      <c r="AP16" s="35">
        <v>1850</v>
      </c>
      <c r="AQ16" s="36">
        <v>13</v>
      </c>
      <c r="AR16" s="32">
        <f t="shared" si="4"/>
        <v>1876</v>
      </c>
      <c r="AS16" s="32"/>
      <c r="AT16" s="32"/>
      <c r="AU16" s="32"/>
      <c r="AV16" s="32">
        <f t="shared" si="5"/>
        <v>1824</v>
      </c>
      <c r="AW16" s="36">
        <v>38</v>
      </c>
      <c r="AX16" s="37">
        <v>1830</v>
      </c>
      <c r="AY16" s="36">
        <v>1800</v>
      </c>
      <c r="AZ16" s="38">
        <v>30</v>
      </c>
      <c r="BA16" s="39">
        <v>3200</v>
      </c>
      <c r="BB16" s="40">
        <v>3116.8</v>
      </c>
      <c r="BC16" s="32">
        <f t="shared" si="6"/>
        <v>11632.7</v>
      </c>
      <c r="BD16" s="40">
        <v>160</v>
      </c>
      <c r="BE16">
        <f t="shared" si="7"/>
        <v>14530</v>
      </c>
      <c r="BJ16" s="4" t="s">
        <v>35</v>
      </c>
      <c r="BK16" s="11" t="s">
        <v>16</v>
      </c>
      <c r="BL16" s="35">
        <v>1885</v>
      </c>
      <c r="BM16" s="36">
        <v>103</v>
      </c>
      <c r="BN16" s="41">
        <f t="shared" si="8"/>
        <v>2091</v>
      </c>
      <c r="BO16" s="32">
        <f t="shared" si="9"/>
        <v>1679</v>
      </c>
      <c r="BP16" s="36">
        <v>254</v>
      </c>
      <c r="BQ16" s="37">
        <v>1900</v>
      </c>
      <c r="BR16" s="36">
        <v>1650</v>
      </c>
      <c r="BS16" s="38">
        <v>250</v>
      </c>
      <c r="BT16" s="39">
        <v>1800</v>
      </c>
      <c r="BU16" s="36">
        <v>1647</v>
      </c>
      <c r="BV16" s="41">
        <f t="shared" si="10"/>
        <v>14936.849999999999</v>
      </c>
      <c r="BW16" s="36">
        <v>241.2</v>
      </c>
      <c r="BX16">
        <f t="shared" si="11"/>
        <v>17250</v>
      </c>
      <c r="CA16" s="4" t="s">
        <v>35</v>
      </c>
      <c r="CB16" s="11" t="s">
        <v>16</v>
      </c>
      <c r="CC16" s="35">
        <v>1885</v>
      </c>
      <c r="CD16" s="36">
        <v>103</v>
      </c>
      <c r="CE16" s="32">
        <f t="shared" si="12"/>
        <v>2091</v>
      </c>
      <c r="CF16" s="32">
        <f t="shared" si="13"/>
        <v>1679</v>
      </c>
      <c r="CG16" s="36">
        <v>254</v>
      </c>
      <c r="CH16" s="37">
        <v>1900</v>
      </c>
      <c r="CI16" s="36">
        <v>1650</v>
      </c>
      <c r="CJ16" s="38">
        <v>250</v>
      </c>
      <c r="CK16" s="39">
        <v>1800</v>
      </c>
      <c r="CL16" s="36">
        <v>1647</v>
      </c>
      <c r="CM16" s="32">
        <f t="shared" si="14"/>
        <v>13549.4</v>
      </c>
      <c r="CN16" s="36">
        <v>241.2</v>
      </c>
      <c r="CO16">
        <f t="shared" si="15"/>
        <v>15680</v>
      </c>
      <c r="CQ16" s="4" t="s">
        <v>63</v>
      </c>
      <c r="CR16" s="4" t="s">
        <v>23</v>
      </c>
      <c r="CS16" s="36">
        <v>2100</v>
      </c>
      <c r="CT16" s="36">
        <v>157</v>
      </c>
      <c r="CU16" s="32">
        <f t="shared" si="16"/>
        <v>2414</v>
      </c>
      <c r="CV16" s="32">
        <f t="shared" si="17"/>
        <v>1786</v>
      </c>
      <c r="CW16" s="36">
        <v>42</v>
      </c>
      <c r="CX16" s="37">
        <v>1890</v>
      </c>
      <c r="CY16" s="36">
        <v>1850</v>
      </c>
      <c r="CZ16" s="38">
        <v>40</v>
      </c>
      <c r="DA16" s="38">
        <v>1450</v>
      </c>
      <c r="DB16" s="36">
        <v>1384.75</v>
      </c>
      <c r="DC16" s="32">
        <f t="shared" si="18"/>
        <v>11418.75</v>
      </c>
      <c r="DD16" s="36">
        <v>11.6</v>
      </c>
      <c r="DE16">
        <f t="shared" si="19"/>
        <v>13330</v>
      </c>
    </row>
    <row r="17" spans="1:109">
      <c r="A17" s="4" t="s">
        <v>35</v>
      </c>
      <c r="B17" s="11" t="s">
        <v>19</v>
      </c>
      <c r="C17" s="8" t="s">
        <v>11</v>
      </c>
      <c r="D17" s="36">
        <v>1960</v>
      </c>
      <c r="E17" s="36">
        <v>60</v>
      </c>
      <c r="F17" s="32">
        <f t="shared" si="20"/>
        <v>2020</v>
      </c>
      <c r="G17" s="32">
        <f t="shared" si="21"/>
        <v>1900</v>
      </c>
      <c r="H17" s="36">
        <v>28</v>
      </c>
      <c r="I17" s="37">
        <v>1920</v>
      </c>
      <c r="J17" s="36">
        <v>1870</v>
      </c>
      <c r="K17" s="38">
        <v>50</v>
      </c>
      <c r="L17" s="38">
        <v>950</v>
      </c>
      <c r="M17" s="38">
        <v>-1</v>
      </c>
      <c r="N17" s="38">
        <v>0.88600000000000001</v>
      </c>
      <c r="O17" s="38">
        <v>0.14599999999999999</v>
      </c>
      <c r="P17" s="40">
        <v>841.7</v>
      </c>
      <c r="Q17" s="40">
        <v>138.69999999999999</v>
      </c>
      <c r="R17">
        <f t="shared" si="22"/>
        <v>980.40000000000009</v>
      </c>
      <c r="S17">
        <f t="shared" si="23"/>
        <v>703</v>
      </c>
      <c r="V17" s="2" t="s">
        <v>41</v>
      </c>
      <c r="W17" s="2" t="s">
        <v>40</v>
      </c>
      <c r="X17" s="32">
        <v>1968</v>
      </c>
      <c r="Y17" s="32">
        <v>96</v>
      </c>
      <c r="Z17" s="32">
        <f t="shared" si="0"/>
        <v>2160</v>
      </c>
      <c r="AA17" s="32">
        <f t="shared" si="1"/>
        <v>1776</v>
      </c>
      <c r="AB17" s="32">
        <v>38</v>
      </c>
      <c r="AC17" s="33">
        <v>1985</v>
      </c>
      <c r="AD17" s="32">
        <v>1930</v>
      </c>
      <c r="AE17" s="34">
        <v>55</v>
      </c>
      <c r="AF17" s="34">
        <v>2000</v>
      </c>
      <c r="AG17" s="32">
        <v>1464</v>
      </c>
      <c r="AH17" s="32">
        <f t="shared" si="2"/>
        <v>11959.35</v>
      </c>
      <c r="AI17" s="32">
        <v>18</v>
      </c>
      <c r="AJ17">
        <f t="shared" si="3"/>
        <v>15180</v>
      </c>
      <c r="AN17" s="4" t="s">
        <v>35</v>
      </c>
      <c r="AO17" s="11" t="s">
        <v>19</v>
      </c>
      <c r="AP17" s="36">
        <v>1960</v>
      </c>
      <c r="AQ17" s="36">
        <v>60</v>
      </c>
      <c r="AR17" s="32">
        <f t="shared" si="4"/>
        <v>2080</v>
      </c>
      <c r="AS17" s="32"/>
      <c r="AT17" s="32"/>
      <c r="AU17" s="32"/>
      <c r="AV17" s="32">
        <f t="shared" si="5"/>
        <v>1840</v>
      </c>
      <c r="AW17" s="36">
        <v>28</v>
      </c>
      <c r="AX17" s="37">
        <v>1920</v>
      </c>
      <c r="AY17" s="36">
        <v>1870</v>
      </c>
      <c r="AZ17" s="38">
        <v>50</v>
      </c>
      <c r="BA17" s="38">
        <v>950</v>
      </c>
      <c r="BB17" s="40">
        <v>841.7</v>
      </c>
      <c r="BC17" s="32">
        <f t="shared" si="6"/>
        <v>8515.9000000000015</v>
      </c>
      <c r="BD17" s="40">
        <v>138.69999999999999</v>
      </c>
      <c r="BE17">
        <f t="shared" si="7"/>
        <v>11330</v>
      </c>
      <c r="BJ17" s="4" t="s">
        <v>41</v>
      </c>
      <c r="BK17" s="11" t="s">
        <v>24</v>
      </c>
      <c r="BL17" s="36">
        <v>2101</v>
      </c>
      <c r="BM17" s="36">
        <v>12</v>
      </c>
      <c r="BN17" s="41">
        <f t="shared" si="8"/>
        <v>2125</v>
      </c>
      <c r="BO17" s="32">
        <f t="shared" si="9"/>
        <v>2077</v>
      </c>
      <c r="BP17" s="36">
        <v>8</v>
      </c>
      <c r="BQ17" s="37">
        <v>1900</v>
      </c>
      <c r="BR17" s="36">
        <v>1800</v>
      </c>
      <c r="BS17" s="38">
        <v>100</v>
      </c>
      <c r="BT17" s="38">
        <v>1500</v>
      </c>
      <c r="BU17" s="40">
        <v>1392</v>
      </c>
      <c r="BV17" s="41">
        <f t="shared" si="10"/>
        <v>13289.849999999999</v>
      </c>
      <c r="BW17" s="40">
        <v>87</v>
      </c>
      <c r="BX17">
        <f t="shared" si="11"/>
        <v>15450</v>
      </c>
      <c r="CA17" s="2" t="s">
        <v>39</v>
      </c>
      <c r="CB17" s="2" t="s">
        <v>30</v>
      </c>
      <c r="CC17" s="41">
        <v>1900</v>
      </c>
      <c r="CD17" s="32">
        <v>20</v>
      </c>
      <c r="CE17" s="32">
        <f t="shared" si="12"/>
        <v>1940</v>
      </c>
      <c r="CF17" s="32">
        <f t="shared" si="13"/>
        <v>1860</v>
      </c>
      <c r="CG17" s="32">
        <v>7</v>
      </c>
      <c r="CH17" s="33">
        <v>1900</v>
      </c>
      <c r="CI17" s="32">
        <v>1850</v>
      </c>
      <c r="CJ17" s="34">
        <v>50</v>
      </c>
      <c r="CK17" s="41">
        <v>1300</v>
      </c>
      <c r="CL17" s="32">
        <v>1093.3</v>
      </c>
      <c r="CM17" s="32">
        <f t="shared" si="14"/>
        <v>11902.4</v>
      </c>
      <c r="CN17" s="32">
        <v>274.3</v>
      </c>
      <c r="CO17">
        <f t="shared" si="15"/>
        <v>13880</v>
      </c>
      <c r="CQ17" s="2" t="s">
        <v>39</v>
      </c>
      <c r="CR17" s="2" t="s">
        <v>30</v>
      </c>
      <c r="CS17" s="41">
        <v>1900</v>
      </c>
      <c r="CT17" s="32">
        <v>20</v>
      </c>
      <c r="CU17" s="32">
        <f t="shared" si="16"/>
        <v>1940</v>
      </c>
      <c r="CV17" s="32">
        <f t="shared" si="17"/>
        <v>1860</v>
      </c>
      <c r="CW17" s="32">
        <v>7</v>
      </c>
      <c r="CX17" s="33">
        <v>1900</v>
      </c>
      <c r="CY17" s="32">
        <v>1850</v>
      </c>
      <c r="CZ17" s="34">
        <v>50</v>
      </c>
      <c r="DA17" s="41">
        <v>1300</v>
      </c>
      <c r="DB17" s="32">
        <v>1093.3</v>
      </c>
      <c r="DC17" s="32">
        <f t="shared" si="18"/>
        <v>10034</v>
      </c>
      <c r="DD17" s="32">
        <v>274.3</v>
      </c>
      <c r="DE17">
        <f t="shared" si="19"/>
        <v>11880</v>
      </c>
    </row>
    <row r="18" spans="1:109">
      <c r="A18" s="2" t="s">
        <v>41</v>
      </c>
      <c r="B18" s="2" t="s">
        <v>40</v>
      </c>
      <c r="C18" s="14" t="s">
        <v>25</v>
      </c>
      <c r="D18" s="32">
        <v>1968</v>
      </c>
      <c r="E18" s="32">
        <v>96</v>
      </c>
      <c r="F18" s="32">
        <f t="shared" si="20"/>
        <v>2064</v>
      </c>
      <c r="G18" s="32">
        <f t="shared" si="21"/>
        <v>1872</v>
      </c>
      <c r="H18" s="32">
        <v>38</v>
      </c>
      <c r="I18" s="33">
        <v>1985</v>
      </c>
      <c r="J18" s="32">
        <v>1930</v>
      </c>
      <c r="K18" s="34">
        <v>55</v>
      </c>
      <c r="L18" s="34">
        <v>2000</v>
      </c>
      <c r="M18" s="34">
        <v>-5</v>
      </c>
      <c r="N18" s="34">
        <v>0.73199999999999998</v>
      </c>
      <c r="O18" s="34">
        <v>8.9999999999999993E-3</v>
      </c>
      <c r="P18" s="32">
        <v>1464</v>
      </c>
      <c r="Q18" s="32">
        <v>18</v>
      </c>
      <c r="R18">
        <f t="shared" si="22"/>
        <v>1482</v>
      </c>
      <c r="S18">
        <f t="shared" si="23"/>
        <v>1446</v>
      </c>
      <c r="V18" s="2" t="s">
        <v>64</v>
      </c>
      <c r="W18" s="13" t="s">
        <v>65</v>
      </c>
      <c r="X18" s="32">
        <v>1989</v>
      </c>
      <c r="Y18" s="32">
        <v>179</v>
      </c>
      <c r="Z18" s="32">
        <f t="shared" si="0"/>
        <v>2347</v>
      </c>
      <c r="AA18" s="32">
        <f t="shared" si="1"/>
        <v>1631</v>
      </c>
      <c r="AB18" s="32">
        <v>19</v>
      </c>
      <c r="AC18" s="33">
        <v>1965</v>
      </c>
      <c r="AD18" s="32">
        <v>1940</v>
      </c>
      <c r="AE18" s="34">
        <v>25</v>
      </c>
      <c r="AF18" s="34">
        <v>1000</v>
      </c>
      <c r="AG18" s="32">
        <v>744</v>
      </c>
      <c r="AH18" s="32">
        <f t="shared" si="2"/>
        <v>10495.35</v>
      </c>
      <c r="AI18" s="32">
        <v>110</v>
      </c>
      <c r="AJ18">
        <f t="shared" si="3"/>
        <v>13180</v>
      </c>
      <c r="AN18" s="2" t="s">
        <v>33</v>
      </c>
      <c r="AO18" s="2" t="s">
        <v>28</v>
      </c>
      <c r="AP18" s="32">
        <v>1858</v>
      </c>
      <c r="AQ18" s="32">
        <v>4.5</v>
      </c>
      <c r="AR18" s="32">
        <f t="shared" si="4"/>
        <v>1867</v>
      </c>
      <c r="AS18" s="32"/>
      <c r="AT18" s="32"/>
      <c r="AU18" s="32"/>
      <c r="AV18" s="32">
        <f t="shared" si="5"/>
        <v>1849</v>
      </c>
      <c r="AW18" s="32">
        <v>8</v>
      </c>
      <c r="AX18" s="33">
        <v>1850</v>
      </c>
      <c r="AY18" s="32">
        <v>1820</v>
      </c>
      <c r="AZ18" s="34">
        <v>30</v>
      </c>
      <c r="BA18" s="34">
        <v>950</v>
      </c>
      <c r="BB18" s="43">
        <v>764.8</v>
      </c>
      <c r="BC18" s="32">
        <f t="shared" si="6"/>
        <v>7674.2000000000007</v>
      </c>
      <c r="BD18" s="43">
        <v>16.2</v>
      </c>
      <c r="BE18">
        <f t="shared" si="7"/>
        <v>10380</v>
      </c>
      <c r="BJ18" s="2" t="s">
        <v>41</v>
      </c>
      <c r="BK18" s="2" t="s">
        <v>40</v>
      </c>
      <c r="BL18" s="32">
        <v>1968</v>
      </c>
      <c r="BM18" s="32">
        <v>96</v>
      </c>
      <c r="BN18" s="41">
        <f t="shared" si="8"/>
        <v>2160</v>
      </c>
      <c r="BO18" s="32">
        <f t="shared" si="9"/>
        <v>1776</v>
      </c>
      <c r="BP18" s="32">
        <v>38</v>
      </c>
      <c r="BQ18" s="33">
        <v>1985</v>
      </c>
      <c r="BR18" s="32">
        <v>1930</v>
      </c>
      <c r="BS18" s="34">
        <v>55</v>
      </c>
      <c r="BT18" s="34">
        <v>2000</v>
      </c>
      <c r="BU18" s="32">
        <v>1464</v>
      </c>
      <c r="BV18" s="41">
        <f t="shared" si="10"/>
        <v>11897.849999999999</v>
      </c>
      <c r="BW18" s="32">
        <v>18</v>
      </c>
      <c r="BX18">
        <f t="shared" si="11"/>
        <v>13950</v>
      </c>
      <c r="CA18" s="4" t="s">
        <v>41</v>
      </c>
      <c r="CB18" s="11" t="s">
        <v>24</v>
      </c>
      <c r="CC18" s="36">
        <v>2101</v>
      </c>
      <c r="CD18" s="36">
        <v>12</v>
      </c>
      <c r="CE18" s="32">
        <f t="shared" si="12"/>
        <v>2125</v>
      </c>
      <c r="CF18" s="32">
        <f t="shared" si="13"/>
        <v>2077</v>
      </c>
      <c r="CG18" s="36">
        <v>8</v>
      </c>
      <c r="CH18" s="37">
        <v>1900</v>
      </c>
      <c r="CI18" s="36">
        <v>1800</v>
      </c>
      <c r="CJ18" s="38">
        <v>100</v>
      </c>
      <c r="CK18" s="38">
        <v>1500</v>
      </c>
      <c r="CL18" s="40">
        <v>1392</v>
      </c>
      <c r="CM18" s="32">
        <f t="shared" si="14"/>
        <v>10809.1</v>
      </c>
      <c r="CN18" s="40">
        <v>87</v>
      </c>
      <c r="CO18">
        <f t="shared" si="15"/>
        <v>12580</v>
      </c>
      <c r="CQ18" s="2" t="s">
        <v>39</v>
      </c>
      <c r="CR18" s="13" t="s">
        <v>29</v>
      </c>
      <c r="CS18" s="41">
        <v>1860</v>
      </c>
      <c r="CT18" s="32">
        <v>157</v>
      </c>
      <c r="CU18" s="32">
        <f t="shared" si="16"/>
        <v>2174</v>
      </c>
      <c r="CV18" s="32">
        <f t="shared" si="17"/>
        <v>1546</v>
      </c>
      <c r="CW18" s="32">
        <v>49</v>
      </c>
      <c r="CX18" s="33">
        <v>1900</v>
      </c>
      <c r="CY18" s="32">
        <v>1870</v>
      </c>
      <c r="CZ18" s="34">
        <v>30</v>
      </c>
      <c r="DA18" s="42">
        <v>2200</v>
      </c>
      <c r="DB18" s="43">
        <v>1716</v>
      </c>
      <c r="DC18" s="32">
        <f t="shared" si="18"/>
        <v>8940.7000000000007</v>
      </c>
      <c r="DD18" s="43">
        <v>253</v>
      </c>
      <c r="DE18">
        <f t="shared" si="19"/>
        <v>10580</v>
      </c>
    </row>
    <row r="19" spans="1:109">
      <c r="A19" s="2" t="s">
        <v>64</v>
      </c>
      <c r="B19" s="13" t="s">
        <v>65</v>
      </c>
      <c r="C19" s="14" t="s">
        <v>25</v>
      </c>
      <c r="D19" s="32">
        <v>1989</v>
      </c>
      <c r="E19" s="32">
        <v>179</v>
      </c>
      <c r="F19" s="32">
        <f t="shared" si="20"/>
        <v>2168</v>
      </c>
      <c r="G19" s="32">
        <f t="shared" si="21"/>
        <v>1810</v>
      </c>
      <c r="H19" s="32">
        <v>19</v>
      </c>
      <c r="I19" s="33">
        <v>1965</v>
      </c>
      <c r="J19" s="32">
        <v>1940</v>
      </c>
      <c r="K19" s="34">
        <v>25</v>
      </c>
      <c r="L19" s="34">
        <v>1000</v>
      </c>
      <c r="M19" s="34">
        <v>-5</v>
      </c>
      <c r="N19" s="34">
        <v>0.74399999999999999</v>
      </c>
      <c r="O19" s="34">
        <v>0.11</v>
      </c>
      <c r="P19" s="32">
        <v>744</v>
      </c>
      <c r="Q19" s="32">
        <v>110</v>
      </c>
      <c r="R19">
        <f t="shared" si="22"/>
        <v>854</v>
      </c>
      <c r="S19">
        <f t="shared" si="23"/>
        <v>634</v>
      </c>
      <c r="V19" s="4"/>
      <c r="W19" s="4" t="s">
        <v>20</v>
      </c>
      <c r="X19" s="36">
        <v>1998</v>
      </c>
      <c r="Y19" s="36">
        <v>87</v>
      </c>
      <c r="Z19" s="32">
        <f t="shared" si="0"/>
        <v>2172</v>
      </c>
      <c r="AA19" s="32">
        <f t="shared" si="1"/>
        <v>1824</v>
      </c>
      <c r="AB19" s="36">
        <v>9</v>
      </c>
      <c r="AC19" s="37">
        <v>1800</v>
      </c>
      <c r="AD19" s="36">
        <v>1780</v>
      </c>
      <c r="AE19" s="38">
        <v>20</v>
      </c>
      <c r="AF19" s="38">
        <v>2100</v>
      </c>
      <c r="AG19" s="40">
        <v>1999.2</v>
      </c>
      <c r="AH19" s="32">
        <f t="shared" si="2"/>
        <v>9751.35</v>
      </c>
      <c r="AI19" s="40">
        <v>37.799999999999997</v>
      </c>
      <c r="AJ19">
        <f t="shared" si="3"/>
        <v>12180</v>
      </c>
      <c r="AN19" s="2" t="s">
        <v>66</v>
      </c>
      <c r="AO19" s="2" t="s">
        <v>27</v>
      </c>
      <c r="AP19" s="41">
        <v>1850</v>
      </c>
      <c r="AQ19" s="32">
        <v>0</v>
      </c>
      <c r="AR19" s="32">
        <f t="shared" si="4"/>
        <v>1850</v>
      </c>
      <c r="AS19" s="32"/>
      <c r="AT19" s="32"/>
      <c r="AU19" s="32"/>
      <c r="AV19" s="32">
        <f t="shared" si="5"/>
        <v>1850</v>
      </c>
      <c r="AW19" s="32">
        <v>10</v>
      </c>
      <c r="AX19" s="33">
        <v>1890</v>
      </c>
      <c r="AY19" s="32">
        <v>1830</v>
      </c>
      <c r="AZ19" s="34">
        <v>60</v>
      </c>
      <c r="BA19" s="42">
        <v>1500</v>
      </c>
      <c r="BB19" s="43">
        <v>1054.5</v>
      </c>
      <c r="BC19" s="32">
        <f t="shared" si="6"/>
        <v>6909.4000000000005</v>
      </c>
      <c r="BD19" s="43">
        <v>555</v>
      </c>
      <c r="BE19">
        <f t="shared" si="7"/>
        <v>9430</v>
      </c>
      <c r="BJ19" s="5" t="s">
        <v>61</v>
      </c>
      <c r="BK19" s="11" t="s">
        <v>22</v>
      </c>
      <c r="BL19" s="36">
        <v>2100</v>
      </c>
      <c r="BM19" s="36">
        <v>31</v>
      </c>
      <c r="BN19" s="41">
        <f t="shared" si="8"/>
        <v>2162</v>
      </c>
      <c r="BO19" s="32">
        <f t="shared" si="9"/>
        <v>2038</v>
      </c>
      <c r="BP19" s="36">
        <v>164</v>
      </c>
      <c r="BQ19" s="37">
        <v>2150</v>
      </c>
      <c r="BR19" s="35">
        <v>1980</v>
      </c>
      <c r="BS19" s="38">
        <v>170</v>
      </c>
      <c r="BT19" s="38">
        <v>2500</v>
      </c>
      <c r="BU19" s="36">
        <v>2397.5</v>
      </c>
      <c r="BV19" s="41">
        <f t="shared" si="10"/>
        <v>10433.849999999999</v>
      </c>
      <c r="BW19" s="36">
        <v>75</v>
      </c>
      <c r="BX19">
        <f t="shared" si="11"/>
        <v>11950</v>
      </c>
      <c r="CA19" s="4" t="s">
        <v>35</v>
      </c>
      <c r="CB19" s="11" t="s">
        <v>19</v>
      </c>
      <c r="CC19" s="36">
        <v>1960</v>
      </c>
      <c r="CD19" s="36">
        <v>60</v>
      </c>
      <c r="CE19" s="32">
        <f t="shared" si="12"/>
        <v>2080</v>
      </c>
      <c r="CF19" s="32">
        <f t="shared" si="13"/>
        <v>1840</v>
      </c>
      <c r="CG19" s="36">
        <v>28</v>
      </c>
      <c r="CH19" s="37">
        <v>1920</v>
      </c>
      <c r="CI19" s="36">
        <v>1870</v>
      </c>
      <c r="CJ19" s="38">
        <v>50</v>
      </c>
      <c r="CK19" s="38">
        <v>950</v>
      </c>
      <c r="CL19" s="40">
        <v>841.7</v>
      </c>
      <c r="CM19" s="32">
        <f t="shared" si="14"/>
        <v>9417.1</v>
      </c>
      <c r="CN19" s="40">
        <v>138.69999999999999</v>
      </c>
      <c r="CO19">
        <f t="shared" si="15"/>
        <v>11080</v>
      </c>
      <c r="CQ19" s="4" t="s">
        <v>35</v>
      </c>
      <c r="CR19" s="11" t="s">
        <v>19</v>
      </c>
      <c r="CS19" s="36">
        <v>1960</v>
      </c>
      <c r="CT19" s="36">
        <v>60</v>
      </c>
      <c r="CU19" s="32">
        <f t="shared" si="16"/>
        <v>2080</v>
      </c>
      <c r="CV19" s="32">
        <f t="shared" si="17"/>
        <v>1840</v>
      </c>
      <c r="CW19" s="36">
        <v>28</v>
      </c>
      <c r="CX19" s="37">
        <v>1920</v>
      </c>
      <c r="CY19" s="36">
        <v>1870</v>
      </c>
      <c r="CZ19" s="38">
        <v>50</v>
      </c>
      <c r="DA19" s="38">
        <v>950</v>
      </c>
      <c r="DB19" s="40">
        <v>841.7</v>
      </c>
      <c r="DC19" s="32">
        <f t="shared" si="18"/>
        <v>7224.7</v>
      </c>
      <c r="DD19" s="40">
        <v>138.69999999999999</v>
      </c>
      <c r="DE19">
        <f t="shared" si="19"/>
        <v>8380</v>
      </c>
    </row>
    <row r="20" spans="1:109">
      <c r="A20" s="4"/>
      <c r="B20" s="4" t="s">
        <v>20</v>
      </c>
      <c r="C20" s="8" t="s">
        <v>11</v>
      </c>
      <c r="D20" s="36">
        <v>1998</v>
      </c>
      <c r="E20" s="36">
        <v>87</v>
      </c>
      <c r="F20" s="32">
        <f t="shared" si="20"/>
        <v>2085</v>
      </c>
      <c r="G20" s="32">
        <f t="shared" si="21"/>
        <v>1911</v>
      </c>
      <c r="H20" s="36">
        <v>9</v>
      </c>
      <c r="I20" s="37">
        <v>1800</v>
      </c>
      <c r="J20" s="36">
        <v>1780</v>
      </c>
      <c r="K20" s="38">
        <v>20</v>
      </c>
      <c r="L20" s="38">
        <v>2100</v>
      </c>
      <c r="M20" s="38">
        <v>2</v>
      </c>
      <c r="N20" s="38">
        <v>0.95199999999999996</v>
      </c>
      <c r="O20" s="38">
        <v>1.7999999999999999E-2</v>
      </c>
      <c r="P20" s="40">
        <v>1999.2</v>
      </c>
      <c r="Q20" s="40">
        <v>37.799999999999997</v>
      </c>
      <c r="R20">
        <f t="shared" si="22"/>
        <v>2037</v>
      </c>
      <c r="S20">
        <f t="shared" si="23"/>
        <v>1961.4</v>
      </c>
      <c r="V20" s="5" t="s">
        <v>55</v>
      </c>
      <c r="W20" s="11" t="s">
        <v>21</v>
      </c>
      <c r="X20" s="36">
        <v>1998</v>
      </c>
      <c r="Y20" s="36">
        <v>45</v>
      </c>
      <c r="Z20" s="32">
        <f t="shared" si="0"/>
        <v>2088</v>
      </c>
      <c r="AA20" s="32">
        <f t="shared" si="1"/>
        <v>1908</v>
      </c>
      <c r="AB20" s="36">
        <v>13</v>
      </c>
      <c r="AC20" s="37">
        <v>2040</v>
      </c>
      <c r="AD20" s="36">
        <v>1960</v>
      </c>
      <c r="AE20" s="38">
        <v>80</v>
      </c>
      <c r="AF20" s="38">
        <v>1930</v>
      </c>
      <c r="AG20" s="40">
        <v>1777.5</v>
      </c>
      <c r="AH20" s="32">
        <f t="shared" si="2"/>
        <v>7752.15</v>
      </c>
      <c r="AI20" s="40">
        <v>482.5</v>
      </c>
      <c r="AJ20">
        <f t="shared" si="3"/>
        <v>10080</v>
      </c>
      <c r="AN20" s="2" t="s">
        <v>39</v>
      </c>
      <c r="AO20" s="2" t="s">
        <v>30</v>
      </c>
      <c r="AP20" s="41">
        <v>1900</v>
      </c>
      <c r="AQ20" s="32">
        <v>20</v>
      </c>
      <c r="AR20" s="32">
        <f t="shared" si="4"/>
        <v>1940</v>
      </c>
      <c r="AS20" s="32"/>
      <c r="AT20" s="32"/>
      <c r="AU20" s="32"/>
      <c r="AV20" s="32">
        <f t="shared" si="5"/>
        <v>1860</v>
      </c>
      <c r="AW20" s="32">
        <v>7</v>
      </c>
      <c r="AX20" s="33">
        <v>1900</v>
      </c>
      <c r="AY20" s="32">
        <v>1850</v>
      </c>
      <c r="AZ20" s="34">
        <v>50</v>
      </c>
      <c r="BA20" s="41">
        <v>1300</v>
      </c>
      <c r="BB20" s="32">
        <v>1093.3</v>
      </c>
      <c r="BC20" s="32">
        <f t="shared" si="6"/>
        <v>5854.9000000000005</v>
      </c>
      <c r="BD20" s="32">
        <v>274.3</v>
      </c>
      <c r="BE20">
        <f t="shared" si="7"/>
        <v>7930</v>
      </c>
      <c r="BJ20" s="4"/>
      <c r="BK20" s="4" t="s">
        <v>20</v>
      </c>
      <c r="BL20" s="36">
        <v>1998</v>
      </c>
      <c r="BM20" s="36">
        <v>87</v>
      </c>
      <c r="BN20" s="41">
        <f t="shared" si="8"/>
        <v>2172</v>
      </c>
      <c r="BO20" s="32">
        <f t="shared" si="9"/>
        <v>1824</v>
      </c>
      <c r="BP20" s="36">
        <v>9</v>
      </c>
      <c r="BQ20" s="37">
        <v>1800</v>
      </c>
      <c r="BR20" s="36">
        <v>1780</v>
      </c>
      <c r="BS20" s="38">
        <v>20</v>
      </c>
      <c r="BT20" s="38">
        <v>2100</v>
      </c>
      <c r="BU20" s="40">
        <v>1999.2</v>
      </c>
      <c r="BV20" s="41">
        <f t="shared" si="10"/>
        <v>8036.3499999999995</v>
      </c>
      <c r="BW20" s="40">
        <v>37.799999999999997</v>
      </c>
      <c r="BX20">
        <f t="shared" si="11"/>
        <v>9450</v>
      </c>
      <c r="CA20" s="2" t="s">
        <v>64</v>
      </c>
      <c r="CB20" s="13" t="s">
        <v>65</v>
      </c>
      <c r="CC20" s="32">
        <v>1989</v>
      </c>
      <c r="CD20" s="32">
        <v>179</v>
      </c>
      <c r="CE20" s="32">
        <f t="shared" si="12"/>
        <v>2347</v>
      </c>
      <c r="CF20" s="32">
        <f t="shared" si="13"/>
        <v>1631</v>
      </c>
      <c r="CG20" s="32">
        <v>19</v>
      </c>
      <c r="CH20" s="33">
        <v>1965</v>
      </c>
      <c r="CI20" s="32">
        <v>1940</v>
      </c>
      <c r="CJ20" s="34">
        <v>25</v>
      </c>
      <c r="CK20" s="34">
        <v>1000</v>
      </c>
      <c r="CL20" s="32">
        <v>744</v>
      </c>
      <c r="CM20" s="32">
        <f t="shared" si="14"/>
        <v>8575.4</v>
      </c>
      <c r="CN20" s="32">
        <v>110</v>
      </c>
      <c r="CO20">
        <f t="shared" si="15"/>
        <v>10130</v>
      </c>
      <c r="CQ20" s="2" t="s">
        <v>41</v>
      </c>
      <c r="CR20" s="2" t="s">
        <v>40</v>
      </c>
      <c r="CS20" s="32">
        <v>1968</v>
      </c>
      <c r="CT20" s="32">
        <v>96</v>
      </c>
      <c r="CU20" s="32">
        <f t="shared" si="16"/>
        <v>2160</v>
      </c>
      <c r="CV20" s="32">
        <f t="shared" si="17"/>
        <v>1776</v>
      </c>
      <c r="CW20" s="32">
        <v>38</v>
      </c>
      <c r="CX20" s="33">
        <v>1985</v>
      </c>
      <c r="CY20" s="32">
        <v>1930</v>
      </c>
      <c r="CZ20" s="34">
        <v>55</v>
      </c>
      <c r="DA20" s="34">
        <v>2000</v>
      </c>
      <c r="DB20" s="32">
        <v>1464</v>
      </c>
      <c r="DC20" s="32">
        <f t="shared" si="18"/>
        <v>6383</v>
      </c>
      <c r="DD20" s="32">
        <v>18</v>
      </c>
      <c r="DE20">
        <f t="shared" si="19"/>
        <v>7430</v>
      </c>
    </row>
    <row r="21" spans="1:109">
      <c r="A21" s="4" t="s">
        <v>63</v>
      </c>
      <c r="B21" s="4" t="s">
        <v>23</v>
      </c>
      <c r="C21" s="8" t="s">
        <v>11</v>
      </c>
      <c r="D21" s="36">
        <v>2100</v>
      </c>
      <c r="E21" s="36">
        <v>157</v>
      </c>
      <c r="F21" s="32">
        <f t="shared" si="20"/>
        <v>2257</v>
      </c>
      <c r="G21" s="32">
        <f t="shared" si="21"/>
        <v>1943</v>
      </c>
      <c r="H21" s="36">
        <v>42</v>
      </c>
      <c r="I21" s="37">
        <v>1890</v>
      </c>
      <c r="J21" s="36">
        <v>1850</v>
      </c>
      <c r="K21" s="38">
        <v>40</v>
      </c>
      <c r="L21" s="38">
        <v>1450</v>
      </c>
      <c r="M21" s="38">
        <v>2</v>
      </c>
      <c r="N21" s="38">
        <v>0.95499999999999996</v>
      </c>
      <c r="O21" s="38">
        <v>8.0000000000000002E-3</v>
      </c>
      <c r="P21" s="36">
        <v>1384.75</v>
      </c>
      <c r="Q21" s="36">
        <v>11.6</v>
      </c>
      <c r="R21">
        <f t="shared" si="22"/>
        <v>1396.35</v>
      </c>
      <c r="S21">
        <f t="shared" si="23"/>
        <v>1373.15</v>
      </c>
      <c r="V21" s="4" t="s">
        <v>63</v>
      </c>
      <c r="W21" s="4" t="s">
        <v>23</v>
      </c>
      <c r="X21" s="36">
        <v>2100</v>
      </c>
      <c r="Y21" s="36">
        <v>157</v>
      </c>
      <c r="Z21" s="32">
        <f t="shared" si="0"/>
        <v>2414</v>
      </c>
      <c r="AA21" s="32">
        <f t="shared" si="1"/>
        <v>1786</v>
      </c>
      <c r="AB21" s="36">
        <v>42</v>
      </c>
      <c r="AC21" s="37">
        <v>1890</v>
      </c>
      <c r="AD21" s="36">
        <v>1850</v>
      </c>
      <c r="AE21" s="38">
        <v>40</v>
      </c>
      <c r="AF21" s="38">
        <v>1450</v>
      </c>
      <c r="AG21" s="36">
        <v>1384.75</v>
      </c>
      <c r="AH21" s="32">
        <f t="shared" si="2"/>
        <v>5974.65</v>
      </c>
      <c r="AI21" s="36">
        <v>11.6</v>
      </c>
      <c r="AJ21">
        <f t="shared" si="3"/>
        <v>8150</v>
      </c>
      <c r="AN21" s="4" t="s">
        <v>36</v>
      </c>
      <c r="AO21" s="11" t="s">
        <v>17</v>
      </c>
      <c r="AP21" s="36">
        <v>1900</v>
      </c>
      <c r="AQ21" s="36">
        <v>0</v>
      </c>
      <c r="AR21" s="32">
        <f t="shared" si="4"/>
        <v>1900</v>
      </c>
      <c r="AS21" s="32"/>
      <c r="AT21" s="32"/>
      <c r="AU21" s="32"/>
      <c r="AV21" s="32">
        <f t="shared" si="5"/>
        <v>1900</v>
      </c>
      <c r="AW21" s="36">
        <v>27</v>
      </c>
      <c r="AX21" s="37">
        <v>1869</v>
      </c>
      <c r="AY21" s="36">
        <v>1844</v>
      </c>
      <c r="AZ21" s="38">
        <v>25</v>
      </c>
      <c r="BA21" s="38">
        <v>700</v>
      </c>
      <c r="BB21" s="40">
        <v>586.6</v>
      </c>
      <c r="BC21" s="32">
        <f t="shared" si="6"/>
        <v>4761.6000000000004</v>
      </c>
      <c r="BD21" s="40">
        <v>95.9</v>
      </c>
      <c r="BE21">
        <f t="shared" si="7"/>
        <v>6630</v>
      </c>
      <c r="BJ21" s="2" t="s">
        <v>39</v>
      </c>
      <c r="BK21" s="13" t="s">
        <v>29</v>
      </c>
      <c r="BL21" s="41">
        <v>1860</v>
      </c>
      <c r="BM21" s="32">
        <v>157</v>
      </c>
      <c r="BN21" s="41">
        <f t="shared" si="8"/>
        <v>2174</v>
      </c>
      <c r="BO21" s="32">
        <f t="shared" si="9"/>
        <v>1546</v>
      </c>
      <c r="BP21" s="32">
        <v>49</v>
      </c>
      <c r="BQ21" s="33">
        <v>1900</v>
      </c>
      <c r="BR21" s="32">
        <v>1870</v>
      </c>
      <c r="BS21" s="34">
        <v>30</v>
      </c>
      <c r="BT21" s="42">
        <v>2200</v>
      </c>
      <c r="BU21" s="43">
        <v>1716</v>
      </c>
      <c r="BV21" s="41">
        <f t="shared" si="10"/>
        <v>6037.15</v>
      </c>
      <c r="BW21" s="43">
        <v>253</v>
      </c>
      <c r="BX21">
        <f t="shared" si="11"/>
        <v>7350</v>
      </c>
      <c r="CA21" s="2" t="s">
        <v>41</v>
      </c>
      <c r="CB21" s="2" t="s">
        <v>40</v>
      </c>
      <c r="CC21" s="32">
        <v>1968</v>
      </c>
      <c r="CD21" s="32">
        <v>96</v>
      </c>
      <c r="CE21" s="32">
        <f t="shared" si="12"/>
        <v>2160</v>
      </c>
      <c r="CF21" s="32">
        <f t="shared" si="13"/>
        <v>1776</v>
      </c>
      <c r="CG21" s="32">
        <v>38</v>
      </c>
      <c r="CH21" s="33">
        <v>1985</v>
      </c>
      <c r="CI21" s="32">
        <v>1930</v>
      </c>
      <c r="CJ21" s="34">
        <v>55</v>
      </c>
      <c r="CK21" s="34">
        <v>2000</v>
      </c>
      <c r="CL21" s="32">
        <v>1464</v>
      </c>
      <c r="CM21" s="32">
        <f t="shared" si="14"/>
        <v>7831.4</v>
      </c>
      <c r="CN21" s="32">
        <v>18</v>
      </c>
      <c r="CO21">
        <f t="shared" si="15"/>
        <v>9130</v>
      </c>
      <c r="CQ21" s="2" t="s">
        <v>64</v>
      </c>
      <c r="CR21" s="13" t="s">
        <v>65</v>
      </c>
      <c r="CS21" s="32">
        <v>1989</v>
      </c>
      <c r="CT21" s="32">
        <v>179</v>
      </c>
      <c r="CU21" s="32">
        <f t="shared" si="16"/>
        <v>2347</v>
      </c>
      <c r="CV21" s="32">
        <f t="shared" si="17"/>
        <v>1631</v>
      </c>
      <c r="CW21" s="32">
        <v>19</v>
      </c>
      <c r="CX21" s="33">
        <v>1965</v>
      </c>
      <c r="CY21" s="32">
        <v>1940</v>
      </c>
      <c r="CZ21" s="34">
        <v>25</v>
      </c>
      <c r="DA21" s="34">
        <v>1000</v>
      </c>
      <c r="DB21" s="32">
        <v>744</v>
      </c>
      <c r="DC21" s="32">
        <f t="shared" si="18"/>
        <v>4919</v>
      </c>
      <c r="DD21" s="32">
        <v>110</v>
      </c>
      <c r="DE21">
        <f t="shared" si="19"/>
        <v>5430</v>
      </c>
    </row>
    <row r="22" spans="1:109">
      <c r="A22" s="4" t="s">
        <v>41</v>
      </c>
      <c r="B22" s="11" t="s">
        <v>24</v>
      </c>
      <c r="C22" s="8" t="s">
        <v>11</v>
      </c>
      <c r="D22" s="36">
        <v>2101</v>
      </c>
      <c r="E22" s="36">
        <v>12</v>
      </c>
      <c r="F22" s="32">
        <f t="shared" si="20"/>
        <v>2113</v>
      </c>
      <c r="G22" s="32">
        <f t="shared" si="21"/>
        <v>2089</v>
      </c>
      <c r="H22" s="36">
        <v>8</v>
      </c>
      <c r="I22" s="37">
        <v>1900</v>
      </c>
      <c r="J22" s="36">
        <v>1800</v>
      </c>
      <c r="K22" s="38">
        <v>100</v>
      </c>
      <c r="L22" s="38">
        <v>1500</v>
      </c>
      <c r="M22" s="38">
        <v>1</v>
      </c>
      <c r="N22" s="38">
        <v>0.92800000000000005</v>
      </c>
      <c r="O22" s="38">
        <v>5.8000000000000003E-2</v>
      </c>
      <c r="P22" s="40">
        <v>1392</v>
      </c>
      <c r="Q22" s="40">
        <v>87</v>
      </c>
      <c r="R22">
        <f t="shared" si="22"/>
        <v>1479</v>
      </c>
      <c r="S22">
        <f t="shared" si="23"/>
        <v>1305</v>
      </c>
      <c r="V22" s="5" t="s">
        <v>55</v>
      </c>
      <c r="W22" s="2" t="s">
        <v>31</v>
      </c>
      <c r="X22" s="32">
        <v>2100</v>
      </c>
      <c r="Y22" s="32">
        <v>162</v>
      </c>
      <c r="Z22" s="32">
        <f t="shared" si="0"/>
        <v>2424</v>
      </c>
      <c r="AA22" s="32">
        <f t="shared" si="1"/>
        <v>1776</v>
      </c>
      <c r="AB22" s="32">
        <v>25</v>
      </c>
      <c r="AC22" s="33">
        <v>2100</v>
      </c>
      <c r="AD22" s="41">
        <v>2000</v>
      </c>
      <c r="AE22" s="34">
        <v>100</v>
      </c>
      <c r="AF22" s="34">
        <v>2700</v>
      </c>
      <c r="AG22" s="32">
        <v>2192.4</v>
      </c>
      <c r="AH22" s="32">
        <f t="shared" si="2"/>
        <v>4589.8999999999996</v>
      </c>
      <c r="AI22" s="32">
        <v>59.4</v>
      </c>
      <c r="AJ22">
        <f t="shared" si="3"/>
        <v>6700</v>
      </c>
      <c r="AN22" s="5" t="s">
        <v>55</v>
      </c>
      <c r="AO22" s="11" t="s">
        <v>21</v>
      </c>
      <c r="AP22" s="36">
        <v>1998</v>
      </c>
      <c r="AQ22" s="36">
        <v>45</v>
      </c>
      <c r="AR22" s="32">
        <f t="shared" si="4"/>
        <v>2088</v>
      </c>
      <c r="AS22" s="32"/>
      <c r="AT22" s="32"/>
      <c r="AU22" s="32"/>
      <c r="AV22" s="32">
        <f t="shared" si="5"/>
        <v>1908</v>
      </c>
      <c r="AW22" s="36">
        <v>13</v>
      </c>
      <c r="AX22" s="37">
        <v>2040</v>
      </c>
      <c r="AY22" s="36">
        <v>1960</v>
      </c>
      <c r="AZ22" s="38">
        <v>80</v>
      </c>
      <c r="BA22" s="38">
        <v>1930</v>
      </c>
      <c r="BB22" s="40">
        <v>1777.5</v>
      </c>
      <c r="BC22" s="32">
        <f t="shared" si="6"/>
        <v>4175</v>
      </c>
      <c r="BD22" s="40">
        <v>482.5</v>
      </c>
      <c r="BE22">
        <f t="shared" si="7"/>
        <v>5930</v>
      </c>
      <c r="BJ22" s="2" t="s">
        <v>64</v>
      </c>
      <c r="BK22" s="13" t="s">
        <v>65</v>
      </c>
      <c r="BL22" s="32">
        <v>1989</v>
      </c>
      <c r="BM22" s="32">
        <v>179</v>
      </c>
      <c r="BN22" s="41">
        <f t="shared" si="8"/>
        <v>2347</v>
      </c>
      <c r="BO22" s="32">
        <f t="shared" si="9"/>
        <v>1631</v>
      </c>
      <c r="BP22" s="32">
        <v>19</v>
      </c>
      <c r="BQ22" s="33">
        <v>1965</v>
      </c>
      <c r="BR22" s="32">
        <v>1940</v>
      </c>
      <c r="BS22" s="34">
        <v>25</v>
      </c>
      <c r="BT22" s="34">
        <v>1000</v>
      </c>
      <c r="BU22" s="32">
        <v>744</v>
      </c>
      <c r="BV22" s="41">
        <f t="shared" si="10"/>
        <v>4321.1499999999996</v>
      </c>
      <c r="BW22" s="32">
        <v>110</v>
      </c>
      <c r="BX22">
        <f t="shared" si="11"/>
        <v>5150</v>
      </c>
      <c r="CA22" s="5" t="s">
        <v>55</v>
      </c>
      <c r="CB22" s="11" t="s">
        <v>21</v>
      </c>
      <c r="CC22" s="36">
        <v>1998</v>
      </c>
      <c r="CD22" s="36">
        <v>45</v>
      </c>
      <c r="CE22" s="32">
        <f t="shared" si="12"/>
        <v>2088</v>
      </c>
      <c r="CF22" s="32">
        <f t="shared" si="13"/>
        <v>1908</v>
      </c>
      <c r="CG22" s="36">
        <v>13</v>
      </c>
      <c r="CH22" s="37">
        <v>2040</v>
      </c>
      <c r="CI22" s="36">
        <v>1960</v>
      </c>
      <c r="CJ22" s="38">
        <v>80</v>
      </c>
      <c r="CK22" s="38">
        <v>1930</v>
      </c>
      <c r="CL22" s="40">
        <v>1777.5</v>
      </c>
      <c r="CM22" s="32">
        <f t="shared" si="14"/>
        <v>6367.4</v>
      </c>
      <c r="CN22" s="40">
        <v>482.5</v>
      </c>
      <c r="CO22">
        <f t="shared" si="15"/>
        <v>7130</v>
      </c>
      <c r="CQ22" s="5" t="s">
        <v>55</v>
      </c>
      <c r="CR22" s="11" t="s">
        <v>21</v>
      </c>
      <c r="CS22" s="36">
        <v>1998</v>
      </c>
      <c r="CT22" s="36">
        <v>45</v>
      </c>
      <c r="CU22" s="32">
        <f t="shared" si="16"/>
        <v>2088</v>
      </c>
      <c r="CV22" s="32">
        <f t="shared" si="17"/>
        <v>1908</v>
      </c>
      <c r="CW22" s="36">
        <v>13</v>
      </c>
      <c r="CX22" s="37">
        <v>2040</v>
      </c>
      <c r="CY22" s="36">
        <v>1960</v>
      </c>
      <c r="CZ22" s="38">
        <v>80</v>
      </c>
      <c r="DA22" s="38">
        <v>1930</v>
      </c>
      <c r="DB22" s="40">
        <v>1777.5</v>
      </c>
      <c r="DC22" s="32">
        <f t="shared" si="18"/>
        <v>4175</v>
      </c>
      <c r="DD22" s="40">
        <v>482.5</v>
      </c>
      <c r="DE22">
        <f t="shared" si="19"/>
        <v>4430</v>
      </c>
    </row>
    <row r="23" spans="1:109">
      <c r="A23" s="5" t="s">
        <v>55</v>
      </c>
      <c r="B23" s="11" t="s">
        <v>21</v>
      </c>
      <c r="C23" s="8" t="s">
        <v>11</v>
      </c>
      <c r="D23" s="36">
        <v>1998</v>
      </c>
      <c r="E23" s="36">
        <v>45</v>
      </c>
      <c r="F23" s="32">
        <f t="shared" si="20"/>
        <v>2043</v>
      </c>
      <c r="G23" s="32">
        <f t="shared" si="21"/>
        <v>1953</v>
      </c>
      <c r="H23" s="36">
        <v>13</v>
      </c>
      <c r="I23" s="37">
        <v>2040</v>
      </c>
      <c r="J23" s="36">
        <v>1960</v>
      </c>
      <c r="K23" s="38">
        <v>80</v>
      </c>
      <c r="L23" s="38">
        <v>1930</v>
      </c>
      <c r="M23" s="38">
        <v>0</v>
      </c>
      <c r="N23" s="38">
        <v>0.92100000000000004</v>
      </c>
      <c r="O23" s="38">
        <v>0.25</v>
      </c>
      <c r="P23" s="40">
        <v>1777.5</v>
      </c>
      <c r="Q23" s="40">
        <v>482.5</v>
      </c>
      <c r="R23">
        <f t="shared" si="22"/>
        <v>2260</v>
      </c>
      <c r="S23">
        <f t="shared" si="23"/>
        <v>1295</v>
      </c>
      <c r="V23" s="5" t="s">
        <v>61</v>
      </c>
      <c r="W23" s="11" t="s">
        <v>22</v>
      </c>
      <c r="X23" s="36">
        <v>2100</v>
      </c>
      <c r="Y23" s="36">
        <v>31</v>
      </c>
      <c r="Z23" s="32">
        <f t="shared" si="0"/>
        <v>2162</v>
      </c>
      <c r="AA23" s="32">
        <f t="shared" si="1"/>
        <v>2038</v>
      </c>
      <c r="AB23" s="36">
        <v>164</v>
      </c>
      <c r="AC23" s="37">
        <v>2150</v>
      </c>
      <c r="AD23" s="35">
        <v>1980</v>
      </c>
      <c r="AE23" s="38">
        <v>170</v>
      </c>
      <c r="AF23" s="38">
        <v>2500</v>
      </c>
      <c r="AG23" s="36">
        <v>2397.5</v>
      </c>
      <c r="AH23" s="36">
        <f>AG23</f>
        <v>2397.5</v>
      </c>
      <c r="AI23" s="36">
        <v>75</v>
      </c>
      <c r="AJ23">
        <f>AF23+AJ24</f>
        <v>4000</v>
      </c>
      <c r="AN23" s="5" t="s">
        <v>61</v>
      </c>
      <c r="AO23" s="11" t="s">
        <v>22</v>
      </c>
      <c r="AP23" s="36">
        <v>2100</v>
      </c>
      <c r="AQ23" s="36">
        <v>31</v>
      </c>
      <c r="AR23" s="32">
        <f t="shared" si="4"/>
        <v>2162</v>
      </c>
      <c r="AS23" s="32"/>
      <c r="AT23" s="32"/>
      <c r="AU23" s="32"/>
      <c r="AV23" s="32">
        <f t="shared" si="5"/>
        <v>2038</v>
      </c>
      <c r="AW23" s="36">
        <v>164</v>
      </c>
      <c r="AX23" s="37">
        <v>2150</v>
      </c>
      <c r="AY23" s="35">
        <v>1980</v>
      </c>
      <c r="AZ23" s="38">
        <v>170</v>
      </c>
      <c r="BA23" s="38">
        <v>2500</v>
      </c>
      <c r="BB23" s="36">
        <v>2397.5</v>
      </c>
      <c r="BC23" s="36">
        <f>BB23</f>
        <v>2397.5</v>
      </c>
      <c r="BD23" s="36">
        <v>75</v>
      </c>
      <c r="BE23">
        <f>BA23+BE24</f>
        <v>4000</v>
      </c>
      <c r="BJ23" s="4" t="s">
        <v>63</v>
      </c>
      <c r="BK23" s="4" t="s">
        <v>23</v>
      </c>
      <c r="BL23" s="36">
        <v>2100</v>
      </c>
      <c r="BM23" s="36">
        <v>157</v>
      </c>
      <c r="BN23" s="41">
        <f t="shared" si="8"/>
        <v>2414</v>
      </c>
      <c r="BO23" s="32">
        <f t="shared" si="9"/>
        <v>1786</v>
      </c>
      <c r="BP23" s="36">
        <v>42</v>
      </c>
      <c r="BQ23" s="37">
        <v>1890</v>
      </c>
      <c r="BR23" s="36">
        <v>1850</v>
      </c>
      <c r="BS23" s="38">
        <v>40</v>
      </c>
      <c r="BT23" s="38">
        <v>1450</v>
      </c>
      <c r="BU23" s="36">
        <v>1384.75</v>
      </c>
      <c r="BV23" s="41">
        <f t="shared" si="10"/>
        <v>3577.15</v>
      </c>
      <c r="BW23" s="36">
        <v>11.6</v>
      </c>
      <c r="BX23">
        <f>BX24+BT23</f>
        <v>4150</v>
      </c>
      <c r="CA23" s="5" t="s">
        <v>55</v>
      </c>
      <c r="CB23" s="2" t="s">
        <v>31</v>
      </c>
      <c r="CC23" s="32">
        <v>2100</v>
      </c>
      <c r="CD23" s="32">
        <v>162</v>
      </c>
      <c r="CE23" s="32">
        <f t="shared" si="12"/>
        <v>2424</v>
      </c>
      <c r="CF23" s="32">
        <f t="shared" si="13"/>
        <v>1776</v>
      </c>
      <c r="CG23" s="32">
        <v>25</v>
      </c>
      <c r="CH23" s="33">
        <v>2100</v>
      </c>
      <c r="CI23" s="41">
        <v>2000</v>
      </c>
      <c r="CJ23" s="34">
        <v>100</v>
      </c>
      <c r="CK23" s="34">
        <v>2700</v>
      </c>
      <c r="CL23" s="32">
        <v>2192.4</v>
      </c>
      <c r="CM23" s="32">
        <f t="shared" si="14"/>
        <v>4589.8999999999996</v>
      </c>
      <c r="CN23" s="32">
        <v>59.4</v>
      </c>
      <c r="CO23">
        <f>CO24+CK23</f>
        <v>5200</v>
      </c>
      <c r="CQ23" s="5" t="s">
        <v>61</v>
      </c>
      <c r="CR23" s="11" t="s">
        <v>22</v>
      </c>
      <c r="CS23" s="36">
        <v>2100</v>
      </c>
      <c r="CT23" s="36">
        <v>31</v>
      </c>
      <c r="CU23" s="32">
        <f t="shared" si="16"/>
        <v>2162</v>
      </c>
      <c r="CV23" s="32">
        <f t="shared" si="17"/>
        <v>2038</v>
      </c>
      <c r="CW23" s="36">
        <v>164</v>
      </c>
      <c r="CX23" s="37">
        <v>2150</v>
      </c>
      <c r="CY23" s="35">
        <v>1980</v>
      </c>
      <c r="CZ23" s="38">
        <v>170</v>
      </c>
      <c r="DA23" s="38">
        <v>2500</v>
      </c>
      <c r="DB23" s="36">
        <v>2397.5</v>
      </c>
      <c r="DC23" s="36">
        <f>DB23</f>
        <v>2397.5</v>
      </c>
      <c r="DD23" s="36">
        <v>75</v>
      </c>
      <c r="DE23">
        <f>DA23</f>
        <v>2500</v>
      </c>
    </row>
    <row r="24" spans="1:109">
      <c r="A24" s="5" t="s">
        <v>55</v>
      </c>
      <c r="B24" s="2" t="s">
        <v>31</v>
      </c>
      <c r="C24" s="14" t="s">
        <v>25</v>
      </c>
      <c r="D24" s="32">
        <v>2100</v>
      </c>
      <c r="E24" s="32">
        <v>162</v>
      </c>
      <c r="F24" s="32">
        <f t="shared" si="20"/>
        <v>2262</v>
      </c>
      <c r="G24" s="32">
        <f t="shared" si="21"/>
        <v>1938</v>
      </c>
      <c r="H24" s="32">
        <v>25</v>
      </c>
      <c r="I24" s="33">
        <v>2100</v>
      </c>
      <c r="J24" s="41">
        <v>2000</v>
      </c>
      <c r="K24" s="34">
        <v>100</v>
      </c>
      <c r="L24" s="34">
        <v>2700</v>
      </c>
      <c r="M24" s="34">
        <v>-3</v>
      </c>
      <c r="N24" s="34">
        <v>0.81200000000000006</v>
      </c>
      <c r="O24" s="34">
        <v>2.1999999999999999E-2</v>
      </c>
      <c r="P24" s="32">
        <v>2192.4</v>
      </c>
      <c r="Q24" s="32">
        <v>59.4</v>
      </c>
      <c r="R24">
        <f t="shared" si="22"/>
        <v>2251.8000000000002</v>
      </c>
      <c r="S24">
        <f t="shared" si="23"/>
        <v>2133</v>
      </c>
      <c r="V24" s="4" t="s">
        <v>41</v>
      </c>
      <c r="W24" s="11" t="s">
        <v>24</v>
      </c>
      <c r="X24" s="36">
        <v>2101</v>
      </c>
      <c r="Y24" s="36">
        <v>12</v>
      </c>
      <c r="Z24" s="32">
        <f t="shared" si="0"/>
        <v>2125</v>
      </c>
      <c r="AA24" s="32">
        <f t="shared" si="1"/>
        <v>2077</v>
      </c>
      <c r="AB24" s="36">
        <v>8</v>
      </c>
      <c r="AC24" s="37">
        <v>1900</v>
      </c>
      <c r="AD24" s="36">
        <v>1800</v>
      </c>
      <c r="AE24" s="38">
        <v>100</v>
      </c>
      <c r="AF24" s="38">
        <v>1500</v>
      </c>
      <c r="AG24" s="40">
        <v>1392</v>
      </c>
      <c r="AH24" s="32">
        <f>AG24+AH25</f>
        <v>1392</v>
      </c>
      <c r="AI24" s="40">
        <v>87</v>
      </c>
      <c r="AJ24">
        <f>AF24</f>
        <v>1500</v>
      </c>
      <c r="AN24" s="4" t="s">
        <v>41</v>
      </c>
      <c r="AO24" s="11" t="s">
        <v>24</v>
      </c>
      <c r="AP24" s="36">
        <v>2101</v>
      </c>
      <c r="AQ24" s="36">
        <v>12</v>
      </c>
      <c r="AR24" s="32">
        <f t="shared" si="4"/>
        <v>2125</v>
      </c>
      <c r="AS24" s="32"/>
      <c r="AT24" s="32"/>
      <c r="AU24" s="32"/>
      <c r="AV24" s="32">
        <f t="shared" si="5"/>
        <v>2077</v>
      </c>
      <c r="AW24" s="36">
        <v>8</v>
      </c>
      <c r="AX24" s="37">
        <v>1900</v>
      </c>
      <c r="AY24" s="36">
        <v>1800</v>
      </c>
      <c r="AZ24" s="38">
        <v>100</v>
      </c>
      <c r="BA24" s="38">
        <v>1500</v>
      </c>
      <c r="BB24" s="40">
        <v>1392</v>
      </c>
      <c r="BC24" s="32">
        <f>BB24+BC25</f>
        <v>1392</v>
      </c>
      <c r="BD24" s="40">
        <v>87</v>
      </c>
      <c r="BE24">
        <f>BA24</f>
        <v>1500</v>
      </c>
      <c r="BJ24" s="5" t="s">
        <v>55</v>
      </c>
      <c r="BK24" s="2" t="s">
        <v>31</v>
      </c>
      <c r="BL24" s="32">
        <v>2100</v>
      </c>
      <c r="BM24" s="32">
        <v>162</v>
      </c>
      <c r="BN24" s="41">
        <f t="shared" si="8"/>
        <v>2424</v>
      </c>
      <c r="BO24" s="32">
        <f t="shared" si="9"/>
        <v>1776</v>
      </c>
      <c r="BP24" s="32">
        <v>25</v>
      </c>
      <c r="BQ24" s="33">
        <v>2100</v>
      </c>
      <c r="BR24" s="41">
        <v>2000</v>
      </c>
      <c r="BS24" s="34">
        <v>100</v>
      </c>
      <c r="BT24" s="34">
        <v>2700</v>
      </c>
      <c r="BU24" s="32">
        <v>2192.4</v>
      </c>
      <c r="BV24" s="41">
        <f t="shared" si="10"/>
        <v>2192.4</v>
      </c>
      <c r="BW24" s="32">
        <v>59.4</v>
      </c>
      <c r="BX24">
        <f>BT24</f>
        <v>2700</v>
      </c>
      <c r="CA24" s="5" t="s">
        <v>61</v>
      </c>
      <c r="CB24" s="11" t="s">
        <v>22</v>
      </c>
      <c r="CC24" s="36">
        <v>2100</v>
      </c>
      <c r="CD24" s="36">
        <v>31</v>
      </c>
      <c r="CE24" s="32">
        <f t="shared" si="12"/>
        <v>2162</v>
      </c>
      <c r="CF24" s="32">
        <f t="shared" si="13"/>
        <v>2038</v>
      </c>
      <c r="CG24" s="36">
        <v>164</v>
      </c>
      <c r="CH24" s="37">
        <v>2150</v>
      </c>
      <c r="CI24" s="35">
        <v>1980</v>
      </c>
      <c r="CJ24" s="38">
        <v>170</v>
      </c>
      <c r="CK24" s="38">
        <v>2500</v>
      </c>
      <c r="CL24" s="36">
        <v>2397.5</v>
      </c>
      <c r="CM24" s="36">
        <f>CL24</f>
        <v>2397.5</v>
      </c>
      <c r="CN24" s="36">
        <v>75</v>
      </c>
      <c r="CO24">
        <f>CK24</f>
        <v>2500</v>
      </c>
      <c r="CQ24" s="5" t="s">
        <v>55</v>
      </c>
      <c r="CR24" s="2" t="s">
        <v>31</v>
      </c>
      <c r="CS24" s="32">
        <v>2100</v>
      </c>
      <c r="CT24" s="32">
        <v>162</v>
      </c>
      <c r="CU24" s="32">
        <f t="shared" si="16"/>
        <v>2424</v>
      </c>
      <c r="CV24" s="32">
        <f t="shared" si="17"/>
        <v>1776</v>
      </c>
      <c r="CW24" s="32">
        <v>25</v>
      </c>
      <c r="CX24" s="33">
        <v>2100</v>
      </c>
      <c r="CY24" s="41">
        <v>2000</v>
      </c>
      <c r="CZ24" s="34">
        <v>100</v>
      </c>
      <c r="DA24" s="34">
        <v>2700</v>
      </c>
      <c r="DB24" s="32">
        <v>2192.4</v>
      </c>
      <c r="DC24" s="32">
        <f>DB24+DC25</f>
        <v>2192.4</v>
      </c>
      <c r="DD24" s="32">
        <v>59.4</v>
      </c>
      <c r="DE24">
        <f>DE25+DA24</f>
        <v>2700</v>
      </c>
    </row>
    <row r="25" spans="1:109">
      <c r="A25" s="5" t="s">
        <v>61</v>
      </c>
      <c r="B25" s="11" t="s">
        <v>22</v>
      </c>
      <c r="C25" s="8" t="s">
        <v>11</v>
      </c>
      <c r="D25" s="36">
        <v>2100</v>
      </c>
      <c r="E25" s="36">
        <v>31</v>
      </c>
      <c r="F25" s="32">
        <f t="shared" si="20"/>
        <v>2131</v>
      </c>
      <c r="G25" s="32">
        <f t="shared" si="21"/>
        <v>2069</v>
      </c>
      <c r="H25" s="36">
        <v>164</v>
      </c>
      <c r="I25" s="37">
        <v>2150</v>
      </c>
      <c r="J25" s="35">
        <v>1980</v>
      </c>
      <c r="K25" s="38">
        <v>170</v>
      </c>
      <c r="L25" s="38">
        <v>2500</v>
      </c>
      <c r="M25" s="38">
        <v>2</v>
      </c>
      <c r="N25" s="38">
        <v>0.95899999999999996</v>
      </c>
      <c r="O25" s="38">
        <v>0.03</v>
      </c>
      <c r="P25" s="36">
        <v>2397.5</v>
      </c>
      <c r="Q25" s="36">
        <v>75</v>
      </c>
      <c r="R25">
        <f>P25+Q25</f>
        <v>2472.5</v>
      </c>
      <c r="S25">
        <f t="shared" si="23"/>
        <v>2322.5</v>
      </c>
    </row>
    <row r="26" spans="1:109">
      <c r="A26" s="5" t="s">
        <v>53</v>
      </c>
      <c r="B26" s="5" t="s">
        <v>42</v>
      </c>
      <c r="D26" s="23"/>
      <c r="E26" s="23"/>
      <c r="F26" s="23"/>
      <c r="G26" s="23"/>
      <c r="H26" s="23"/>
      <c r="I26" s="23"/>
      <c r="J26" s="23"/>
      <c r="K26" s="23"/>
      <c r="L26" s="23"/>
      <c r="M26" s="23"/>
      <c r="N26" s="23"/>
      <c r="O26" s="23"/>
      <c r="P26" s="23"/>
      <c r="Q26" s="23"/>
    </row>
    <row r="27" spans="1:109">
      <c r="A27" s="5" t="s">
        <v>53</v>
      </c>
      <c r="B27" s="5" t="s">
        <v>43</v>
      </c>
      <c r="D27" s="23"/>
      <c r="E27" s="23"/>
      <c r="F27" s="23"/>
      <c r="G27" s="23"/>
      <c r="H27" s="23"/>
      <c r="I27" s="23"/>
      <c r="J27" s="23"/>
      <c r="K27" s="23"/>
      <c r="L27" s="23"/>
      <c r="M27" s="23"/>
      <c r="N27" s="23"/>
      <c r="O27" s="23"/>
      <c r="P27" s="23"/>
      <c r="Q27" s="23"/>
    </row>
    <row r="28" spans="1:109">
      <c r="A28" s="5" t="s">
        <v>54</v>
      </c>
      <c r="B28" s="5" t="s">
        <v>44</v>
      </c>
    </row>
    <row r="29" spans="1:109">
      <c r="A29" s="5" t="s">
        <v>55</v>
      </c>
      <c r="B29" s="5" t="s">
        <v>45</v>
      </c>
    </row>
    <row r="30" spans="1:109">
      <c r="A30" s="5" t="s">
        <v>56</v>
      </c>
      <c r="B30" s="5" t="s">
        <v>46</v>
      </c>
    </row>
    <row r="31" spans="1:109">
      <c r="A31" s="5" t="s">
        <v>57</v>
      </c>
      <c r="B31" s="5" t="s">
        <v>47</v>
      </c>
    </row>
    <row r="32" spans="1:109">
      <c r="A32" s="5" t="s">
        <v>58</v>
      </c>
      <c r="B32" s="5" t="s">
        <v>48</v>
      </c>
    </row>
    <row r="33" spans="1:94">
      <c r="A33" s="5" t="s">
        <v>59</v>
      </c>
      <c r="B33" s="5" t="s">
        <v>49</v>
      </c>
    </row>
    <row r="34" spans="1:94">
      <c r="A34" s="5" t="s">
        <v>60</v>
      </c>
      <c r="B34" s="5" t="s">
        <v>50</v>
      </c>
      <c r="V34" s="2"/>
      <c r="W34" s="2"/>
      <c r="X34" s="32"/>
      <c r="Y34" s="32"/>
      <c r="Z34" s="32"/>
      <c r="AA34" s="32"/>
      <c r="AB34" s="32"/>
      <c r="AC34" s="33"/>
      <c r="AD34" s="32"/>
      <c r="AE34" s="34"/>
      <c r="AF34" s="34"/>
      <c r="AG34" s="32"/>
      <c r="AH34" s="32"/>
      <c r="AI34" s="32"/>
    </row>
    <row r="35" spans="1:94">
      <c r="A35" s="5" t="s">
        <v>60</v>
      </c>
      <c r="B35" s="5" t="s">
        <v>51</v>
      </c>
      <c r="V35" s="4"/>
      <c r="W35" s="11"/>
      <c r="X35" s="35"/>
      <c r="Y35" s="36"/>
      <c r="Z35" s="32"/>
      <c r="AA35" s="32"/>
      <c r="AB35" s="36"/>
      <c r="AC35" s="37"/>
      <c r="AD35" s="36"/>
      <c r="AE35" s="38"/>
      <c r="AF35" s="39"/>
      <c r="AG35" s="40"/>
      <c r="AH35" s="32"/>
      <c r="AI35" s="40"/>
    </row>
    <row r="36" spans="1:94">
      <c r="V36" s="4"/>
      <c r="W36" s="11"/>
      <c r="X36" s="36"/>
      <c r="Y36" s="36"/>
      <c r="Z36" s="32"/>
      <c r="AA36" s="32"/>
      <c r="AB36" s="36"/>
      <c r="AC36" s="37"/>
      <c r="AD36" s="36"/>
      <c r="AE36" s="38"/>
      <c r="AF36" s="38"/>
      <c r="AG36" s="40"/>
      <c r="AH36" s="32"/>
      <c r="AI36" s="4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c r="CP36" s="100"/>
    </row>
    <row r="37" spans="1:94">
      <c r="A37" s="5" t="s">
        <v>61</v>
      </c>
      <c r="B37" s="5" t="s">
        <v>52</v>
      </c>
      <c r="V37" s="2"/>
      <c r="W37" s="2"/>
      <c r="X37" s="41"/>
      <c r="Y37" s="32"/>
      <c r="Z37" s="32"/>
      <c r="AA37" s="32"/>
      <c r="AB37" s="32"/>
      <c r="AC37" s="33"/>
      <c r="AD37" s="32"/>
      <c r="AE37" s="34"/>
      <c r="AF37" s="42"/>
      <c r="AG37" s="43"/>
      <c r="AH37" s="32"/>
      <c r="AI37" s="43"/>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c r="CP37" s="100"/>
    </row>
    <row r="38" spans="1:94">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row>
    <row r="39" spans="1:94">
      <c r="AN39" s="100"/>
      <c r="AO39" s="100"/>
      <c r="AP39" s="100"/>
      <c r="AQ39" s="100"/>
      <c r="AR39" s="100"/>
      <c r="AS39" s="85"/>
      <c r="AT39" s="85"/>
      <c r="AU39" s="85"/>
      <c r="AV39" s="85"/>
      <c r="AW39" s="85"/>
      <c r="AX39" s="85"/>
      <c r="AY39" s="85"/>
      <c r="AZ39" s="85"/>
      <c r="BA39" s="85"/>
      <c r="BB39" s="85"/>
      <c r="BC39" s="85"/>
      <c r="BD39" s="85"/>
      <c r="BE39" s="85"/>
      <c r="BF39" s="85"/>
      <c r="BG39" s="85"/>
      <c r="BH39" s="96"/>
      <c r="BI39" s="85"/>
      <c r="BJ39" s="85"/>
      <c r="BK39" s="85"/>
      <c r="BL39" s="85"/>
      <c r="BM39" s="85"/>
      <c r="BN39" s="142"/>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row>
    <row r="40" spans="1:94" ht="38" customHeight="1">
      <c r="AN40" s="100"/>
      <c r="AO40" s="100"/>
      <c r="AP40" s="100"/>
      <c r="AQ40" s="100"/>
      <c r="AR40" s="100"/>
      <c r="AS40" s="143"/>
      <c r="AT40" s="143"/>
      <c r="AU40" s="143"/>
      <c r="AV40" s="143"/>
      <c r="AW40" s="143"/>
      <c r="AX40" s="143"/>
      <c r="AY40" s="143"/>
      <c r="AZ40" s="144"/>
      <c r="BA40" s="144"/>
      <c r="BB40" s="143"/>
      <c r="BC40" s="143"/>
      <c r="BD40" s="144"/>
      <c r="BE40" s="143"/>
      <c r="BF40" s="143"/>
      <c r="BG40" s="143"/>
      <c r="BH40" s="143"/>
      <c r="BI40" s="145"/>
      <c r="BJ40" s="145"/>
      <c r="BK40" s="146"/>
      <c r="BL40" s="146"/>
      <c r="BM40" s="147"/>
      <c r="BN40" s="148"/>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row>
    <row r="41" spans="1:94">
      <c r="AN41" s="100"/>
      <c r="AO41" s="100"/>
      <c r="AP41" s="100"/>
      <c r="AQ41" s="100"/>
      <c r="AR41" s="100"/>
      <c r="AS41" s="146"/>
      <c r="AT41" s="149"/>
      <c r="AU41" s="79"/>
      <c r="AV41" s="79"/>
      <c r="AW41" s="79"/>
      <c r="AX41" s="79"/>
      <c r="AY41" s="150"/>
      <c r="AZ41" s="150"/>
      <c r="BA41" s="150"/>
      <c r="BB41" s="150"/>
      <c r="BC41" s="150"/>
      <c r="BD41" s="150"/>
      <c r="BE41" s="150"/>
      <c r="BF41" s="150"/>
      <c r="BG41" s="150"/>
      <c r="BH41" s="151"/>
      <c r="BI41" s="152"/>
      <c r="BJ41" s="153"/>
      <c r="BK41" s="154"/>
      <c r="BL41" s="154"/>
      <c r="BM41" s="155"/>
      <c r="BN41" s="156"/>
      <c r="BO41" s="100"/>
      <c r="BP41" s="157"/>
      <c r="BQ41" s="100"/>
      <c r="BR41" s="100"/>
      <c r="BS41" s="100"/>
      <c r="BT41" s="100"/>
      <c r="BU41" s="100"/>
      <c r="BV41" s="100"/>
      <c r="BW41" s="100"/>
      <c r="BX41" s="100"/>
      <c r="BY41" s="100"/>
      <c r="BZ41" s="100"/>
      <c r="CA41" s="100"/>
      <c r="CB41" s="100"/>
      <c r="CC41" s="157"/>
      <c r="CD41" s="100"/>
      <c r="CE41" s="100"/>
      <c r="CF41" s="100"/>
      <c r="CG41" s="100"/>
      <c r="CH41" s="100"/>
      <c r="CI41" s="100"/>
      <c r="CJ41" s="100"/>
      <c r="CK41" s="100"/>
      <c r="CL41" s="100"/>
      <c r="CM41" s="100"/>
      <c r="CN41" s="157"/>
      <c r="CO41" s="100"/>
      <c r="CP41" s="100"/>
    </row>
    <row r="42" spans="1:94">
      <c r="AN42" s="100"/>
      <c r="AO42" s="100"/>
      <c r="AP42" s="100"/>
      <c r="AQ42" s="100"/>
      <c r="AR42" s="100"/>
      <c r="AS42" s="150"/>
      <c r="AT42" s="149"/>
      <c r="AU42" s="100"/>
      <c r="AV42" s="100"/>
      <c r="AW42" s="79"/>
      <c r="AX42" s="79"/>
      <c r="AY42" s="150"/>
      <c r="AZ42" s="150"/>
      <c r="BA42" s="150"/>
      <c r="BB42" s="150"/>
      <c r="BC42" s="147"/>
      <c r="BD42" s="150"/>
      <c r="BE42" s="150"/>
      <c r="BF42" s="150"/>
      <c r="BG42" s="150"/>
      <c r="BH42" s="151"/>
      <c r="BI42" s="153"/>
      <c r="BJ42" s="153"/>
      <c r="BK42" s="154"/>
      <c r="BL42" s="154"/>
      <c r="BM42" s="158"/>
      <c r="BN42" s="159"/>
      <c r="BO42" s="100"/>
      <c r="BP42" s="157"/>
      <c r="BQ42" s="100"/>
      <c r="BR42" s="100"/>
      <c r="BS42" s="100"/>
      <c r="BT42" s="100"/>
      <c r="BU42" s="100"/>
      <c r="BV42" s="100"/>
      <c r="BW42" s="100"/>
      <c r="BX42" s="100"/>
      <c r="BY42" s="100"/>
      <c r="BZ42" s="100"/>
      <c r="CA42" s="100"/>
      <c r="CB42" s="100"/>
      <c r="CC42" s="157"/>
      <c r="CD42" s="100"/>
      <c r="CE42" s="100"/>
      <c r="CF42" s="100"/>
      <c r="CG42" s="100"/>
      <c r="CH42" s="100"/>
      <c r="CI42" s="100"/>
      <c r="CJ42" s="100"/>
      <c r="CK42" s="100"/>
      <c r="CL42" s="100"/>
      <c r="CM42" s="100"/>
      <c r="CN42" s="157"/>
      <c r="CO42" s="100"/>
      <c r="CP42" s="100"/>
    </row>
    <row r="43" spans="1:94">
      <c r="AN43" s="100"/>
      <c r="AO43" s="100"/>
      <c r="AP43" s="100"/>
      <c r="AQ43" s="100"/>
      <c r="AR43" s="100"/>
      <c r="AS43" s="146"/>
      <c r="AT43" s="149"/>
      <c r="AU43" s="100"/>
      <c r="AV43" s="100"/>
      <c r="AW43" s="79"/>
      <c r="AX43" s="79"/>
      <c r="AY43" s="150"/>
      <c r="AZ43" s="150"/>
      <c r="BA43" s="150"/>
      <c r="BB43" s="150"/>
      <c r="BC43" s="150"/>
      <c r="BD43" s="150"/>
      <c r="BE43" s="150"/>
      <c r="BF43" s="150"/>
      <c r="BG43" s="150"/>
      <c r="BH43" s="151"/>
      <c r="BI43" s="152"/>
      <c r="BJ43" s="153"/>
      <c r="BK43" s="154"/>
      <c r="BL43" s="154"/>
      <c r="BM43" s="158"/>
      <c r="BN43" s="147"/>
      <c r="BO43" s="100"/>
      <c r="BP43" s="157"/>
      <c r="BQ43" s="100"/>
      <c r="BR43" s="100"/>
      <c r="BS43" s="100"/>
      <c r="BT43" s="100"/>
      <c r="BU43" s="100"/>
      <c r="BV43" s="100"/>
      <c r="BW43" s="100"/>
      <c r="BX43" s="100"/>
      <c r="BY43" s="100"/>
      <c r="BZ43" s="100"/>
      <c r="CA43" s="100"/>
      <c r="CB43" s="100"/>
      <c r="CC43" s="157"/>
      <c r="CD43" s="100"/>
      <c r="CE43" s="100"/>
      <c r="CF43" s="100"/>
      <c r="CG43" s="100"/>
      <c r="CH43" s="100"/>
      <c r="CI43" s="100"/>
      <c r="CJ43" s="100"/>
      <c r="CK43" s="100"/>
      <c r="CL43" s="100"/>
      <c r="CM43" s="100"/>
      <c r="CN43" s="157"/>
      <c r="CO43" s="100"/>
      <c r="CP43" s="100"/>
    </row>
    <row r="44" spans="1:94">
      <c r="AN44" s="100"/>
      <c r="AO44" s="100"/>
      <c r="AP44" s="100"/>
      <c r="AQ44" s="100"/>
      <c r="AR44" s="100"/>
      <c r="AS44" s="146"/>
      <c r="AT44" s="149"/>
      <c r="AU44" s="79"/>
      <c r="AV44" s="79"/>
      <c r="AW44" s="79"/>
      <c r="AX44" s="79"/>
      <c r="AY44" s="160"/>
      <c r="AZ44" s="160"/>
      <c r="BA44" s="150"/>
      <c r="BB44" s="150"/>
      <c r="BC44" s="150"/>
      <c r="BD44" s="150"/>
      <c r="BE44" s="150"/>
      <c r="BF44" s="150"/>
      <c r="BG44" s="150"/>
      <c r="BH44" s="151"/>
      <c r="BI44" s="152"/>
      <c r="BJ44" s="153"/>
      <c r="BK44" s="154"/>
      <c r="BL44" s="154"/>
      <c r="BM44" s="158"/>
      <c r="BN44" s="161"/>
      <c r="BO44" s="162"/>
      <c r="BP44" s="157"/>
      <c r="BQ44" s="100"/>
      <c r="BR44" s="100"/>
      <c r="BS44" s="100"/>
      <c r="BT44" s="100"/>
      <c r="BU44" s="100"/>
      <c r="BV44" s="100"/>
      <c r="BW44" s="100"/>
      <c r="BX44" s="100"/>
      <c r="BY44" s="100"/>
      <c r="BZ44" s="100"/>
      <c r="CA44" s="100"/>
      <c r="CB44" s="100"/>
      <c r="CC44" s="157"/>
      <c r="CD44" s="100"/>
      <c r="CE44" s="100"/>
      <c r="CF44" s="100"/>
      <c r="CG44" s="100"/>
      <c r="CH44" s="100"/>
      <c r="CI44" s="100"/>
      <c r="CJ44" s="100"/>
      <c r="CK44" s="100"/>
      <c r="CL44" s="100"/>
      <c r="CM44" s="100"/>
      <c r="CN44" s="157"/>
      <c r="CO44" s="100"/>
      <c r="CP44" s="100"/>
    </row>
    <row r="45" spans="1:94">
      <c r="AN45" s="100"/>
      <c r="AO45" s="100"/>
      <c r="AP45" s="100"/>
      <c r="AQ45" s="100"/>
      <c r="AR45" s="100"/>
      <c r="AS45" s="79"/>
      <c r="AT45" s="163"/>
      <c r="AU45" s="79"/>
      <c r="AV45" s="79"/>
      <c r="AW45" s="79"/>
      <c r="AX45" s="79"/>
      <c r="AY45" s="150"/>
      <c r="AZ45" s="150"/>
      <c r="BA45" s="150"/>
      <c r="BB45" s="150"/>
      <c r="BC45" s="150"/>
      <c r="BD45" s="150"/>
      <c r="BE45" s="150"/>
      <c r="BF45" s="150"/>
      <c r="BG45" s="150"/>
      <c r="BH45" s="164"/>
      <c r="BI45" s="152"/>
      <c r="BJ45" s="153"/>
      <c r="BK45" s="154"/>
      <c r="BL45" s="154"/>
      <c r="BM45" s="158"/>
      <c r="BN45" s="147"/>
      <c r="BO45" s="100"/>
      <c r="BP45" s="157"/>
      <c r="BQ45" s="100"/>
      <c r="BR45" s="100"/>
      <c r="BS45" s="100"/>
      <c r="BT45" s="100"/>
      <c r="BU45" s="100"/>
      <c r="BV45" s="100"/>
      <c r="BW45" s="100"/>
      <c r="BX45" s="100"/>
      <c r="BY45" s="100"/>
      <c r="BZ45" s="100"/>
      <c r="CA45" s="100"/>
      <c r="CB45" s="100"/>
      <c r="CC45" s="157"/>
      <c r="CD45" s="100"/>
      <c r="CE45" s="100"/>
      <c r="CF45" s="100"/>
      <c r="CG45" s="100"/>
      <c r="CH45" s="100"/>
      <c r="CI45" s="100"/>
      <c r="CJ45" s="100"/>
      <c r="CK45" s="100"/>
      <c r="CL45" s="100"/>
      <c r="CM45" s="100"/>
      <c r="CN45" s="157"/>
      <c r="CO45" s="100"/>
      <c r="CP45" s="100"/>
    </row>
    <row r="46" spans="1:94">
      <c r="AN46" s="100"/>
      <c r="AO46" s="100"/>
      <c r="AP46" s="100"/>
      <c r="AQ46" s="100"/>
      <c r="AR46" s="100"/>
      <c r="AS46" s="146"/>
      <c r="AT46" s="149"/>
      <c r="AU46" s="79"/>
      <c r="AV46" s="79"/>
      <c r="AW46" s="79"/>
      <c r="AX46" s="79"/>
      <c r="AY46" s="150"/>
      <c r="AZ46" s="150"/>
      <c r="BA46" s="150"/>
      <c r="BB46" s="150"/>
      <c r="BC46" s="150"/>
      <c r="BD46" s="146"/>
      <c r="BE46" s="146"/>
      <c r="BF46" s="146"/>
      <c r="BG46" s="146"/>
      <c r="BH46" s="151"/>
      <c r="BI46" s="152"/>
      <c r="BJ46" s="153"/>
      <c r="BK46" s="154"/>
      <c r="BL46" s="154"/>
      <c r="BM46" s="158"/>
      <c r="BN46" s="156"/>
      <c r="BO46" s="100"/>
      <c r="BP46" s="157"/>
      <c r="BQ46" s="100"/>
      <c r="BR46" s="100"/>
      <c r="BS46" s="100"/>
      <c r="BT46" s="100"/>
      <c r="BU46" s="100"/>
      <c r="BV46" s="100"/>
      <c r="BW46" s="100"/>
      <c r="BX46" s="100"/>
      <c r="BY46" s="100"/>
      <c r="BZ46" s="100"/>
      <c r="CA46" s="100"/>
      <c r="CB46" s="100"/>
      <c r="CC46" s="157"/>
      <c r="CD46" s="100"/>
      <c r="CE46" s="100"/>
      <c r="CF46" s="100"/>
      <c r="CG46" s="100"/>
      <c r="CH46" s="100"/>
      <c r="CI46" s="100"/>
      <c r="CJ46" s="100"/>
      <c r="CK46" s="100"/>
      <c r="CL46" s="100"/>
      <c r="CM46" s="100"/>
      <c r="CN46" s="157"/>
      <c r="CO46" s="100"/>
      <c r="CP46" s="100"/>
    </row>
    <row r="47" spans="1:94">
      <c r="AN47" s="100"/>
      <c r="AO47" s="100"/>
      <c r="AP47" s="100"/>
      <c r="AQ47" s="100"/>
      <c r="AR47" s="100"/>
      <c r="AS47" s="79"/>
      <c r="AT47" s="79"/>
      <c r="AU47" s="79"/>
      <c r="AV47" s="79"/>
      <c r="AW47" s="79"/>
      <c r="AX47" s="79"/>
      <c r="AY47" s="150"/>
      <c r="AZ47" s="150"/>
      <c r="BA47" s="150"/>
      <c r="BB47" s="150"/>
      <c r="BC47" s="150"/>
      <c r="BD47" s="150"/>
      <c r="BE47" s="150"/>
      <c r="BF47" s="150"/>
      <c r="BG47" s="150"/>
      <c r="BH47" s="151"/>
      <c r="BI47" s="152"/>
      <c r="BJ47" s="153"/>
      <c r="BK47" s="154"/>
      <c r="BL47" s="154"/>
      <c r="BM47" s="155"/>
      <c r="BN47" s="156"/>
      <c r="BO47" s="100"/>
      <c r="BP47" s="157"/>
      <c r="BQ47" s="100"/>
      <c r="BR47" s="100"/>
      <c r="BS47" s="100"/>
      <c r="BT47" s="100"/>
      <c r="BU47" s="100"/>
      <c r="BV47" s="100"/>
      <c r="BW47" s="100"/>
      <c r="BX47" s="100"/>
      <c r="BY47" s="100"/>
      <c r="BZ47" s="100"/>
      <c r="CA47" s="100"/>
      <c r="CB47" s="100"/>
      <c r="CC47" s="157"/>
      <c r="CD47" s="100"/>
      <c r="CE47" s="100"/>
      <c r="CF47" s="100"/>
      <c r="CG47" s="100"/>
      <c r="CH47" s="100"/>
      <c r="CI47" s="100"/>
      <c r="CJ47" s="100"/>
      <c r="CK47" s="100"/>
      <c r="CL47" s="100"/>
      <c r="CM47" s="100"/>
      <c r="CN47" s="157"/>
      <c r="CO47" s="100"/>
      <c r="CP47" s="100"/>
    </row>
    <row r="48" spans="1:94">
      <c r="AN48" s="100"/>
      <c r="AO48" s="100"/>
      <c r="AP48" s="100"/>
      <c r="AQ48" s="100"/>
      <c r="AR48" s="100"/>
      <c r="AS48" s="146"/>
      <c r="AT48" s="149"/>
      <c r="AU48" s="79"/>
      <c r="AV48" s="79"/>
      <c r="AW48" s="79"/>
      <c r="AX48" s="79"/>
      <c r="AY48" s="150"/>
      <c r="AZ48" s="150"/>
      <c r="BA48" s="150"/>
      <c r="BB48" s="150"/>
      <c r="BC48" s="150"/>
      <c r="BD48" s="150"/>
      <c r="BE48" s="150"/>
      <c r="BF48" s="150"/>
      <c r="BG48" s="150"/>
      <c r="BH48" s="151"/>
      <c r="BI48" s="152"/>
      <c r="BJ48" s="153"/>
      <c r="BK48" s="154"/>
      <c r="BL48" s="154"/>
      <c r="BM48" s="158"/>
      <c r="BN48" s="147"/>
      <c r="BO48" s="100"/>
      <c r="BP48" s="157"/>
      <c r="BQ48" s="100"/>
      <c r="BR48" s="100"/>
      <c r="BS48" s="100"/>
      <c r="BT48" s="100"/>
      <c r="BU48" s="100"/>
      <c r="BV48" s="100"/>
      <c r="BW48" s="100"/>
      <c r="BX48" s="100"/>
      <c r="BY48" s="100"/>
      <c r="BZ48" s="100"/>
      <c r="CA48" s="100"/>
      <c r="CB48" s="100"/>
      <c r="CC48" s="157"/>
      <c r="CD48" s="100"/>
      <c r="CE48" s="100"/>
      <c r="CF48" s="100"/>
      <c r="CG48" s="100"/>
      <c r="CH48" s="100"/>
      <c r="CI48" s="100"/>
      <c r="CJ48" s="100"/>
      <c r="CK48" s="100"/>
      <c r="CL48" s="100"/>
      <c r="CM48" s="100"/>
      <c r="CN48" s="157"/>
      <c r="CO48" s="100"/>
      <c r="CP48" s="100"/>
    </row>
    <row r="49" spans="22:94">
      <c r="AN49" s="100"/>
      <c r="AO49" s="100"/>
      <c r="AP49" s="100"/>
      <c r="AQ49" s="100"/>
      <c r="AR49" s="100"/>
      <c r="AS49" s="146"/>
      <c r="AT49" s="149"/>
      <c r="AU49" s="79"/>
      <c r="AV49" s="79"/>
      <c r="AW49" s="79"/>
      <c r="AX49" s="79"/>
      <c r="AY49" s="150"/>
      <c r="AZ49" s="150"/>
      <c r="BA49" s="150"/>
      <c r="BB49" s="150"/>
      <c r="BC49" s="150"/>
      <c r="BD49" s="150"/>
      <c r="BE49" s="150"/>
      <c r="BF49" s="150"/>
      <c r="BG49" s="150"/>
      <c r="BH49" s="151"/>
      <c r="BI49" s="152"/>
      <c r="BJ49" s="153"/>
      <c r="BK49" s="154"/>
      <c r="BL49" s="154"/>
      <c r="BM49" s="158"/>
      <c r="BN49" s="159"/>
      <c r="BO49" s="162"/>
      <c r="BP49" s="157"/>
      <c r="BQ49" s="100"/>
      <c r="BR49" s="100"/>
      <c r="BS49" s="100"/>
      <c r="BT49" s="100"/>
      <c r="BU49" s="100"/>
      <c r="BV49" s="100"/>
      <c r="BW49" s="100"/>
      <c r="BX49" s="100"/>
      <c r="BY49" s="100"/>
      <c r="BZ49" s="100"/>
      <c r="CA49" s="100"/>
      <c r="CB49" s="100"/>
      <c r="CC49" s="157"/>
      <c r="CD49" s="100"/>
      <c r="CE49" s="100"/>
      <c r="CF49" s="100"/>
      <c r="CG49" s="100"/>
      <c r="CH49" s="100"/>
      <c r="CI49" s="100"/>
      <c r="CJ49" s="100"/>
      <c r="CK49" s="100"/>
      <c r="CL49" s="100"/>
      <c r="CM49" s="100"/>
      <c r="CN49" s="157"/>
      <c r="CO49" s="100"/>
      <c r="CP49" s="100"/>
    </row>
    <row r="50" spans="22:94">
      <c r="AN50" s="100"/>
      <c r="AO50" s="100"/>
      <c r="AP50" s="100"/>
      <c r="AQ50" s="100"/>
      <c r="AR50" s="100"/>
      <c r="AS50" s="146"/>
      <c r="AT50" s="149"/>
      <c r="AU50" s="79"/>
      <c r="AV50" s="79"/>
      <c r="AW50" s="79"/>
      <c r="AX50" s="79"/>
      <c r="AY50" s="150"/>
      <c r="AZ50" s="150"/>
      <c r="BA50" s="150"/>
      <c r="BB50" s="150"/>
      <c r="BC50" s="150"/>
      <c r="BD50" s="150"/>
      <c r="BE50" s="150"/>
      <c r="BF50" s="150"/>
      <c r="BG50" s="150"/>
      <c r="BH50" s="151"/>
      <c r="BI50" s="152"/>
      <c r="BJ50" s="153"/>
      <c r="BK50" s="154"/>
      <c r="BL50" s="154"/>
      <c r="BM50" s="158"/>
      <c r="BN50" s="147"/>
      <c r="BO50" s="100"/>
      <c r="BP50" s="157"/>
      <c r="BQ50" s="100"/>
      <c r="BR50" s="100"/>
      <c r="BS50" s="100"/>
      <c r="BT50" s="100"/>
      <c r="BU50" s="100"/>
      <c r="BV50" s="100"/>
      <c r="BW50" s="100"/>
      <c r="BX50" s="100"/>
      <c r="BY50" s="100"/>
      <c r="BZ50" s="100"/>
      <c r="CA50" s="100"/>
      <c r="CB50" s="100"/>
      <c r="CC50" s="157"/>
      <c r="CD50" s="100"/>
      <c r="CE50" s="100"/>
      <c r="CF50" s="100"/>
      <c r="CG50" s="100"/>
      <c r="CH50" s="100"/>
      <c r="CI50" s="100"/>
      <c r="CJ50" s="100"/>
      <c r="CK50" s="100"/>
      <c r="CL50" s="100"/>
      <c r="CM50" s="100"/>
      <c r="CN50" s="157"/>
      <c r="CO50" s="100"/>
      <c r="CP50" s="100"/>
    </row>
    <row r="51" spans="22:94">
      <c r="AN51" s="100"/>
      <c r="AO51" s="100"/>
      <c r="AP51" s="100"/>
      <c r="AQ51" s="100"/>
      <c r="AR51" s="100"/>
      <c r="AS51" s="79"/>
      <c r="AT51" s="79"/>
      <c r="AU51" s="79"/>
      <c r="AV51" s="79"/>
      <c r="AW51" s="79"/>
      <c r="AX51" s="79"/>
      <c r="AY51" s="150"/>
      <c r="AZ51" s="150"/>
      <c r="BA51" s="150"/>
      <c r="BB51" s="150"/>
      <c r="BC51" s="150"/>
      <c r="BD51" s="150"/>
      <c r="BE51" s="150"/>
      <c r="BF51" s="150"/>
      <c r="BG51" s="150"/>
      <c r="BH51" s="151"/>
      <c r="BI51" s="152"/>
      <c r="BJ51" s="153"/>
      <c r="BK51" s="154"/>
      <c r="BL51" s="154"/>
      <c r="BM51" s="155"/>
      <c r="BN51" s="156"/>
      <c r="BO51" s="100"/>
      <c r="BP51" s="157"/>
      <c r="BQ51" s="100"/>
      <c r="BR51" s="100"/>
      <c r="BS51" s="100"/>
      <c r="BT51" s="100"/>
      <c r="BU51" s="100"/>
      <c r="BV51" s="100"/>
      <c r="BW51" s="100"/>
      <c r="BX51" s="100"/>
      <c r="BY51" s="100"/>
      <c r="BZ51" s="100"/>
      <c r="CA51" s="100"/>
      <c r="CB51" s="100"/>
      <c r="CC51" s="157"/>
      <c r="CD51" s="100"/>
      <c r="CE51" s="100"/>
      <c r="CF51" s="100"/>
      <c r="CG51" s="100"/>
      <c r="CH51" s="100"/>
      <c r="CI51" s="100"/>
      <c r="CJ51" s="100"/>
      <c r="CK51" s="100"/>
      <c r="CL51" s="100"/>
      <c r="CM51" s="100"/>
      <c r="CN51" s="157"/>
      <c r="CO51" s="100"/>
      <c r="CP51" s="100"/>
    </row>
    <row r="52" spans="22:94">
      <c r="AN52" s="100"/>
      <c r="AO52" s="100"/>
      <c r="AP52" s="100"/>
      <c r="AQ52" s="100"/>
      <c r="AR52" s="100"/>
      <c r="AS52" s="79"/>
      <c r="AT52" s="79"/>
      <c r="AU52" s="79"/>
      <c r="AV52" s="79"/>
      <c r="AW52" s="79"/>
      <c r="AX52" s="79"/>
      <c r="AY52" s="165"/>
      <c r="AZ52" s="150"/>
      <c r="BA52" s="150"/>
      <c r="BB52" s="150"/>
      <c r="BC52" s="150"/>
      <c r="BD52" s="150"/>
      <c r="BE52" s="150"/>
      <c r="BF52" s="150"/>
      <c r="BG52" s="150"/>
      <c r="BH52" s="151"/>
      <c r="BI52" s="152"/>
      <c r="BJ52" s="153"/>
      <c r="BK52" s="154"/>
      <c r="BL52" s="154"/>
      <c r="BM52" s="155"/>
      <c r="BN52" s="79"/>
      <c r="BO52" s="100"/>
      <c r="BP52" s="157"/>
      <c r="BQ52" s="100"/>
      <c r="BR52" s="100"/>
      <c r="BS52" s="100"/>
      <c r="BT52" s="100"/>
      <c r="BU52" s="100"/>
      <c r="BV52" s="100"/>
      <c r="BW52" s="100"/>
      <c r="BX52" s="100"/>
      <c r="BY52" s="100"/>
      <c r="BZ52" s="100"/>
      <c r="CA52" s="100"/>
      <c r="CB52" s="100"/>
      <c r="CC52" s="157"/>
      <c r="CD52" s="100"/>
      <c r="CE52" s="100"/>
      <c r="CF52" s="100"/>
      <c r="CG52" s="100"/>
      <c r="CH52" s="100"/>
      <c r="CI52" s="100"/>
      <c r="CJ52" s="100"/>
      <c r="CK52" s="100"/>
      <c r="CL52" s="100"/>
      <c r="CM52" s="100"/>
      <c r="CN52" s="157"/>
      <c r="CO52" s="100"/>
      <c r="CP52" s="100"/>
    </row>
    <row r="53" spans="22:94">
      <c r="AN53" s="100"/>
      <c r="AO53" s="100"/>
      <c r="AP53" s="100"/>
      <c r="AQ53" s="100"/>
      <c r="AR53" s="100"/>
      <c r="AS53" s="79"/>
      <c r="AT53" s="79"/>
      <c r="AU53" s="79"/>
      <c r="AV53" s="79"/>
      <c r="AW53" s="79"/>
      <c r="AX53" s="79"/>
      <c r="AY53" s="150"/>
      <c r="AZ53" s="165"/>
      <c r="BA53" s="150"/>
      <c r="BB53" s="150"/>
      <c r="BC53" s="150"/>
      <c r="BD53" s="150"/>
      <c r="BE53" s="150"/>
      <c r="BF53" s="150"/>
      <c r="BG53" s="150"/>
      <c r="BH53" s="151"/>
      <c r="BI53" s="152"/>
      <c r="BJ53" s="153"/>
      <c r="BK53" s="154"/>
      <c r="BL53" s="154"/>
      <c r="BM53" s="155"/>
      <c r="BN53" s="166"/>
      <c r="BO53" s="100"/>
      <c r="BP53" s="157"/>
      <c r="BQ53" s="100"/>
      <c r="BR53" s="100"/>
      <c r="BS53" s="100"/>
      <c r="BT53" s="100"/>
      <c r="BU53" s="100"/>
      <c r="BV53" s="100"/>
      <c r="BW53" s="100"/>
      <c r="BX53" s="100"/>
      <c r="BY53" s="100"/>
      <c r="BZ53" s="100"/>
      <c r="CA53" s="100"/>
      <c r="CB53" s="100"/>
      <c r="CC53" s="157"/>
      <c r="CD53" s="100"/>
      <c r="CE53" s="100"/>
      <c r="CF53" s="100"/>
      <c r="CG53" s="100"/>
      <c r="CH53" s="100"/>
      <c r="CI53" s="100"/>
      <c r="CJ53" s="100"/>
      <c r="CK53" s="100"/>
      <c r="CL53" s="100"/>
      <c r="CM53" s="100"/>
      <c r="CN53" s="157"/>
      <c r="CO53" s="100"/>
      <c r="CP53" s="100"/>
    </row>
    <row r="54" spans="22:94">
      <c r="AN54" s="100"/>
      <c r="AO54" s="100"/>
      <c r="AP54" s="100"/>
      <c r="AQ54" s="100"/>
      <c r="AR54" s="100"/>
      <c r="AS54" s="79"/>
      <c r="AT54" s="79"/>
      <c r="AU54" s="79"/>
      <c r="AV54" s="165"/>
      <c r="AW54" s="79"/>
      <c r="AX54" s="79"/>
      <c r="AY54" s="150"/>
      <c r="AZ54" s="150"/>
      <c r="BA54" s="150"/>
      <c r="BB54" s="150"/>
      <c r="BC54" s="150"/>
      <c r="BD54" s="150"/>
      <c r="BE54" s="150"/>
      <c r="BF54" s="150"/>
      <c r="BG54" s="150"/>
      <c r="BH54" s="151"/>
      <c r="BI54" s="152"/>
      <c r="BJ54" s="153"/>
      <c r="BK54" s="154"/>
      <c r="BL54" s="154"/>
      <c r="BM54" s="155"/>
      <c r="BN54" s="79"/>
      <c r="BO54" s="100"/>
      <c r="BP54" s="157"/>
      <c r="BQ54" s="100"/>
      <c r="BR54" s="100"/>
      <c r="BS54" s="100"/>
      <c r="BT54" s="100"/>
      <c r="BU54" s="100"/>
      <c r="BV54" s="100"/>
      <c r="BW54" s="100"/>
      <c r="BX54" s="100"/>
      <c r="BY54" s="100"/>
      <c r="BZ54" s="100"/>
      <c r="CA54" s="100"/>
      <c r="CB54" s="100"/>
      <c r="CC54" s="157"/>
      <c r="CD54" s="100"/>
      <c r="CE54" s="100"/>
      <c r="CF54" s="100"/>
      <c r="CG54" s="100"/>
      <c r="CH54" s="100"/>
      <c r="CI54" s="100"/>
      <c r="CJ54" s="100"/>
      <c r="CK54" s="100"/>
      <c r="CL54" s="100"/>
      <c r="CM54" s="100"/>
      <c r="CN54" s="157"/>
      <c r="CO54" s="100"/>
      <c r="CP54" s="100"/>
    </row>
    <row r="55" spans="22:94">
      <c r="AN55" s="100"/>
      <c r="AO55" s="100"/>
      <c r="AP55" s="100"/>
      <c r="AQ55" s="100"/>
      <c r="AR55" s="100"/>
      <c r="AS55" s="79"/>
      <c r="AT55" s="79"/>
      <c r="AU55" s="79"/>
      <c r="AV55" s="79"/>
      <c r="AW55" s="79"/>
      <c r="AX55" s="79"/>
      <c r="AY55" s="146"/>
      <c r="AZ55" s="146"/>
      <c r="BA55" s="146"/>
      <c r="BB55" s="146"/>
      <c r="BC55" s="146"/>
      <c r="BD55" s="146"/>
      <c r="BE55" s="146"/>
      <c r="BF55" s="146"/>
      <c r="BG55" s="146"/>
      <c r="BH55" s="146"/>
      <c r="BI55" s="146"/>
      <c r="BJ55" s="146"/>
      <c r="BK55" s="146"/>
      <c r="BL55" s="146"/>
      <c r="BM55" s="155"/>
      <c r="BN55" s="79"/>
      <c r="BO55" s="100"/>
      <c r="BP55" s="157"/>
      <c r="BQ55" s="100"/>
      <c r="BR55" s="100"/>
      <c r="BS55" s="100"/>
      <c r="BT55" s="100"/>
      <c r="BU55" s="100"/>
      <c r="BV55" s="100"/>
      <c r="BW55" s="100"/>
      <c r="BX55" s="100"/>
      <c r="BY55" s="100"/>
      <c r="BZ55" s="100"/>
      <c r="CA55" s="100"/>
      <c r="CB55" s="100"/>
      <c r="CC55" s="157"/>
      <c r="CD55" s="100"/>
      <c r="CE55" s="100"/>
      <c r="CF55" s="100"/>
      <c r="CG55" s="100"/>
      <c r="CH55" s="100"/>
      <c r="CI55" s="100"/>
      <c r="CJ55" s="100"/>
      <c r="CK55" s="100"/>
      <c r="CL55" s="100"/>
      <c r="CM55" s="100"/>
      <c r="CN55" s="157"/>
      <c r="CO55" s="100"/>
      <c r="CP55" s="100"/>
    </row>
    <row r="56" spans="22:94">
      <c r="AN56" s="100"/>
      <c r="AO56" s="100"/>
      <c r="AP56" s="100"/>
      <c r="AQ56" s="100"/>
      <c r="AR56" s="100"/>
      <c r="AS56" s="79"/>
      <c r="AT56" s="79"/>
      <c r="AU56" s="79"/>
      <c r="AV56" s="79"/>
      <c r="AW56" s="79"/>
      <c r="AX56" s="79"/>
      <c r="AY56" s="146"/>
      <c r="AZ56" s="146"/>
      <c r="BA56" s="146"/>
      <c r="BB56" s="146"/>
      <c r="BC56" s="146"/>
      <c r="BD56" s="146"/>
      <c r="BE56" s="146"/>
      <c r="BF56" s="146"/>
      <c r="BG56" s="146"/>
      <c r="BH56" s="146"/>
      <c r="BI56" s="146"/>
      <c r="BJ56" s="146"/>
      <c r="BK56" s="146"/>
      <c r="BL56" s="146"/>
      <c r="BM56" s="155"/>
      <c r="BN56" s="79"/>
      <c r="BO56" s="100"/>
      <c r="BP56" s="157"/>
      <c r="BQ56" s="100"/>
      <c r="BR56" s="100"/>
      <c r="BS56" s="100"/>
      <c r="BT56" s="100"/>
      <c r="BU56" s="100"/>
      <c r="BV56" s="100"/>
      <c r="BW56" s="100"/>
      <c r="BX56" s="100"/>
      <c r="BY56" s="100"/>
      <c r="BZ56" s="100"/>
      <c r="CA56" s="100"/>
      <c r="CB56" s="100"/>
      <c r="CC56" s="157"/>
      <c r="CD56" s="100"/>
      <c r="CE56" s="100"/>
      <c r="CF56" s="100"/>
      <c r="CG56" s="100"/>
      <c r="CH56" s="100"/>
      <c r="CI56" s="100"/>
      <c r="CJ56" s="100"/>
      <c r="CK56" s="100"/>
      <c r="CL56" s="100"/>
      <c r="CM56" s="100"/>
      <c r="CN56" s="157"/>
      <c r="CO56" s="100"/>
      <c r="CP56" s="100"/>
    </row>
    <row r="57" spans="22:94" ht="31" customHeight="1">
      <c r="AN57" s="100"/>
      <c r="AO57" s="100"/>
      <c r="AP57" s="100"/>
      <c r="AQ57" s="100"/>
      <c r="AR57" s="100"/>
      <c r="AS57" s="79"/>
      <c r="AT57" s="79"/>
      <c r="AU57" s="79"/>
      <c r="AV57" s="79"/>
      <c r="AW57" s="79"/>
      <c r="AX57" s="79"/>
      <c r="AY57" s="150"/>
      <c r="AZ57" s="150"/>
      <c r="BA57" s="150"/>
      <c r="BB57" s="150"/>
      <c r="BC57" s="150"/>
      <c r="BD57" s="150"/>
      <c r="BE57" s="150"/>
      <c r="BF57" s="150"/>
      <c r="BG57" s="150"/>
      <c r="BH57" s="151"/>
      <c r="BI57" s="152"/>
      <c r="BJ57" s="153"/>
      <c r="BK57" s="154"/>
      <c r="BL57" s="154"/>
      <c r="BM57" s="155"/>
      <c r="BN57" s="79"/>
      <c r="BO57" s="100"/>
      <c r="BP57" s="157"/>
      <c r="BQ57" s="100"/>
      <c r="BR57" s="100"/>
      <c r="BS57" s="100"/>
      <c r="BT57" s="100"/>
      <c r="BU57" s="100"/>
      <c r="BV57" s="100"/>
      <c r="BW57" s="100"/>
      <c r="BX57" s="100"/>
      <c r="BY57" s="100"/>
      <c r="BZ57" s="100"/>
      <c r="CA57" s="100"/>
      <c r="CB57" s="100"/>
      <c r="CC57" s="157"/>
      <c r="CD57" s="100"/>
      <c r="CE57" s="100"/>
      <c r="CF57" s="100"/>
      <c r="CG57" s="100"/>
      <c r="CH57" s="100"/>
      <c r="CI57" s="100"/>
      <c r="CJ57" s="100"/>
      <c r="CK57" s="100"/>
      <c r="CL57" s="100"/>
      <c r="CM57" s="100"/>
      <c r="CN57" s="157"/>
      <c r="CO57" s="100"/>
      <c r="CP57" s="100"/>
    </row>
    <row r="58" spans="22:94">
      <c r="AN58" s="100"/>
      <c r="AO58" s="100"/>
      <c r="AP58" s="100"/>
      <c r="AQ58" s="100"/>
      <c r="AR58" s="100"/>
      <c r="AS58" s="79"/>
      <c r="AT58" s="79"/>
      <c r="AU58" s="79"/>
      <c r="AV58" s="165"/>
      <c r="AW58" s="79"/>
      <c r="AX58" s="79"/>
      <c r="AY58" s="150"/>
      <c r="AZ58" s="150"/>
      <c r="BA58" s="150"/>
      <c r="BB58" s="150"/>
      <c r="BC58" s="150"/>
      <c r="BD58" s="150"/>
      <c r="BE58" s="150"/>
      <c r="BF58" s="150"/>
      <c r="BG58" s="150"/>
      <c r="BH58" s="151"/>
      <c r="BI58" s="152"/>
      <c r="BJ58" s="153"/>
      <c r="BK58" s="154"/>
      <c r="BL58" s="154"/>
      <c r="BM58" s="155"/>
      <c r="BN58" s="79"/>
      <c r="BO58" s="100"/>
      <c r="BP58" s="157"/>
      <c r="BQ58" s="100"/>
      <c r="BR58" s="100"/>
      <c r="BS58" s="100"/>
      <c r="BT58" s="100"/>
      <c r="BU58" s="100"/>
      <c r="BV58" s="100"/>
      <c r="BW58" s="100"/>
      <c r="BX58" s="100"/>
      <c r="BY58" s="100"/>
      <c r="BZ58" s="100"/>
      <c r="CA58" s="100"/>
      <c r="CB58" s="100"/>
      <c r="CC58" s="157"/>
      <c r="CD58" s="100"/>
      <c r="CE58" s="100"/>
      <c r="CF58" s="100"/>
      <c r="CG58" s="100"/>
      <c r="CH58" s="100"/>
      <c r="CI58" s="100"/>
      <c r="CJ58" s="100"/>
      <c r="CK58" s="100"/>
      <c r="CL58" s="100"/>
      <c r="CM58" s="100"/>
      <c r="CN58" s="157"/>
      <c r="CO58" s="100"/>
      <c r="CP58" s="100"/>
    </row>
    <row r="59" spans="22:94">
      <c r="AN59" s="100"/>
      <c r="AO59" s="100"/>
      <c r="AP59" s="100"/>
      <c r="AQ59" s="100"/>
      <c r="AR59" s="100"/>
      <c r="AS59" s="79"/>
      <c r="AT59" s="79"/>
      <c r="AU59" s="79"/>
      <c r="AV59" s="79"/>
      <c r="AW59" s="79"/>
      <c r="AX59" s="79"/>
      <c r="AY59" s="150"/>
      <c r="AZ59" s="150"/>
      <c r="BA59" s="150"/>
      <c r="BB59" s="150"/>
      <c r="BC59" s="150"/>
      <c r="BD59" s="150"/>
      <c r="BE59" s="150"/>
      <c r="BF59" s="150"/>
      <c r="BG59" s="150"/>
      <c r="BH59" s="151"/>
      <c r="BI59" s="152"/>
      <c r="BJ59" s="153"/>
      <c r="BK59" s="154"/>
      <c r="BL59" s="154"/>
      <c r="BM59" s="155"/>
      <c r="BN59" s="79"/>
      <c r="BO59" s="100"/>
      <c r="BP59" s="157"/>
      <c r="BQ59" s="100"/>
      <c r="BR59" s="100"/>
      <c r="BS59" s="100"/>
      <c r="BT59" s="100"/>
      <c r="BU59" s="100"/>
      <c r="BV59" s="100"/>
      <c r="BW59" s="100"/>
      <c r="BX59" s="100"/>
      <c r="BY59" s="100"/>
      <c r="BZ59" s="100"/>
      <c r="CA59" s="100"/>
      <c r="CB59" s="100"/>
      <c r="CC59" s="157"/>
      <c r="CD59" s="100"/>
      <c r="CE59" s="100"/>
      <c r="CF59" s="100"/>
      <c r="CG59" s="100"/>
      <c r="CH59" s="100"/>
      <c r="CI59" s="100"/>
      <c r="CJ59" s="100"/>
      <c r="CK59" s="100"/>
      <c r="CL59" s="100"/>
      <c r="CM59" s="100"/>
      <c r="CN59" s="157"/>
      <c r="CO59" s="100"/>
      <c r="CP59" s="100"/>
    </row>
    <row r="60" spans="22:94">
      <c r="AN60" s="100"/>
      <c r="AO60" s="100"/>
      <c r="AP60" s="100"/>
      <c r="AQ60" s="100"/>
      <c r="AR60" s="100"/>
      <c r="AS60" s="79"/>
      <c r="AT60" s="79"/>
      <c r="AU60" s="79"/>
      <c r="AV60" s="79"/>
      <c r="AW60" s="79"/>
      <c r="AX60" s="79"/>
      <c r="AY60" s="150"/>
      <c r="AZ60" s="150"/>
      <c r="BA60" s="150"/>
      <c r="BB60" s="150"/>
      <c r="BC60" s="150"/>
      <c r="BD60" s="150"/>
      <c r="BE60" s="150"/>
      <c r="BF60" s="150"/>
      <c r="BG60" s="150"/>
      <c r="BH60" s="151"/>
      <c r="BI60" s="152"/>
      <c r="BJ60" s="153"/>
      <c r="BK60" s="154"/>
      <c r="BL60" s="154"/>
      <c r="BM60" s="155"/>
      <c r="BN60" s="79"/>
      <c r="BO60" s="100"/>
      <c r="BP60" s="157"/>
      <c r="BQ60" s="100"/>
      <c r="BR60" s="100"/>
      <c r="BS60" s="100"/>
      <c r="BT60" s="100"/>
      <c r="BU60" s="100"/>
      <c r="BV60" s="100"/>
      <c r="BW60" s="100"/>
      <c r="BX60" s="100"/>
      <c r="BY60" s="100"/>
      <c r="BZ60" s="100"/>
      <c r="CA60" s="100"/>
      <c r="CB60" s="100"/>
      <c r="CC60" s="157"/>
      <c r="CD60" s="100"/>
      <c r="CE60" s="100"/>
      <c r="CF60" s="100"/>
      <c r="CG60" s="100"/>
      <c r="CH60" s="100"/>
      <c r="CI60" s="100"/>
      <c r="CJ60" s="100"/>
      <c r="CK60" s="100"/>
      <c r="CL60" s="100"/>
      <c r="CM60" s="100"/>
      <c r="CN60" s="157"/>
      <c r="CO60" s="100"/>
      <c r="CP60" s="100"/>
    </row>
    <row r="61" spans="22:94">
      <c r="AN61" s="100"/>
      <c r="AO61" s="100"/>
      <c r="AP61" s="100"/>
      <c r="AQ61" s="100"/>
      <c r="AR61" s="100"/>
      <c r="AS61" s="79"/>
      <c r="AT61" s="79"/>
      <c r="AU61" s="79"/>
      <c r="AV61" s="79"/>
      <c r="AW61" s="79"/>
      <c r="AX61" s="79"/>
      <c r="AY61" s="150"/>
      <c r="AZ61" s="150"/>
      <c r="BA61" s="150"/>
      <c r="BB61" s="150"/>
      <c r="BC61" s="150"/>
      <c r="BD61" s="150"/>
      <c r="BE61" s="150"/>
      <c r="BF61" s="150"/>
      <c r="BG61" s="150"/>
      <c r="BH61" s="151"/>
      <c r="BI61" s="152"/>
      <c r="BJ61" s="153"/>
      <c r="BK61" s="154"/>
      <c r="BL61" s="154"/>
      <c r="BM61" s="155"/>
      <c r="BN61" s="156"/>
      <c r="BO61" s="100"/>
      <c r="BP61" s="157"/>
      <c r="BQ61" s="100"/>
      <c r="BR61" s="100"/>
      <c r="BS61" s="100"/>
      <c r="BT61" s="79"/>
      <c r="BU61" s="79"/>
      <c r="BV61" s="79"/>
      <c r="BW61" s="79"/>
      <c r="BX61" s="79"/>
      <c r="BY61" s="79"/>
      <c r="BZ61" s="155"/>
      <c r="CA61" s="156"/>
      <c r="CB61" s="157"/>
      <c r="CC61" s="157"/>
      <c r="CD61" s="100"/>
      <c r="CE61" s="79"/>
      <c r="CF61" s="79"/>
      <c r="CG61" s="79"/>
      <c r="CH61" s="79"/>
      <c r="CI61" s="79"/>
      <c r="CJ61" s="79"/>
      <c r="CK61" s="155"/>
      <c r="CL61" s="79"/>
      <c r="CM61" s="100"/>
      <c r="CN61" s="157"/>
      <c r="CO61" s="100"/>
      <c r="CP61" s="100"/>
    </row>
    <row r="62" spans="22:94">
      <c r="AN62" s="100"/>
      <c r="AO62" s="100"/>
      <c r="AP62" s="100"/>
      <c r="AQ62" s="100"/>
      <c r="AR62" s="100"/>
      <c r="AS62" s="79"/>
      <c r="AT62" s="79"/>
      <c r="AU62" s="79"/>
      <c r="AV62" s="79"/>
      <c r="AW62" s="79"/>
      <c r="AX62" s="79"/>
      <c r="AY62" s="146"/>
      <c r="AZ62" s="146"/>
      <c r="BA62" s="146"/>
      <c r="BB62" s="146"/>
      <c r="BC62" s="146"/>
      <c r="BD62" s="146"/>
      <c r="BE62" s="146"/>
      <c r="BF62" s="146"/>
      <c r="BG62" s="146"/>
      <c r="BH62" s="146"/>
      <c r="BI62" s="146"/>
      <c r="BJ62" s="146"/>
      <c r="BK62" s="146"/>
      <c r="BL62" s="146"/>
      <c r="BM62" s="155"/>
      <c r="BN62" s="79"/>
      <c r="BO62" s="100"/>
      <c r="BP62" s="167"/>
      <c r="BQ62" s="100"/>
      <c r="BR62" s="100"/>
      <c r="BS62" s="100"/>
      <c r="BT62" s="79"/>
      <c r="BU62" s="79"/>
      <c r="BV62" s="79"/>
      <c r="BW62" s="79"/>
      <c r="BX62" s="79"/>
      <c r="BY62" s="79"/>
      <c r="BZ62" s="155"/>
      <c r="CA62" s="79"/>
      <c r="CB62" s="100"/>
      <c r="CC62" s="157"/>
      <c r="CD62" s="100"/>
      <c r="CE62" s="168"/>
      <c r="CF62" s="168"/>
      <c r="CG62" s="168"/>
      <c r="CH62" s="168"/>
      <c r="CI62" s="169"/>
      <c r="CJ62" s="170"/>
      <c r="CK62" s="168"/>
      <c r="CL62" s="168"/>
      <c r="CM62" s="100"/>
      <c r="CN62" s="157"/>
      <c r="CO62" s="100"/>
      <c r="CP62" s="100"/>
    </row>
    <row r="63" spans="22:94" ht="17" thickBot="1">
      <c r="V63" s="5"/>
      <c r="W63" s="17"/>
      <c r="X63" s="26"/>
      <c r="Y63" s="27"/>
      <c r="Z63" s="27"/>
      <c r="AA63" s="46"/>
      <c r="AB63" s="27"/>
      <c r="AC63" s="28"/>
      <c r="AD63" s="29"/>
      <c r="AE63" s="30"/>
      <c r="AF63" s="27"/>
      <c r="AG63" s="27"/>
      <c r="AH63" s="46"/>
      <c r="AI63" s="27"/>
      <c r="AJ63" s="45"/>
      <c r="AK63" s="45"/>
      <c r="AL63" s="45"/>
      <c r="AM63" s="45"/>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71"/>
      <c r="BU63" s="170"/>
      <c r="BV63" s="168"/>
      <c r="BW63" s="171"/>
      <c r="BX63" s="169"/>
      <c r="BY63" s="171"/>
      <c r="BZ63" s="168"/>
      <c r="CA63" s="168"/>
      <c r="CB63" s="100"/>
      <c r="CC63" s="157"/>
      <c r="CD63" s="100"/>
      <c r="CE63" s="172"/>
      <c r="CF63" s="79"/>
      <c r="CG63" s="79"/>
      <c r="CH63" s="172"/>
      <c r="CI63" s="79"/>
      <c r="CJ63" s="172"/>
      <c r="CK63" s="155"/>
      <c r="CL63" s="156"/>
      <c r="CM63" s="100"/>
      <c r="CN63" s="157"/>
      <c r="CO63" s="100"/>
      <c r="CP63" s="100"/>
    </row>
    <row r="64" spans="22:94" ht="17" thickBot="1">
      <c r="V64" s="2"/>
      <c r="W64" s="13"/>
      <c r="X64" s="41"/>
      <c r="Y64" s="32"/>
      <c r="Z64" s="32"/>
      <c r="AA64" s="41"/>
      <c r="AB64" s="32"/>
      <c r="AC64" s="33"/>
      <c r="AD64" s="32"/>
      <c r="AE64" s="34"/>
      <c r="AF64" s="42"/>
      <c r="AG64" s="43"/>
      <c r="AH64" s="41"/>
      <c r="AI64" s="43"/>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73"/>
      <c r="BS64" s="100"/>
      <c r="BT64" s="170"/>
      <c r="BU64" s="174"/>
      <c r="BV64" s="173"/>
      <c r="BW64" s="170"/>
      <c r="BX64" s="169"/>
      <c r="BY64" s="171"/>
      <c r="BZ64" s="169"/>
      <c r="CA64" s="169"/>
      <c r="CB64" s="100"/>
      <c r="CC64" s="157"/>
      <c r="CD64" s="100"/>
      <c r="CE64" s="168"/>
      <c r="CF64" s="174"/>
      <c r="CG64" s="168"/>
      <c r="CH64" s="168"/>
      <c r="CI64" s="169"/>
      <c r="CJ64" s="171"/>
      <c r="CK64" s="168"/>
      <c r="CL64" s="168"/>
      <c r="CM64" s="100"/>
      <c r="CN64" s="157"/>
      <c r="CO64" s="100"/>
      <c r="CP64" s="100"/>
    </row>
    <row r="65" spans="22:94" ht="17" thickBot="1">
      <c r="V65" s="2"/>
      <c r="W65" s="13"/>
      <c r="X65" s="32"/>
      <c r="Y65" s="32"/>
      <c r="Z65" s="32"/>
      <c r="AA65" s="41"/>
      <c r="AB65" s="32"/>
      <c r="AC65" s="33"/>
      <c r="AD65" s="32"/>
      <c r="AE65" s="34"/>
      <c r="AF65" s="34"/>
      <c r="AG65" s="32"/>
      <c r="AH65" s="41"/>
      <c r="AI65" s="32"/>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73"/>
      <c r="BS65" s="100"/>
      <c r="BT65" s="168"/>
      <c r="BU65" s="168"/>
      <c r="BV65" s="168"/>
      <c r="BW65" s="168"/>
      <c r="BX65" s="169"/>
      <c r="BY65" s="171"/>
      <c r="BZ65" s="175"/>
      <c r="CA65" s="175"/>
      <c r="CB65" s="100"/>
      <c r="CC65" s="157"/>
      <c r="CD65" s="100"/>
      <c r="CE65" s="170"/>
      <c r="CF65" s="170"/>
      <c r="CG65" s="173"/>
      <c r="CH65" s="170"/>
      <c r="CI65" s="169"/>
      <c r="CJ65" s="171"/>
      <c r="CK65" s="169"/>
      <c r="CL65" s="169"/>
      <c r="CM65" s="100"/>
      <c r="CN65" s="157"/>
      <c r="CO65" s="100"/>
      <c r="CP65" s="100"/>
    </row>
    <row r="66" spans="22:94" ht="17" thickBot="1">
      <c r="V66" s="4"/>
      <c r="W66" s="4"/>
      <c r="X66" s="36"/>
      <c r="Y66" s="36"/>
      <c r="Z66" s="32"/>
      <c r="AA66" s="41"/>
      <c r="AB66" s="36"/>
      <c r="AC66" s="37"/>
      <c r="AD66" s="36"/>
      <c r="AE66" s="38"/>
      <c r="AF66" s="38"/>
      <c r="AG66" s="40"/>
      <c r="AH66" s="41"/>
      <c r="AI66" s="4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73"/>
      <c r="BS66" s="100"/>
      <c r="BT66" s="168"/>
      <c r="BU66" s="168"/>
      <c r="BV66" s="168"/>
      <c r="BW66" s="168"/>
      <c r="BX66" s="169"/>
      <c r="BY66" s="171"/>
      <c r="BZ66" s="168"/>
      <c r="CA66" s="168"/>
      <c r="CB66" s="100"/>
      <c r="CC66" s="157"/>
      <c r="CD66" s="100"/>
      <c r="CE66" s="168"/>
      <c r="CF66" s="168"/>
      <c r="CG66" s="168"/>
      <c r="CH66" s="168"/>
      <c r="CI66" s="169"/>
      <c r="CJ66" s="171"/>
      <c r="CK66" s="168"/>
      <c r="CL66" s="168"/>
      <c r="CM66" s="100"/>
      <c r="CN66" s="157"/>
      <c r="CO66" s="100"/>
      <c r="CP66" s="100"/>
    </row>
    <row r="67" spans="22:94" ht="17" thickBot="1">
      <c r="V67" s="4"/>
      <c r="W67" s="19"/>
      <c r="X67" s="36"/>
      <c r="Y67" s="36"/>
      <c r="Z67" s="32"/>
      <c r="AA67" s="41"/>
      <c r="AB67" s="36"/>
      <c r="AC67" s="37"/>
      <c r="AD67" s="36"/>
      <c r="AE67" s="38"/>
      <c r="AF67" s="38"/>
      <c r="AG67" s="40"/>
      <c r="AH67" s="41"/>
      <c r="AI67" s="4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73"/>
      <c r="BS67" s="100"/>
      <c r="BT67" s="168"/>
      <c r="BU67" s="168"/>
      <c r="BV67" s="168"/>
      <c r="BW67" s="168"/>
      <c r="BX67" s="169"/>
      <c r="BY67" s="171"/>
      <c r="BZ67" s="168"/>
      <c r="CA67" s="168"/>
      <c r="CB67" s="100"/>
      <c r="CC67" s="157"/>
      <c r="CD67" s="100"/>
      <c r="CE67" s="168"/>
      <c r="CF67" s="168"/>
      <c r="CG67" s="168"/>
      <c r="CH67" s="168"/>
      <c r="CI67" s="169"/>
      <c r="CJ67" s="171"/>
      <c r="CK67" s="169"/>
      <c r="CL67" s="169"/>
      <c r="CM67" s="100"/>
      <c r="CN67" s="157"/>
      <c r="CO67" s="100"/>
      <c r="CP67" s="100"/>
    </row>
    <row r="68" spans="22:94" ht="17" thickBot="1">
      <c r="V68" s="4"/>
      <c r="W68" s="11"/>
      <c r="X68" s="35"/>
      <c r="Y68" s="36"/>
      <c r="Z68" s="32"/>
      <c r="AA68" s="41"/>
      <c r="AB68" s="36"/>
      <c r="AC68" s="37"/>
      <c r="AD68" s="36"/>
      <c r="AE68" s="38"/>
      <c r="AF68" s="39"/>
      <c r="AG68" s="36"/>
      <c r="AH68" s="41"/>
      <c r="AI68" s="36"/>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73"/>
      <c r="BS68" s="100"/>
      <c r="BT68" s="168"/>
      <c r="BU68" s="168"/>
      <c r="BV68" s="168"/>
      <c r="BW68" s="168"/>
      <c r="BX68" s="169"/>
      <c r="BY68" s="171"/>
      <c r="BZ68" s="168"/>
      <c r="CA68" s="168"/>
      <c r="CB68" s="100"/>
      <c r="CC68" s="157"/>
      <c r="CD68" s="100"/>
      <c r="CE68" s="168"/>
      <c r="CF68" s="168"/>
      <c r="CG68" s="168"/>
      <c r="CH68" s="168"/>
      <c r="CI68" s="169"/>
      <c r="CJ68" s="171"/>
      <c r="CK68" s="168"/>
      <c r="CL68" s="168"/>
      <c r="CM68" s="100"/>
      <c r="CN68" s="157"/>
      <c r="CO68" s="100"/>
      <c r="CP68" s="100"/>
    </row>
    <row r="69" spans="22:94" ht="17" thickBot="1">
      <c r="V69" s="2"/>
      <c r="W69" s="2"/>
      <c r="X69" s="32"/>
      <c r="Y69" s="32"/>
      <c r="Z69" s="32"/>
      <c r="AA69" s="41"/>
      <c r="AB69" s="32"/>
      <c r="AC69" s="33"/>
      <c r="AD69" s="32"/>
      <c r="AE69" s="34"/>
      <c r="AF69" s="34"/>
      <c r="AG69" s="32"/>
      <c r="AH69" s="41"/>
      <c r="AI69" s="32"/>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73"/>
      <c r="BS69" s="100"/>
      <c r="BT69" s="168"/>
      <c r="BU69" s="168"/>
      <c r="BV69" s="168"/>
      <c r="BW69" s="168"/>
      <c r="BX69" s="169"/>
      <c r="BY69" s="171"/>
      <c r="BZ69" s="168"/>
      <c r="CA69" s="168"/>
      <c r="CB69" s="100"/>
      <c r="CC69" s="157"/>
      <c r="CD69" s="100"/>
      <c r="CE69" s="168"/>
      <c r="CF69" s="168"/>
      <c r="CG69" s="168"/>
      <c r="CH69" s="168"/>
      <c r="CI69" s="169"/>
      <c r="CJ69" s="171"/>
      <c r="CK69" s="169"/>
      <c r="CL69" s="169"/>
      <c r="CM69" s="100"/>
      <c r="CN69" s="157"/>
      <c r="CO69" s="100"/>
      <c r="CP69" s="100"/>
    </row>
    <row r="70" spans="22:94" ht="17" thickBot="1">
      <c r="V70" s="5"/>
      <c r="W70" s="2"/>
      <c r="X70" s="32"/>
      <c r="Y70" s="32"/>
      <c r="Z70" s="32"/>
      <c r="AA70" s="41"/>
      <c r="AB70" s="32"/>
      <c r="AC70" s="33"/>
      <c r="AD70" s="41"/>
      <c r="AE70" s="34"/>
      <c r="AF70" s="34"/>
      <c r="AG70" s="32"/>
      <c r="AH70" s="41"/>
      <c r="AI70" s="32"/>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73"/>
      <c r="BS70" s="100"/>
      <c r="BT70" s="168"/>
      <c r="BU70" s="168"/>
      <c r="BV70" s="168"/>
      <c r="BW70" s="168"/>
      <c r="BX70" s="169"/>
      <c r="BY70" s="171"/>
      <c r="BZ70" s="168"/>
      <c r="CA70" s="168"/>
      <c r="CB70" s="100"/>
      <c r="CC70" s="157"/>
      <c r="CD70" s="100"/>
      <c r="CE70" s="170"/>
      <c r="CF70" s="170"/>
      <c r="CG70" s="168"/>
      <c r="CH70" s="170"/>
      <c r="CI70" s="169"/>
      <c r="CJ70" s="171"/>
      <c r="CK70" s="168"/>
      <c r="CL70" s="168"/>
      <c r="CM70" s="100"/>
      <c r="CN70" s="157"/>
      <c r="CO70" s="100"/>
      <c r="CP70" s="100"/>
    </row>
    <row r="71" spans="22:94" ht="17" thickBot="1">
      <c r="V71" s="4"/>
      <c r="W71" s="4"/>
      <c r="X71" s="36"/>
      <c r="Y71" s="36"/>
      <c r="Z71" s="32"/>
      <c r="AA71" s="41"/>
      <c r="AB71" s="36"/>
      <c r="AC71" s="37"/>
      <c r="AD71" s="36"/>
      <c r="AE71" s="38"/>
      <c r="AF71" s="38"/>
      <c r="AG71" s="36"/>
      <c r="AH71" s="41"/>
      <c r="AI71" s="36"/>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73"/>
      <c r="BS71" s="100"/>
      <c r="BT71" s="168"/>
      <c r="BU71" s="168"/>
      <c r="BV71" s="168"/>
      <c r="BW71" s="168"/>
      <c r="BX71" s="169"/>
      <c r="BY71" s="171"/>
      <c r="BZ71" s="168"/>
      <c r="CA71" s="168"/>
      <c r="CB71" s="100"/>
      <c r="CC71" s="157"/>
      <c r="CD71" s="100"/>
      <c r="CE71" s="168"/>
      <c r="CF71" s="168"/>
      <c r="CG71" s="168"/>
      <c r="CH71" s="168"/>
      <c r="CI71" s="169"/>
      <c r="CJ71" s="171"/>
      <c r="CK71" s="175"/>
      <c r="CL71" s="175"/>
      <c r="CM71" s="100"/>
      <c r="CN71" s="157"/>
      <c r="CO71" s="100"/>
      <c r="CP71" s="100"/>
    </row>
    <row r="72" spans="22:94" ht="17" thickBot="1">
      <c r="V72" s="4"/>
      <c r="W72" s="11"/>
      <c r="X72" s="36"/>
      <c r="Y72" s="36"/>
      <c r="Z72" s="32"/>
      <c r="AA72" s="41"/>
      <c r="AB72" s="36"/>
      <c r="AC72" s="37"/>
      <c r="AD72" s="36"/>
      <c r="AE72" s="38"/>
      <c r="AF72" s="38"/>
      <c r="AG72" s="40"/>
      <c r="AH72" s="41"/>
      <c r="AI72" s="4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73"/>
      <c r="BS72" s="100"/>
      <c r="BT72" s="168"/>
      <c r="BU72" s="168"/>
      <c r="BV72" s="168"/>
      <c r="BW72" s="168"/>
      <c r="BX72" s="169"/>
      <c r="BY72" s="171"/>
      <c r="BZ72" s="168"/>
      <c r="CA72" s="168"/>
      <c r="CB72" s="100"/>
      <c r="CC72" s="157"/>
      <c r="CD72" s="100"/>
      <c r="CE72" s="168"/>
      <c r="CF72" s="168"/>
      <c r="CG72" s="168"/>
      <c r="CH72" s="168"/>
      <c r="CI72" s="169"/>
      <c r="CJ72" s="171"/>
      <c r="CK72" s="168"/>
      <c r="CL72" s="168"/>
      <c r="CM72" s="100"/>
      <c r="CN72" s="157"/>
      <c r="CO72" s="100"/>
      <c r="CP72" s="100"/>
    </row>
    <row r="73" spans="22:94" ht="17" thickBot="1">
      <c r="V73" s="2"/>
      <c r="W73" s="2"/>
      <c r="X73" s="32"/>
      <c r="Y73" s="32"/>
      <c r="Z73" s="32"/>
      <c r="AA73" s="41"/>
      <c r="AB73" s="32"/>
      <c r="AC73" s="33"/>
      <c r="AD73" s="32"/>
      <c r="AE73" s="34"/>
      <c r="AF73" s="34"/>
      <c r="AG73" s="32"/>
      <c r="AH73" s="41"/>
      <c r="AI73" s="32"/>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73"/>
      <c r="BS73" s="100"/>
      <c r="BT73" s="168"/>
      <c r="BU73" s="168"/>
      <c r="BV73" s="168"/>
      <c r="BW73" s="168"/>
      <c r="BX73" s="169"/>
      <c r="BY73" s="171"/>
      <c r="BZ73" s="168"/>
      <c r="CA73" s="168"/>
      <c r="CB73" s="100"/>
      <c r="CC73" s="157"/>
      <c r="CD73" s="100"/>
      <c r="CE73" s="168"/>
      <c r="CF73" s="168"/>
      <c r="CG73" s="168"/>
      <c r="CH73" s="168"/>
      <c r="CI73" s="169"/>
      <c r="CJ73" s="171"/>
      <c r="CK73" s="168"/>
      <c r="CL73" s="168"/>
      <c r="CM73" s="100"/>
      <c r="CN73" s="157"/>
      <c r="CO73" s="100"/>
      <c r="CP73" s="100"/>
    </row>
    <row r="74" spans="22:94" ht="17" thickBot="1">
      <c r="V74" s="4"/>
      <c r="W74" s="11"/>
      <c r="X74" s="36"/>
      <c r="Y74" s="36"/>
      <c r="Z74" s="32"/>
      <c r="AA74" s="41"/>
      <c r="AB74" s="36"/>
      <c r="AC74" s="37"/>
      <c r="AD74" s="36"/>
      <c r="AE74" s="38"/>
      <c r="AF74" s="38"/>
      <c r="AG74" s="40"/>
      <c r="AH74" s="41"/>
      <c r="AI74" s="4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73"/>
      <c r="BS74" s="100"/>
      <c r="BT74" s="168"/>
      <c r="BU74" s="168"/>
      <c r="BV74" s="168"/>
      <c r="BW74" s="168"/>
      <c r="BX74" s="169"/>
      <c r="BY74" s="171"/>
      <c r="BZ74" s="168"/>
      <c r="CA74" s="168"/>
      <c r="CB74" s="100"/>
      <c r="CC74" s="157"/>
      <c r="CD74" s="100"/>
      <c r="CE74" s="168"/>
      <c r="CF74" s="168"/>
      <c r="CG74" s="168"/>
      <c r="CH74" s="168"/>
      <c r="CI74" s="169"/>
      <c r="CJ74" s="171"/>
      <c r="CK74" s="168"/>
      <c r="CL74" s="168"/>
      <c r="CM74" s="100"/>
      <c r="CN74" s="157"/>
      <c r="CO74" s="100"/>
      <c r="CP74" s="100"/>
    </row>
    <row r="75" spans="22:94" ht="17" thickBot="1">
      <c r="V75" s="4"/>
      <c r="W75" s="11"/>
      <c r="X75" s="35"/>
      <c r="Y75" s="36"/>
      <c r="Z75" s="32"/>
      <c r="AA75" s="41"/>
      <c r="AB75" s="36"/>
      <c r="AC75" s="37"/>
      <c r="AD75" s="36"/>
      <c r="AE75" s="38"/>
      <c r="AF75" s="39"/>
      <c r="AG75" s="40"/>
      <c r="AH75" s="41"/>
      <c r="AI75" s="4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73"/>
      <c r="BS75" s="100"/>
      <c r="BT75" s="168"/>
      <c r="BU75" s="168"/>
      <c r="BV75" s="168"/>
      <c r="BW75" s="168"/>
      <c r="BX75" s="169"/>
      <c r="BY75" s="171"/>
      <c r="BZ75" s="169"/>
      <c r="CA75" s="169"/>
      <c r="CB75" s="100"/>
      <c r="CC75" s="157"/>
      <c r="CD75" s="100"/>
      <c r="CE75" s="168"/>
      <c r="CF75" s="168"/>
      <c r="CG75" s="168"/>
      <c r="CH75" s="168"/>
      <c r="CI75" s="169"/>
      <c r="CJ75" s="171"/>
      <c r="CK75" s="168"/>
      <c r="CL75" s="168"/>
      <c r="CM75" s="100"/>
      <c r="CN75" s="157"/>
      <c r="CO75" s="100"/>
      <c r="CP75" s="100"/>
    </row>
    <row r="76" spans="22:94" ht="17" thickBot="1">
      <c r="V76" s="4"/>
      <c r="W76" s="4"/>
      <c r="X76" s="36"/>
      <c r="Y76" s="36"/>
      <c r="Z76" s="32"/>
      <c r="AA76" s="41"/>
      <c r="AB76" s="36"/>
      <c r="AC76" s="37"/>
      <c r="AD76" s="36"/>
      <c r="AE76" s="38"/>
      <c r="AF76" s="38"/>
      <c r="AG76" s="40"/>
      <c r="AH76" s="41"/>
      <c r="AI76" s="4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73"/>
      <c r="BS76" s="100"/>
      <c r="BT76" s="168"/>
      <c r="BU76" s="176"/>
      <c r="BV76" s="168"/>
      <c r="BW76" s="168"/>
      <c r="BX76" s="169"/>
      <c r="BY76" s="171"/>
      <c r="BZ76" s="168"/>
      <c r="CA76" s="168"/>
      <c r="CB76" s="100"/>
      <c r="CC76" s="157"/>
      <c r="CD76" s="100"/>
      <c r="CE76" s="168"/>
      <c r="CF76" s="168"/>
      <c r="CG76" s="168"/>
      <c r="CH76" s="168"/>
      <c r="CI76" s="169"/>
      <c r="CJ76" s="171"/>
      <c r="CK76" s="168"/>
      <c r="CL76" s="168"/>
      <c r="CM76" s="100"/>
      <c r="CN76" s="157"/>
      <c r="CO76" s="100"/>
      <c r="CP76" s="100"/>
    </row>
    <row r="77" spans="22:94" ht="17" thickBot="1">
      <c r="V77" s="4"/>
      <c r="W77" s="11"/>
      <c r="X77" s="36"/>
      <c r="Y77" s="36"/>
      <c r="Z77" s="32"/>
      <c r="AA77" s="41"/>
      <c r="AB77" s="36"/>
      <c r="AC77" s="37"/>
      <c r="AD77" s="36"/>
      <c r="AE77" s="38"/>
      <c r="AF77" s="38"/>
      <c r="AG77" s="40"/>
      <c r="AH77" s="41"/>
      <c r="AI77" s="4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73"/>
      <c r="BS77" s="100"/>
      <c r="BT77" s="168"/>
      <c r="BU77" s="168"/>
      <c r="BV77" s="168"/>
      <c r="BW77" s="168"/>
      <c r="BX77" s="169"/>
      <c r="BY77" s="171"/>
      <c r="BZ77" s="169"/>
      <c r="CA77" s="169"/>
      <c r="CB77" s="100"/>
      <c r="CC77" s="157"/>
      <c r="CD77" s="100"/>
      <c r="CE77" s="168"/>
      <c r="CF77" s="168"/>
      <c r="CG77" s="168"/>
      <c r="CH77" s="168"/>
      <c r="CI77" s="169"/>
      <c r="CJ77" s="171"/>
      <c r="CK77" s="168"/>
      <c r="CL77" s="168"/>
      <c r="CM77" s="100"/>
      <c r="CN77" s="157"/>
      <c r="CO77" s="100"/>
      <c r="CP77" s="100"/>
    </row>
    <row r="78" spans="22:94" ht="17" thickBot="1">
      <c r="V78" s="2"/>
      <c r="W78" s="2"/>
      <c r="X78" s="32"/>
      <c r="Y78" s="32"/>
      <c r="Z78" s="32"/>
      <c r="AA78" s="41"/>
      <c r="AB78" s="32"/>
      <c r="AC78" s="33"/>
      <c r="AD78" s="32"/>
      <c r="AE78" s="34"/>
      <c r="AF78" s="34"/>
      <c r="AG78" s="43"/>
      <c r="AH78" s="41"/>
      <c r="AI78" s="43"/>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73"/>
      <c r="BS78" s="100"/>
      <c r="BT78" s="168"/>
      <c r="BU78" s="168"/>
      <c r="BV78" s="168"/>
      <c r="BW78" s="168"/>
      <c r="BX78" s="169"/>
      <c r="BY78" s="171"/>
      <c r="BZ78" s="168"/>
      <c r="CA78" s="168"/>
      <c r="CB78" s="100"/>
      <c r="CC78" s="157"/>
      <c r="CD78" s="100"/>
      <c r="CE78" s="168"/>
      <c r="CF78" s="168"/>
      <c r="CG78" s="177"/>
      <c r="CH78" s="168"/>
      <c r="CI78" s="169"/>
      <c r="CJ78" s="171"/>
      <c r="CK78" s="168"/>
      <c r="CL78" s="168"/>
      <c r="CM78" s="100"/>
      <c r="CN78" s="157"/>
      <c r="CO78" s="100"/>
      <c r="CP78" s="100"/>
    </row>
    <row r="79" spans="22:94" ht="17" thickBot="1">
      <c r="V79" s="2"/>
      <c r="W79" s="2"/>
      <c r="X79" s="41"/>
      <c r="Y79" s="32"/>
      <c r="Z79" s="32"/>
      <c r="AA79" s="41"/>
      <c r="AB79" s="32"/>
      <c r="AC79" s="33"/>
      <c r="AD79" s="32"/>
      <c r="AE79" s="34"/>
      <c r="AF79" s="42"/>
      <c r="AG79" s="43"/>
      <c r="AH79" s="41"/>
      <c r="AI79" s="43"/>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73"/>
      <c r="BS79" s="100"/>
      <c r="BT79" s="168"/>
      <c r="BU79" s="168"/>
      <c r="BV79" s="177"/>
      <c r="BW79" s="168"/>
      <c r="BX79" s="169"/>
      <c r="BY79" s="171"/>
      <c r="BZ79" s="168"/>
      <c r="CA79" s="168"/>
      <c r="CB79" s="100"/>
      <c r="CC79" s="157"/>
      <c r="CD79" s="100"/>
      <c r="CE79" s="168"/>
      <c r="CF79" s="168"/>
      <c r="CG79" s="168"/>
      <c r="CH79" s="168"/>
      <c r="CI79" s="169"/>
      <c r="CJ79" s="171"/>
      <c r="CK79" s="168"/>
      <c r="CL79" s="168"/>
      <c r="CM79" s="100"/>
      <c r="CN79" s="157"/>
      <c r="CO79" s="100"/>
      <c r="CP79" s="100"/>
    </row>
    <row r="80" spans="22:94" ht="17" thickBot="1">
      <c r="V80" s="2"/>
      <c r="W80" s="2"/>
      <c r="X80" s="41"/>
      <c r="Y80" s="32"/>
      <c r="Z80" s="32"/>
      <c r="AA80" s="41"/>
      <c r="AB80" s="32"/>
      <c r="AC80" s="33"/>
      <c r="AD80" s="32"/>
      <c r="AE80" s="34"/>
      <c r="AF80" s="41"/>
      <c r="AG80" s="32"/>
      <c r="AH80" s="41"/>
      <c r="AI80" s="32"/>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73"/>
      <c r="BS80" s="100"/>
      <c r="BT80" s="168"/>
      <c r="BU80" s="176"/>
      <c r="BV80" s="168"/>
      <c r="BW80" s="168"/>
      <c r="BX80" s="169"/>
      <c r="BY80" s="171"/>
      <c r="BZ80" s="168"/>
      <c r="CA80" s="168"/>
      <c r="CB80" s="100"/>
      <c r="CC80" s="157"/>
      <c r="CD80" s="100"/>
      <c r="CE80" s="168"/>
      <c r="CF80" s="168"/>
      <c r="CG80" s="168"/>
      <c r="CH80" s="168"/>
      <c r="CI80" s="169"/>
      <c r="CJ80" s="171"/>
      <c r="CK80" s="168"/>
      <c r="CL80" s="168"/>
      <c r="CM80" s="100"/>
      <c r="CN80" s="157"/>
      <c r="CO80" s="100"/>
      <c r="CP80" s="100"/>
    </row>
    <row r="81" spans="22:94" ht="17" thickBot="1">
      <c r="V81" s="4"/>
      <c r="W81" s="11"/>
      <c r="X81" s="36"/>
      <c r="Y81" s="36"/>
      <c r="Z81" s="32"/>
      <c r="AA81" s="41"/>
      <c r="AB81" s="36"/>
      <c r="AC81" s="37"/>
      <c r="AD81" s="36"/>
      <c r="AE81" s="38"/>
      <c r="AF81" s="38"/>
      <c r="AG81" s="40"/>
      <c r="AH81" s="41"/>
      <c r="AI81" s="4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73"/>
      <c r="BS81" s="100"/>
      <c r="BT81" s="168"/>
      <c r="BU81" s="168"/>
      <c r="BV81" s="168"/>
      <c r="BW81" s="168"/>
      <c r="BX81" s="169"/>
      <c r="BY81" s="171"/>
      <c r="BZ81" s="168"/>
      <c r="CA81" s="168"/>
      <c r="CB81" s="100"/>
      <c r="CC81" s="157"/>
      <c r="CD81" s="100"/>
      <c r="CE81" s="168"/>
      <c r="CF81" s="168"/>
      <c r="CG81" s="168"/>
      <c r="CH81" s="168"/>
      <c r="CI81" s="169"/>
      <c r="CJ81" s="171"/>
      <c r="CK81" s="168"/>
      <c r="CL81" s="168"/>
      <c r="CM81" s="100"/>
      <c r="CN81" s="157"/>
      <c r="CO81" s="100"/>
      <c r="CP81" s="100"/>
    </row>
    <row r="82" spans="22:94" ht="17" thickBot="1">
      <c r="V82" s="5"/>
      <c r="W82" s="11"/>
      <c r="X82" s="36"/>
      <c r="Y82" s="36"/>
      <c r="Z82" s="32"/>
      <c r="AA82" s="41"/>
      <c r="AB82" s="36"/>
      <c r="AC82" s="37"/>
      <c r="AD82" s="36"/>
      <c r="AE82" s="38"/>
      <c r="AF82" s="38"/>
      <c r="AG82" s="40"/>
      <c r="AH82" s="41"/>
      <c r="AI82" s="4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73"/>
      <c r="BS82" s="100"/>
      <c r="BT82" s="168"/>
      <c r="BU82" s="169"/>
      <c r="BV82" s="168"/>
      <c r="BW82" s="168"/>
      <c r="BX82" s="169"/>
      <c r="BY82" s="171"/>
      <c r="BZ82" s="168"/>
      <c r="CA82" s="168"/>
      <c r="CB82" s="100"/>
      <c r="CC82" s="157"/>
      <c r="CD82" s="100"/>
      <c r="CE82" s="168"/>
      <c r="CF82" s="176"/>
      <c r="CG82" s="168"/>
      <c r="CH82" s="168"/>
      <c r="CI82" s="169"/>
      <c r="CJ82" s="171"/>
      <c r="CK82" s="168"/>
      <c r="CL82" s="168"/>
      <c r="CM82" s="100"/>
      <c r="CN82" s="157"/>
      <c r="CO82" s="100"/>
      <c r="CP82" s="100"/>
    </row>
    <row r="83" spans="22:94" ht="17" thickBot="1">
      <c r="V83" s="5"/>
      <c r="W83" s="11"/>
      <c r="X83" s="36"/>
      <c r="Y83" s="36"/>
      <c r="Z83" s="32"/>
      <c r="AA83" s="41"/>
      <c r="AB83" s="36"/>
      <c r="AC83" s="37"/>
      <c r="AD83" s="35"/>
      <c r="AE83" s="38"/>
      <c r="AF83" s="38"/>
      <c r="AG83" s="36"/>
      <c r="AH83" s="41"/>
      <c r="AI83" s="36"/>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73"/>
      <c r="BS83" s="100"/>
      <c r="BT83" s="168"/>
      <c r="BU83" s="168"/>
      <c r="BV83" s="168"/>
      <c r="BW83" s="168"/>
      <c r="BX83" s="169"/>
      <c r="BY83" s="171"/>
      <c r="BZ83" s="168"/>
      <c r="CA83" s="168"/>
      <c r="CB83" s="100"/>
      <c r="CC83" s="157"/>
      <c r="CD83" s="100"/>
      <c r="CE83" s="168"/>
      <c r="CF83" s="168"/>
      <c r="CG83" s="168"/>
      <c r="CH83" s="168"/>
      <c r="CI83" s="169"/>
      <c r="CJ83" s="171"/>
      <c r="CK83" s="168"/>
      <c r="CL83" s="168"/>
      <c r="CM83" s="100"/>
      <c r="CN83" s="157"/>
      <c r="CO83" s="100"/>
      <c r="CP83" s="100"/>
    </row>
    <row r="84" spans="22:94" ht="17" thickBot="1">
      <c r="V84" s="4"/>
      <c r="W84" s="11"/>
      <c r="X84" s="36"/>
      <c r="Y84" s="36"/>
      <c r="Z84" s="32"/>
      <c r="AA84" s="41"/>
      <c r="AB84" s="36"/>
      <c r="AC84" s="37"/>
      <c r="AD84" s="36"/>
      <c r="AE84" s="38"/>
      <c r="AF84" s="38"/>
      <c r="AG84" s="40"/>
      <c r="AH84" s="41"/>
      <c r="AI84" s="4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73"/>
      <c r="BS84" s="100"/>
      <c r="BT84" s="168"/>
      <c r="BU84" s="168"/>
      <c r="BV84" s="168"/>
      <c r="BW84" s="168"/>
      <c r="BX84" s="169"/>
      <c r="BY84" s="171"/>
      <c r="BZ84" s="168"/>
      <c r="CA84" s="168"/>
      <c r="CB84" s="100"/>
      <c r="CC84" s="157"/>
      <c r="CD84" s="100"/>
      <c r="CE84" s="168"/>
      <c r="CF84" s="168"/>
      <c r="CG84" s="168"/>
      <c r="CH84" s="168"/>
      <c r="CI84" s="169"/>
      <c r="CJ84" s="171"/>
      <c r="CK84" s="168"/>
      <c r="CL84" s="168"/>
      <c r="CM84" s="100"/>
      <c r="CN84" s="157"/>
      <c r="CO84" s="100"/>
      <c r="CP84" s="100"/>
    </row>
    <row r="85" spans="22:94" ht="17" thickBot="1">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73"/>
      <c r="BS85" s="100"/>
      <c r="BT85" s="168"/>
      <c r="BU85" s="168"/>
      <c r="BV85" s="168"/>
      <c r="BW85" s="168"/>
      <c r="BX85" s="169"/>
      <c r="BY85" s="171"/>
      <c r="BZ85" s="168"/>
      <c r="CA85" s="168"/>
      <c r="CB85" s="100"/>
      <c r="CC85" s="157"/>
      <c r="CD85" s="100"/>
      <c r="CE85" s="169"/>
      <c r="CF85" s="169"/>
      <c r="CG85" s="173"/>
      <c r="CH85" s="173"/>
      <c r="CI85" s="169"/>
      <c r="CJ85" s="171"/>
      <c r="CK85" s="168"/>
      <c r="CL85" s="168"/>
      <c r="CM85" s="100"/>
      <c r="CN85" s="157"/>
      <c r="CO85" s="100"/>
      <c r="CP85" s="100"/>
    </row>
    <row r="86" spans="22:94" ht="17" thickBot="1">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73"/>
      <c r="BS86" s="100"/>
      <c r="BT86" s="168"/>
      <c r="BU86" s="168"/>
      <c r="BV86" s="168"/>
      <c r="BW86" s="168"/>
      <c r="BX86" s="169"/>
      <c r="BY86" s="171"/>
      <c r="BZ86" s="168"/>
      <c r="CA86" s="168"/>
      <c r="CB86" s="100"/>
      <c r="CC86" s="157"/>
      <c r="CD86" s="100"/>
      <c r="CE86" s="168"/>
      <c r="CF86" s="168"/>
      <c r="CG86" s="168"/>
      <c r="CH86" s="168"/>
      <c r="CI86" s="169"/>
      <c r="CJ86" s="171"/>
      <c r="CK86" s="168"/>
      <c r="CL86" s="168"/>
      <c r="CM86" s="100"/>
      <c r="CN86" s="157"/>
      <c r="CO86" s="100"/>
      <c r="CP86" s="100"/>
    </row>
    <row r="87" spans="22:94" ht="17" thickBot="1">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73"/>
      <c r="BS87" s="100"/>
      <c r="BT87" s="168"/>
      <c r="BU87" s="168"/>
      <c r="BV87" s="168"/>
      <c r="BW87" s="168"/>
      <c r="BX87" s="169"/>
      <c r="BY87" s="171"/>
      <c r="BZ87" s="168"/>
      <c r="CA87" s="168"/>
      <c r="CB87" s="100"/>
      <c r="CC87" s="157"/>
      <c r="CD87" s="100"/>
      <c r="CE87" s="168"/>
      <c r="CF87" s="168"/>
      <c r="CG87" s="168"/>
      <c r="CH87" s="168"/>
      <c r="CI87" s="169"/>
      <c r="CJ87" s="171"/>
      <c r="CK87" s="168"/>
      <c r="CL87" s="168"/>
      <c r="CM87" s="100"/>
      <c r="CN87" s="157"/>
      <c r="CO87" s="100"/>
      <c r="CP87" s="100"/>
    </row>
    <row r="88" spans="22:94" ht="17" thickBot="1">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73"/>
      <c r="BS88" s="100"/>
      <c r="BT88" s="169"/>
      <c r="BU88" s="169"/>
      <c r="BV88" s="168"/>
      <c r="BW88" s="168"/>
      <c r="BX88" s="169"/>
      <c r="BY88" s="171"/>
      <c r="BZ88" s="168"/>
      <c r="CA88" s="168"/>
      <c r="CB88" s="100"/>
      <c r="CC88" s="157"/>
      <c r="CD88" s="100"/>
      <c r="CE88" s="168"/>
      <c r="CF88" s="176"/>
      <c r="CG88" s="168"/>
      <c r="CH88" s="168"/>
      <c r="CI88" s="169"/>
      <c r="CJ88" s="171"/>
      <c r="CK88" s="168"/>
      <c r="CL88" s="168"/>
      <c r="CM88" s="100"/>
      <c r="CN88" s="157"/>
      <c r="CO88" s="100"/>
      <c r="CP88" s="100"/>
    </row>
    <row r="89" spans="22:94" ht="17" thickBot="1">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73"/>
      <c r="BS89" s="100"/>
      <c r="BT89" s="169"/>
      <c r="BU89" s="169"/>
      <c r="BV89" s="173"/>
      <c r="BW89" s="173"/>
      <c r="BX89" s="169"/>
      <c r="BY89" s="171"/>
      <c r="BZ89" s="168"/>
      <c r="CA89" s="168"/>
      <c r="CB89" s="100"/>
      <c r="CC89" s="157"/>
      <c r="CD89" s="100"/>
      <c r="CE89" s="168"/>
      <c r="CF89" s="168"/>
      <c r="CG89" s="168"/>
      <c r="CH89" s="168"/>
      <c r="CI89" s="169"/>
      <c r="CJ89" s="171"/>
      <c r="CK89" s="168"/>
      <c r="CL89" s="168"/>
      <c r="CM89" s="100"/>
      <c r="CN89" s="157"/>
      <c r="CO89" s="100"/>
      <c r="CP89" s="100"/>
    </row>
    <row r="90" spans="22:94" ht="17" thickBot="1">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73"/>
      <c r="BS90" s="100"/>
      <c r="BT90" s="168"/>
      <c r="BU90" s="168"/>
      <c r="BV90" s="168"/>
      <c r="BW90" s="168"/>
      <c r="BX90" s="169"/>
      <c r="BY90" s="171"/>
      <c r="BZ90" s="168"/>
      <c r="CA90" s="168"/>
      <c r="CB90" s="100"/>
      <c r="CC90" s="157"/>
      <c r="CD90" s="100"/>
      <c r="CE90" s="168"/>
      <c r="CF90" s="169"/>
      <c r="CG90" s="168"/>
      <c r="CH90" s="168"/>
      <c r="CI90" s="169"/>
      <c r="CJ90" s="171"/>
      <c r="CK90" s="168"/>
      <c r="CL90" s="168"/>
      <c r="CM90" s="100"/>
      <c r="CN90" s="157"/>
      <c r="CO90" s="100"/>
      <c r="CP90" s="100"/>
    </row>
    <row r="91" spans="22:94" ht="17" thickBot="1">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73"/>
      <c r="BS91" s="100"/>
      <c r="BT91" s="168"/>
      <c r="BU91" s="168"/>
      <c r="BV91" s="168"/>
      <c r="BW91" s="168"/>
      <c r="BX91" s="169"/>
      <c r="BY91" s="171"/>
      <c r="BZ91" s="168"/>
      <c r="CA91" s="168"/>
      <c r="CB91" s="100"/>
      <c r="CC91" s="157"/>
      <c r="CD91" s="100"/>
      <c r="CE91" s="168"/>
      <c r="CF91" s="168"/>
      <c r="CG91" s="168"/>
      <c r="CH91" s="168"/>
      <c r="CI91" s="169"/>
      <c r="CJ91" s="171"/>
      <c r="CK91" s="168"/>
      <c r="CL91" s="168"/>
      <c r="CM91" s="100"/>
      <c r="CN91" s="157"/>
      <c r="CO91" s="100"/>
      <c r="CP91" s="100"/>
    </row>
    <row r="92" spans="22:94" ht="17" thickBot="1">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73"/>
      <c r="BS92" s="100"/>
      <c r="BT92" s="168"/>
      <c r="BU92" s="168"/>
      <c r="BV92" s="168"/>
      <c r="BW92" s="168"/>
      <c r="BX92" s="169"/>
      <c r="BY92" s="171"/>
      <c r="BZ92" s="168"/>
      <c r="CA92" s="168"/>
      <c r="CB92" s="100"/>
      <c r="CC92" s="157"/>
      <c r="CD92" s="100"/>
      <c r="CE92" s="168"/>
      <c r="CF92" s="168"/>
      <c r="CG92" s="168"/>
      <c r="CH92" s="168"/>
      <c r="CI92" s="169"/>
      <c r="CJ92" s="171"/>
      <c r="CK92" s="168"/>
      <c r="CL92" s="168"/>
      <c r="CM92" s="100"/>
      <c r="CN92" s="157"/>
      <c r="CO92" s="100"/>
      <c r="CP92" s="100"/>
    </row>
    <row r="93" spans="22:94" ht="17" thickBot="1">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73"/>
      <c r="BS93" s="100"/>
      <c r="BT93" s="168"/>
      <c r="BU93" s="168"/>
      <c r="BV93" s="168"/>
      <c r="BW93" s="168"/>
      <c r="BX93" s="169"/>
      <c r="BY93" s="171"/>
      <c r="BZ93" s="168"/>
      <c r="CA93" s="168"/>
      <c r="CB93" s="100"/>
      <c r="CC93" s="157"/>
      <c r="CD93" s="100"/>
      <c r="CE93" s="168"/>
      <c r="CF93" s="168"/>
      <c r="CG93" s="168"/>
      <c r="CH93" s="168"/>
      <c r="CI93" s="169"/>
      <c r="CJ93" s="171"/>
      <c r="CK93" s="168"/>
      <c r="CL93" s="168"/>
      <c r="CM93" s="100"/>
      <c r="CN93" s="157"/>
      <c r="CO93" s="100"/>
      <c r="CP93" s="100"/>
    </row>
    <row r="94" spans="22:94" ht="17" thickBot="1">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73"/>
      <c r="BS94" s="100"/>
      <c r="BT94" s="168"/>
      <c r="BU94" s="168"/>
      <c r="BV94" s="168"/>
      <c r="BW94" s="168"/>
      <c r="BX94" s="169"/>
      <c r="BY94" s="171"/>
      <c r="BZ94" s="168"/>
      <c r="CA94" s="168"/>
      <c r="CB94" s="100"/>
      <c r="CC94" s="157"/>
      <c r="CD94" s="100"/>
      <c r="CE94" s="169"/>
      <c r="CF94" s="169"/>
      <c r="CG94" s="168"/>
      <c r="CH94" s="168"/>
      <c r="CI94" s="169"/>
      <c r="CJ94" s="171"/>
      <c r="CK94" s="168"/>
      <c r="CL94" s="168"/>
      <c r="CM94" s="100"/>
      <c r="CN94" s="157"/>
      <c r="CO94" s="100"/>
      <c r="CP94" s="100"/>
    </row>
    <row r="95" spans="22:94" ht="17" thickBot="1">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73"/>
      <c r="BS95" s="100"/>
      <c r="BT95" s="168"/>
      <c r="BU95" s="168"/>
      <c r="BV95" s="177"/>
      <c r="BW95" s="177"/>
      <c r="BX95" s="169"/>
      <c r="BY95" s="171"/>
      <c r="BZ95" s="168"/>
      <c r="CA95" s="168"/>
      <c r="CB95" s="100"/>
      <c r="CC95" s="157"/>
      <c r="CD95" s="100"/>
      <c r="CE95" s="168"/>
      <c r="CF95" s="168"/>
      <c r="CG95" s="177"/>
      <c r="CH95" s="177"/>
      <c r="CI95" s="169"/>
      <c r="CJ95" s="171"/>
      <c r="CK95" s="168"/>
      <c r="CL95" s="168"/>
      <c r="CM95" s="100"/>
      <c r="CN95" s="157"/>
      <c r="CO95" s="100"/>
      <c r="CP95" s="100"/>
    </row>
    <row r="96" spans="22:94" ht="17" thickBot="1">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73"/>
      <c r="BS96" s="100"/>
      <c r="BT96" s="168"/>
      <c r="BU96" s="169"/>
      <c r="BV96" s="168"/>
      <c r="BW96" s="168"/>
      <c r="BX96" s="169"/>
      <c r="BY96" s="171"/>
      <c r="BZ96" s="168"/>
      <c r="CA96" s="168"/>
      <c r="CB96" s="100"/>
      <c r="CC96" s="157"/>
      <c r="CD96" s="100"/>
      <c r="CE96" s="168"/>
      <c r="CF96" s="169"/>
      <c r="CG96" s="168"/>
      <c r="CH96" s="168"/>
      <c r="CI96" s="169"/>
      <c r="CJ96" s="171"/>
      <c r="CK96" s="168"/>
      <c r="CL96" s="168"/>
      <c r="CM96" s="100"/>
      <c r="CN96" s="157"/>
      <c r="CO96" s="100"/>
      <c r="CP96" s="100"/>
    </row>
    <row r="97" spans="40:94">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73"/>
      <c r="BS97" s="173"/>
      <c r="BT97" s="178"/>
      <c r="BU97" s="168"/>
      <c r="BV97" s="179"/>
      <c r="BW97" s="180"/>
      <c r="BX97" s="178"/>
      <c r="BY97" s="178"/>
      <c r="BZ97" s="180"/>
      <c r="CA97" s="178"/>
      <c r="CB97" s="173"/>
      <c r="CC97" s="100"/>
      <c r="CD97" s="100"/>
      <c r="CE97" s="100"/>
      <c r="CF97" s="100"/>
      <c r="CG97" s="100"/>
      <c r="CH97" s="100"/>
      <c r="CI97" s="100"/>
      <c r="CJ97" s="100"/>
      <c r="CK97" s="100"/>
      <c r="CL97" s="100"/>
      <c r="CM97" s="100"/>
      <c r="CN97" s="100"/>
      <c r="CO97" s="100"/>
      <c r="CP97" s="100"/>
    </row>
    <row r="98" spans="40:94">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81"/>
      <c r="BU98" s="168"/>
      <c r="BV98" s="179"/>
      <c r="BW98" s="178"/>
      <c r="BX98" s="178"/>
      <c r="BY98" s="178"/>
      <c r="BZ98" s="178"/>
      <c r="CA98" s="168"/>
      <c r="CB98" s="100"/>
      <c r="CC98" s="100"/>
      <c r="CD98" s="100"/>
      <c r="CE98" s="100"/>
      <c r="CF98" s="100"/>
      <c r="CG98" s="100"/>
      <c r="CH98" s="100"/>
      <c r="CI98" s="100"/>
      <c r="CJ98" s="100"/>
      <c r="CK98" s="100"/>
      <c r="CL98" s="100"/>
      <c r="CM98" s="100"/>
      <c r="CN98" s="100"/>
      <c r="CO98" s="100"/>
      <c r="CP98" s="100"/>
    </row>
    <row r="99" spans="40:94">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81"/>
      <c r="BU99" s="181"/>
      <c r="BV99" s="179"/>
      <c r="BW99" s="178"/>
      <c r="BX99" s="168"/>
      <c r="BY99" s="181"/>
      <c r="BZ99" s="178"/>
      <c r="CA99" s="168"/>
      <c r="CB99" s="100"/>
      <c r="CC99" s="100"/>
      <c r="CD99" s="100"/>
      <c r="CE99" s="100"/>
      <c r="CF99" s="100"/>
      <c r="CG99" s="100"/>
      <c r="CH99" s="100"/>
      <c r="CI99" s="100"/>
      <c r="CJ99" s="100"/>
      <c r="CK99" s="100"/>
      <c r="CL99" s="100"/>
      <c r="CM99" s="100"/>
      <c r="CN99" s="100"/>
      <c r="CO99" s="100"/>
      <c r="CP99" s="100"/>
    </row>
    <row r="100" spans="40:94">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81"/>
      <c r="BU100" s="181"/>
      <c r="BV100" s="179"/>
      <c r="BW100" s="179"/>
      <c r="BX100" s="168"/>
      <c r="BY100" s="181"/>
      <c r="BZ100" s="178"/>
      <c r="CA100" s="168"/>
      <c r="CB100" s="100"/>
      <c r="CC100" s="100"/>
      <c r="CD100" s="100"/>
      <c r="CE100" s="100"/>
      <c r="CF100" s="100"/>
      <c r="CG100" s="100"/>
      <c r="CH100" s="100"/>
      <c r="CI100" s="100"/>
      <c r="CJ100" s="100"/>
      <c r="CK100" s="100"/>
      <c r="CL100" s="100"/>
      <c r="CM100" s="100"/>
      <c r="CN100" s="100"/>
      <c r="CO100" s="100"/>
      <c r="CP100" s="100"/>
    </row>
    <row r="101" spans="40:94">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81"/>
      <c r="BU101" s="168"/>
      <c r="BV101" s="179"/>
      <c r="BW101" s="178"/>
      <c r="BX101" s="168"/>
      <c r="BY101" s="181"/>
      <c r="BZ101" s="178"/>
      <c r="CA101" s="168"/>
      <c r="CB101" s="100"/>
      <c r="CC101" s="100"/>
      <c r="CD101" s="100"/>
      <c r="CE101" s="100"/>
      <c r="CF101" s="100"/>
      <c r="CG101" s="100"/>
      <c r="CH101" s="100"/>
      <c r="CI101" s="100"/>
      <c r="CJ101" s="100"/>
      <c r="CK101" s="100"/>
      <c r="CL101" s="100"/>
      <c r="CM101" s="100"/>
      <c r="CN101" s="100"/>
      <c r="CO101" s="100"/>
      <c r="CP101" s="100"/>
    </row>
    <row r="102" spans="40:94">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c r="CN102" s="100"/>
      <c r="CO102" s="100"/>
      <c r="CP102" s="100"/>
    </row>
  </sheetData>
  <sortState xmlns:xlrd2="http://schemas.microsoft.com/office/spreadsheetml/2017/richdata2" ref="CQ4:DE24">
    <sortCondition ref="CY4:CY24"/>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CD187-268C-874F-8DFF-2F0DDB6D46F8}">
  <dimension ref="A1:G62"/>
  <sheetViews>
    <sheetView workbookViewId="0">
      <selection activeCell="F29" sqref="F29"/>
    </sheetView>
  </sheetViews>
  <sheetFormatPr baseColWidth="10" defaultRowHeight="16"/>
  <cols>
    <col min="1" max="1" width="39.83203125" style="118" customWidth="1"/>
    <col min="2" max="16384" width="10.83203125" style="117"/>
  </cols>
  <sheetData>
    <row r="1" spans="1:7" ht="34">
      <c r="A1" s="118" t="s">
        <v>386</v>
      </c>
      <c r="B1" s="117" t="s">
        <v>385</v>
      </c>
      <c r="C1" s="114" t="s">
        <v>384</v>
      </c>
      <c r="D1" s="114" t="s">
        <v>383</v>
      </c>
      <c r="E1" s="114" t="s">
        <v>125</v>
      </c>
      <c r="F1" s="117" t="s">
        <v>387</v>
      </c>
      <c r="G1" s="117" t="s">
        <v>388</v>
      </c>
    </row>
    <row r="2" spans="1:7">
      <c r="A2" s="120" t="s">
        <v>327</v>
      </c>
      <c r="B2" s="121">
        <v>1870</v>
      </c>
      <c r="C2" s="121">
        <v>1870</v>
      </c>
      <c r="D2" s="122"/>
      <c r="E2" s="122"/>
      <c r="F2" s="128">
        <v>0.57999999999999996</v>
      </c>
      <c r="G2" s="122">
        <f>F2*10^6</f>
        <v>580000</v>
      </c>
    </row>
    <row r="3" spans="1:7">
      <c r="A3" s="120" t="s">
        <v>328</v>
      </c>
      <c r="B3" s="121" t="s">
        <v>302</v>
      </c>
      <c r="C3" s="121">
        <f>(D3+E3)/2</f>
        <v>1860</v>
      </c>
      <c r="D3" s="121">
        <v>1880</v>
      </c>
      <c r="E3" s="121">
        <v>1840</v>
      </c>
      <c r="F3" s="123">
        <v>0.04</v>
      </c>
      <c r="G3" s="122">
        <f t="shared" ref="G3:G56" si="0">F3*10^6</f>
        <v>40000</v>
      </c>
    </row>
    <row r="4" spans="1:7">
      <c r="A4" s="120" t="s">
        <v>329</v>
      </c>
      <c r="B4" s="121" t="s">
        <v>303</v>
      </c>
      <c r="C4" s="121">
        <f>(D4+E4)/2</f>
        <v>1877.5</v>
      </c>
      <c r="D4" s="121">
        <v>1885</v>
      </c>
      <c r="E4" s="121">
        <v>1870</v>
      </c>
      <c r="F4" s="128">
        <v>0.2</v>
      </c>
      <c r="G4" s="122">
        <f t="shared" si="0"/>
        <v>200000</v>
      </c>
    </row>
    <row r="5" spans="1:7">
      <c r="A5" s="120" t="s">
        <v>330</v>
      </c>
      <c r="B5" s="121" t="s">
        <v>304</v>
      </c>
      <c r="C5" s="121">
        <f>(D5+E5)/2</f>
        <v>1880</v>
      </c>
      <c r="D5" s="121">
        <v>1890</v>
      </c>
      <c r="E5" s="121">
        <v>1870</v>
      </c>
      <c r="F5" s="128">
        <v>0.21</v>
      </c>
      <c r="G5" s="122">
        <f t="shared" si="0"/>
        <v>210000</v>
      </c>
    </row>
    <row r="6" spans="1:7">
      <c r="A6" s="120" t="s">
        <v>331</v>
      </c>
      <c r="B6" s="121">
        <v>1880</v>
      </c>
      <c r="C6" s="121">
        <v>1880</v>
      </c>
      <c r="D6" s="121"/>
      <c r="E6" s="121"/>
      <c r="F6" s="127">
        <v>0.18</v>
      </c>
      <c r="G6" s="122">
        <f t="shared" si="0"/>
        <v>180000</v>
      </c>
    </row>
    <row r="7" spans="1:7">
      <c r="A7" s="120" t="s">
        <v>332</v>
      </c>
      <c r="B7" s="121">
        <v>1890</v>
      </c>
      <c r="C7" s="121">
        <v>1890</v>
      </c>
      <c r="D7" s="121"/>
      <c r="E7" s="121"/>
      <c r="F7" s="123" t="s">
        <v>305</v>
      </c>
      <c r="G7" s="122"/>
    </row>
    <row r="8" spans="1:7">
      <c r="A8" s="120" t="s">
        <v>333</v>
      </c>
      <c r="B8" s="121">
        <v>1890</v>
      </c>
      <c r="C8" s="121">
        <v>1890</v>
      </c>
      <c r="D8" s="121"/>
      <c r="E8" s="121"/>
      <c r="F8" s="127">
        <v>0.18</v>
      </c>
      <c r="G8" s="122">
        <f t="shared" si="0"/>
        <v>180000</v>
      </c>
    </row>
    <row r="9" spans="1:7">
      <c r="A9" s="120" t="s">
        <v>334</v>
      </c>
      <c r="B9" s="121">
        <v>1890</v>
      </c>
      <c r="C9" s="121">
        <v>1890</v>
      </c>
      <c r="D9" s="121"/>
      <c r="E9" s="121"/>
      <c r="F9" s="123" t="s">
        <v>305</v>
      </c>
      <c r="G9" s="122"/>
    </row>
    <row r="10" spans="1:7">
      <c r="A10" s="120" t="s">
        <v>335</v>
      </c>
      <c r="B10" s="121">
        <v>1880</v>
      </c>
      <c r="C10" s="121">
        <v>1880</v>
      </c>
      <c r="D10" s="121"/>
      <c r="E10" s="121"/>
      <c r="F10" s="128">
        <v>1.5</v>
      </c>
      <c r="G10" s="122">
        <f t="shared" si="0"/>
        <v>1500000</v>
      </c>
    </row>
    <row r="11" spans="1:7">
      <c r="A11" s="120" t="s">
        <v>336</v>
      </c>
      <c r="B11" s="121">
        <v>1880</v>
      </c>
      <c r="C11" s="121">
        <v>1880</v>
      </c>
      <c r="D11" s="121"/>
      <c r="E11" s="121"/>
      <c r="F11" s="123" t="s">
        <v>305</v>
      </c>
      <c r="G11" s="122"/>
    </row>
    <row r="12" spans="1:7">
      <c r="A12" s="120" t="s">
        <v>337</v>
      </c>
      <c r="B12" s="121" t="s">
        <v>306</v>
      </c>
      <c r="C12" s="121">
        <f>(D12+E12)/2</f>
        <v>1900</v>
      </c>
      <c r="D12" s="121">
        <v>1950</v>
      </c>
      <c r="E12" s="121">
        <v>1850</v>
      </c>
      <c r="F12" s="123" t="s">
        <v>305</v>
      </c>
      <c r="G12" s="122"/>
    </row>
    <row r="13" spans="1:7">
      <c r="A13" s="120" t="s">
        <v>338</v>
      </c>
      <c r="B13" s="121">
        <v>1900</v>
      </c>
      <c r="C13" s="121">
        <v>1900</v>
      </c>
      <c r="D13" s="121"/>
      <c r="E13" s="121"/>
      <c r="F13" s="123">
        <v>0.04</v>
      </c>
      <c r="G13" s="122">
        <f t="shared" si="0"/>
        <v>40000</v>
      </c>
    </row>
    <row r="14" spans="1:7">
      <c r="A14" s="120" t="s">
        <v>339</v>
      </c>
      <c r="B14" s="121" t="s">
        <v>307</v>
      </c>
      <c r="C14" s="121">
        <f>(D14+E14)/2</f>
        <v>1920</v>
      </c>
      <c r="D14" s="121">
        <f>1920+50</f>
        <v>1970</v>
      </c>
      <c r="E14" s="121">
        <f>1920-50</f>
        <v>1870</v>
      </c>
      <c r="F14" s="123">
        <v>7.0000000000000007E-2</v>
      </c>
      <c r="G14" s="122">
        <f t="shared" si="0"/>
        <v>70000</v>
      </c>
    </row>
    <row r="15" spans="1:7">
      <c r="A15" s="120" t="s">
        <v>340</v>
      </c>
      <c r="B15" s="121" t="s">
        <v>308</v>
      </c>
      <c r="C15" s="121">
        <f>(D15+E15)/2</f>
        <v>1920</v>
      </c>
      <c r="D15" s="121">
        <v>1930</v>
      </c>
      <c r="E15" s="121">
        <v>1910</v>
      </c>
      <c r="F15" s="128">
        <v>0.27</v>
      </c>
      <c r="G15" s="122">
        <f t="shared" si="0"/>
        <v>270000</v>
      </c>
    </row>
    <row r="16" spans="1:7">
      <c r="A16" s="120" t="s">
        <v>341</v>
      </c>
      <c r="B16" s="121">
        <v>1915</v>
      </c>
      <c r="C16" s="121">
        <v>1915</v>
      </c>
      <c r="D16" s="121"/>
      <c r="E16" s="121"/>
      <c r="F16" s="123" t="s">
        <v>305</v>
      </c>
      <c r="G16" s="122"/>
    </row>
    <row r="17" spans="1:7">
      <c r="A17" s="120" t="s">
        <v>342</v>
      </c>
      <c r="B17" s="121">
        <v>1950</v>
      </c>
      <c r="C17" s="121">
        <v>1950</v>
      </c>
      <c r="D17" s="121"/>
      <c r="E17" s="121"/>
      <c r="F17" s="123" t="s">
        <v>305</v>
      </c>
      <c r="G17" s="122"/>
    </row>
    <row r="18" spans="1:7">
      <c r="A18" s="120" t="s">
        <v>343</v>
      </c>
      <c r="B18" s="121" t="s">
        <v>309</v>
      </c>
      <c r="C18" s="121">
        <f>(D18+E18)/2</f>
        <v>1945</v>
      </c>
      <c r="D18" s="121">
        <v>1960</v>
      </c>
      <c r="E18" s="121">
        <v>1930</v>
      </c>
      <c r="F18" s="123">
        <v>0.03</v>
      </c>
      <c r="G18" s="122">
        <f t="shared" si="0"/>
        <v>30000</v>
      </c>
    </row>
    <row r="19" spans="1:7">
      <c r="A19" s="120" t="s">
        <v>344</v>
      </c>
      <c r="B19" s="121">
        <v>1970</v>
      </c>
      <c r="C19" s="121">
        <v>1970</v>
      </c>
      <c r="D19" s="121"/>
      <c r="E19" s="121"/>
      <c r="F19" s="123">
        <v>0.02</v>
      </c>
      <c r="G19" s="122">
        <f t="shared" si="0"/>
        <v>20000</v>
      </c>
    </row>
    <row r="20" spans="1:7">
      <c r="A20" s="120" t="s">
        <v>345</v>
      </c>
      <c r="B20" s="121">
        <v>1970</v>
      </c>
      <c r="C20" s="121">
        <v>1970</v>
      </c>
      <c r="D20" s="121"/>
      <c r="E20" s="121"/>
      <c r="F20" s="128">
        <v>0.5</v>
      </c>
      <c r="G20" s="122">
        <f t="shared" si="0"/>
        <v>500000</v>
      </c>
    </row>
    <row r="21" spans="1:7">
      <c r="A21" s="120" t="s">
        <v>346</v>
      </c>
      <c r="B21" s="121">
        <v>1970</v>
      </c>
      <c r="C21" s="121">
        <v>1970</v>
      </c>
      <c r="D21" s="121"/>
      <c r="E21" s="121"/>
      <c r="F21" s="123">
        <v>0.01</v>
      </c>
      <c r="G21" s="122">
        <f t="shared" si="0"/>
        <v>10000</v>
      </c>
    </row>
    <row r="22" spans="1:7">
      <c r="A22" s="120" t="s">
        <v>347</v>
      </c>
      <c r="B22" s="121" t="s">
        <v>310</v>
      </c>
      <c r="C22" s="121">
        <f>(D22+E22)/2</f>
        <v>1970</v>
      </c>
      <c r="D22" s="121">
        <v>1980</v>
      </c>
      <c r="E22" s="121">
        <v>1960</v>
      </c>
      <c r="F22" s="128">
        <v>0.2</v>
      </c>
      <c r="G22" s="122">
        <f t="shared" si="0"/>
        <v>200000</v>
      </c>
    </row>
    <row r="23" spans="1:7">
      <c r="A23" s="120" t="s">
        <v>348</v>
      </c>
      <c r="B23" s="121" t="s">
        <v>311</v>
      </c>
      <c r="C23" s="121">
        <f>(D23+E23)/2</f>
        <v>1980</v>
      </c>
      <c r="D23" s="121">
        <v>1985</v>
      </c>
      <c r="E23" s="121">
        <v>1975</v>
      </c>
      <c r="F23" s="123" t="s">
        <v>305</v>
      </c>
      <c r="G23" s="122"/>
    </row>
    <row r="24" spans="1:7">
      <c r="A24" s="120" t="s">
        <v>349</v>
      </c>
      <c r="B24" s="121">
        <v>1998</v>
      </c>
      <c r="C24" s="121">
        <v>1998</v>
      </c>
      <c r="D24" s="121"/>
      <c r="E24" s="121"/>
      <c r="F24" s="128">
        <v>0.44</v>
      </c>
      <c r="G24" s="122">
        <f t="shared" si="0"/>
        <v>440000</v>
      </c>
    </row>
    <row r="25" spans="1:7">
      <c r="A25" s="120" t="s">
        <v>350</v>
      </c>
      <c r="B25" s="121">
        <v>2010</v>
      </c>
      <c r="C25" s="121">
        <v>2010</v>
      </c>
      <c r="D25" s="121"/>
      <c r="E25" s="121"/>
      <c r="F25" s="123">
        <v>0.01</v>
      </c>
      <c r="G25" s="122">
        <f t="shared" si="0"/>
        <v>10000</v>
      </c>
    </row>
    <row r="26" spans="1:7">
      <c r="A26" s="120" t="s">
        <v>351</v>
      </c>
      <c r="B26" s="121" t="s">
        <v>312</v>
      </c>
      <c r="C26" s="121">
        <f>(D26+E26)/2</f>
        <v>2025</v>
      </c>
      <c r="D26" s="121">
        <v>2027</v>
      </c>
      <c r="E26" s="121">
        <v>2023</v>
      </c>
      <c r="F26" s="123">
        <v>7.0000000000000007E-2</v>
      </c>
      <c r="G26" s="122">
        <f t="shared" si="0"/>
        <v>70000</v>
      </c>
    </row>
    <row r="27" spans="1:7">
      <c r="A27" s="120" t="s">
        <v>352</v>
      </c>
      <c r="B27" s="121">
        <v>2031</v>
      </c>
      <c r="C27" s="121">
        <v>2031</v>
      </c>
      <c r="D27" s="121"/>
      <c r="E27" s="121"/>
      <c r="F27" s="123" t="s">
        <v>305</v>
      </c>
      <c r="G27" s="122"/>
    </row>
    <row r="28" spans="1:7">
      <c r="A28" s="120" t="s">
        <v>353</v>
      </c>
      <c r="B28" s="121" t="s">
        <v>313</v>
      </c>
      <c r="C28" s="121">
        <f>(D28+E28)/2</f>
        <v>2040</v>
      </c>
      <c r="D28" s="121">
        <v>2045</v>
      </c>
      <c r="E28" s="121">
        <v>2035</v>
      </c>
      <c r="F28" s="123" t="s">
        <v>305</v>
      </c>
      <c r="G28" s="122"/>
    </row>
    <row r="29" spans="1:7">
      <c r="A29" s="120" t="s">
        <v>354</v>
      </c>
      <c r="B29" s="121" t="s">
        <v>314</v>
      </c>
      <c r="C29" s="121">
        <f>(D29+E29)/2</f>
        <v>2040</v>
      </c>
      <c r="D29" s="121">
        <v>2050</v>
      </c>
      <c r="E29" s="121">
        <v>2030</v>
      </c>
      <c r="F29" s="123">
        <v>0.09</v>
      </c>
      <c r="G29" s="122">
        <f t="shared" si="0"/>
        <v>90000</v>
      </c>
    </row>
    <row r="30" spans="1:7">
      <c r="A30" s="120" t="s">
        <v>355</v>
      </c>
      <c r="B30" s="121">
        <v>2060</v>
      </c>
      <c r="C30" s="121">
        <v>2060</v>
      </c>
      <c r="D30" s="121"/>
      <c r="E30" s="121"/>
      <c r="F30" s="128">
        <v>0.39</v>
      </c>
      <c r="G30" s="122">
        <f t="shared" si="0"/>
        <v>390000</v>
      </c>
    </row>
    <row r="31" spans="1:7">
      <c r="A31" s="120" t="s">
        <v>356</v>
      </c>
      <c r="B31" s="121">
        <v>2060</v>
      </c>
      <c r="C31" s="121">
        <v>2060</v>
      </c>
      <c r="D31" s="121"/>
      <c r="E31" s="121"/>
      <c r="F31" s="123" t="s">
        <v>305</v>
      </c>
      <c r="G31" s="122"/>
    </row>
    <row r="32" spans="1:7">
      <c r="A32" s="120" t="s">
        <v>357</v>
      </c>
      <c r="B32" s="121">
        <v>2060</v>
      </c>
      <c r="C32" s="121">
        <v>2060</v>
      </c>
      <c r="D32" s="121"/>
      <c r="E32" s="121"/>
      <c r="F32" s="123">
        <v>0.01</v>
      </c>
      <c r="G32" s="122">
        <f t="shared" si="0"/>
        <v>10000</v>
      </c>
    </row>
    <row r="33" spans="1:7">
      <c r="A33" s="120" t="s">
        <v>358</v>
      </c>
      <c r="B33" s="121">
        <v>2070</v>
      </c>
      <c r="C33" s="121">
        <v>2070</v>
      </c>
      <c r="D33" s="121"/>
      <c r="E33" s="121"/>
      <c r="F33" s="123">
        <v>7.0000000000000007E-2</v>
      </c>
      <c r="G33" s="122">
        <f t="shared" si="0"/>
        <v>70000</v>
      </c>
    </row>
    <row r="34" spans="1:7">
      <c r="A34" s="120" t="s">
        <v>359</v>
      </c>
      <c r="B34" s="121">
        <v>2070</v>
      </c>
      <c r="C34" s="121">
        <v>2070</v>
      </c>
      <c r="D34" s="121"/>
      <c r="E34" s="121"/>
      <c r="F34" s="128">
        <v>0.2</v>
      </c>
      <c r="G34" s="122">
        <f t="shared" si="0"/>
        <v>200000</v>
      </c>
    </row>
    <row r="35" spans="1:7">
      <c r="A35" s="120" t="s">
        <v>360</v>
      </c>
      <c r="B35" s="121">
        <v>2075</v>
      </c>
      <c r="C35" s="121">
        <v>2075</v>
      </c>
      <c r="D35" s="121"/>
      <c r="E35" s="121"/>
      <c r="F35" s="127">
        <v>0.17</v>
      </c>
      <c r="G35" s="122">
        <f t="shared" si="0"/>
        <v>170000</v>
      </c>
    </row>
    <row r="36" spans="1:7">
      <c r="A36" s="120" t="s">
        <v>361</v>
      </c>
      <c r="B36" s="121">
        <v>2070</v>
      </c>
      <c r="C36" s="121">
        <v>2070</v>
      </c>
      <c r="D36" s="121"/>
      <c r="E36" s="121"/>
      <c r="F36" s="123" t="s">
        <v>305</v>
      </c>
      <c r="G36" s="122"/>
    </row>
    <row r="37" spans="1:7">
      <c r="A37" s="120" t="s">
        <v>362</v>
      </c>
      <c r="B37" s="121">
        <v>2080</v>
      </c>
      <c r="C37" s="121">
        <v>2080</v>
      </c>
      <c r="D37" s="121"/>
      <c r="E37" s="121"/>
      <c r="F37" s="123">
        <v>7.0000000000000007E-2</v>
      </c>
      <c r="G37" s="122">
        <f t="shared" si="0"/>
        <v>70000</v>
      </c>
    </row>
    <row r="38" spans="1:7">
      <c r="A38" s="120" t="s">
        <v>363</v>
      </c>
      <c r="B38" s="121" t="s">
        <v>315</v>
      </c>
      <c r="C38" s="121">
        <f>(D38+E38)/2</f>
        <v>2080</v>
      </c>
      <c r="D38" s="121">
        <v>2090</v>
      </c>
      <c r="E38" s="121">
        <v>2070</v>
      </c>
      <c r="F38" s="123">
        <v>0.02</v>
      </c>
      <c r="G38" s="122">
        <f t="shared" si="0"/>
        <v>20000</v>
      </c>
    </row>
    <row r="39" spans="1:7">
      <c r="A39" s="120" t="s">
        <v>364</v>
      </c>
      <c r="B39" s="121">
        <v>2090</v>
      </c>
      <c r="C39" s="121">
        <v>2090</v>
      </c>
      <c r="D39" s="121"/>
      <c r="E39" s="121"/>
      <c r="F39" s="123" t="s">
        <v>305</v>
      </c>
      <c r="G39" s="122"/>
    </row>
    <row r="40" spans="1:7">
      <c r="A40" s="120" t="s">
        <v>365</v>
      </c>
      <c r="B40" s="121" t="s">
        <v>316</v>
      </c>
      <c r="C40" s="121">
        <f>(D40+E40)/2</f>
        <v>2090</v>
      </c>
      <c r="D40" s="121">
        <v>2100</v>
      </c>
      <c r="E40" s="121">
        <v>2080</v>
      </c>
      <c r="F40" s="123">
        <v>0.01</v>
      </c>
      <c r="G40" s="122">
        <f t="shared" si="0"/>
        <v>10000</v>
      </c>
    </row>
    <row r="41" spans="1:7">
      <c r="A41" s="120" t="s">
        <v>366</v>
      </c>
      <c r="B41" s="121" t="s">
        <v>317</v>
      </c>
      <c r="C41" s="121">
        <f>(D41+E41)/2</f>
        <v>2100</v>
      </c>
      <c r="D41" s="121">
        <f>2100+50</f>
        <v>2150</v>
      </c>
      <c r="E41" s="121">
        <f>2100-50</f>
        <v>2050</v>
      </c>
      <c r="F41" s="123" t="s">
        <v>305</v>
      </c>
      <c r="G41" s="122"/>
    </row>
    <row r="42" spans="1:7">
      <c r="A42" s="120" t="s">
        <v>367</v>
      </c>
      <c r="B42" s="121" t="s">
        <v>318</v>
      </c>
      <c r="C42" s="121">
        <f>(D42+E42)/2</f>
        <v>2113.5</v>
      </c>
      <c r="D42" s="121">
        <v>2116</v>
      </c>
      <c r="E42" s="121">
        <v>2111</v>
      </c>
      <c r="F42" s="127">
        <v>0.14000000000000001</v>
      </c>
      <c r="G42" s="122">
        <f t="shared" si="0"/>
        <v>140000</v>
      </c>
    </row>
    <row r="43" spans="1:7">
      <c r="A43" s="120" t="s">
        <v>368</v>
      </c>
      <c r="B43" s="121">
        <v>2115</v>
      </c>
      <c r="C43" s="121">
        <v>2115</v>
      </c>
      <c r="D43" s="121"/>
      <c r="E43" s="121"/>
      <c r="F43" s="123">
        <v>0.02</v>
      </c>
      <c r="G43" s="122">
        <f t="shared" si="0"/>
        <v>20000</v>
      </c>
    </row>
    <row r="44" spans="1:7">
      <c r="A44" s="120" t="s">
        <v>369</v>
      </c>
      <c r="B44" s="121">
        <v>2115</v>
      </c>
      <c r="C44" s="121">
        <v>2115</v>
      </c>
      <c r="D44" s="121"/>
      <c r="E44" s="121"/>
      <c r="F44" s="127">
        <v>0.11</v>
      </c>
      <c r="G44" s="122">
        <f t="shared" si="0"/>
        <v>110000</v>
      </c>
    </row>
    <row r="45" spans="1:7">
      <c r="A45" s="120" t="s">
        <v>370</v>
      </c>
      <c r="B45" s="121" t="s">
        <v>319</v>
      </c>
      <c r="C45" s="121">
        <f>(D45+E45)/2</f>
        <v>2107.5</v>
      </c>
      <c r="D45" s="121">
        <v>2115</v>
      </c>
      <c r="E45" s="121">
        <v>2100</v>
      </c>
      <c r="F45" s="123" t="s">
        <v>305</v>
      </c>
      <c r="G45" s="122"/>
    </row>
    <row r="46" spans="1:7">
      <c r="A46" s="120" t="s">
        <v>371</v>
      </c>
      <c r="B46" s="121" t="s">
        <v>320</v>
      </c>
      <c r="C46" s="121">
        <f>(D46+E46)/2</f>
        <v>2110</v>
      </c>
      <c r="D46" s="121">
        <v>2120</v>
      </c>
      <c r="E46" s="121">
        <v>2100</v>
      </c>
      <c r="F46" s="127">
        <v>0.16</v>
      </c>
      <c r="G46" s="122">
        <f t="shared" si="0"/>
        <v>160000</v>
      </c>
    </row>
    <row r="47" spans="1:7">
      <c r="A47" s="120" t="s">
        <v>372</v>
      </c>
      <c r="B47" s="121" t="s">
        <v>321</v>
      </c>
      <c r="C47" s="121">
        <f>(D47+E47)/2</f>
        <v>2117</v>
      </c>
      <c r="D47" s="121">
        <v>2126</v>
      </c>
      <c r="E47" s="121">
        <v>2108</v>
      </c>
      <c r="F47" s="123">
        <v>0.04</v>
      </c>
      <c r="G47" s="122">
        <f t="shared" si="0"/>
        <v>40000</v>
      </c>
    </row>
    <row r="48" spans="1:7">
      <c r="A48" s="120" t="s">
        <v>373</v>
      </c>
      <c r="B48" s="121" t="s">
        <v>322</v>
      </c>
      <c r="C48" s="121">
        <f>(D48+E48)/2</f>
        <v>2125</v>
      </c>
      <c r="D48" s="121">
        <v>2140</v>
      </c>
      <c r="E48" s="121">
        <v>2110</v>
      </c>
      <c r="F48" s="123">
        <v>0.01</v>
      </c>
      <c r="G48" s="122">
        <f t="shared" si="0"/>
        <v>10000</v>
      </c>
    </row>
    <row r="49" spans="1:7">
      <c r="A49" s="120" t="s">
        <v>374</v>
      </c>
      <c r="B49" s="121">
        <v>2150</v>
      </c>
      <c r="C49" s="121">
        <v>2150</v>
      </c>
      <c r="D49" s="121"/>
      <c r="E49" s="121"/>
      <c r="F49" s="123" t="s">
        <v>305</v>
      </c>
      <c r="G49" s="122"/>
    </row>
    <row r="50" spans="1:7">
      <c r="A50" s="120" t="s">
        <v>375</v>
      </c>
      <c r="B50" s="121">
        <v>2150</v>
      </c>
      <c r="C50" s="121">
        <v>2150</v>
      </c>
      <c r="D50" s="121"/>
      <c r="E50" s="121"/>
      <c r="F50" s="123">
        <v>0.04</v>
      </c>
      <c r="G50" s="122">
        <f t="shared" si="0"/>
        <v>40000</v>
      </c>
    </row>
    <row r="51" spans="1:7">
      <c r="A51" s="120" t="s">
        <v>376</v>
      </c>
      <c r="B51" s="121">
        <v>2150</v>
      </c>
      <c r="C51" s="121">
        <v>2150</v>
      </c>
      <c r="D51" s="121"/>
      <c r="E51" s="121"/>
      <c r="F51" s="123">
        <v>7.0000000000000007E-2</v>
      </c>
      <c r="G51" s="122">
        <f t="shared" si="0"/>
        <v>70000</v>
      </c>
    </row>
    <row r="52" spans="1:7">
      <c r="A52" s="120" t="s">
        <v>377</v>
      </c>
      <c r="B52" s="121" t="s">
        <v>323</v>
      </c>
      <c r="C52" s="121">
        <f>(D52+E52)/2</f>
        <v>2169.5</v>
      </c>
      <c r="D52" s="121">
        <v>2172</v>
      </c>
      <c r="E52" s="121">
        <v>2167</v>
      </c>
      <c r="F52" s="128">
        <v>0.45</v>
      </c>
      <c r="G52" s="122">
        <f t="shared" si="0"/>
        <v>450000</v>
      </c>
    </row>
    <row r="53" spans="1:7">
      <c r="A53" s="120" t="s">
        <v>378</v>
      </c>
      <c r="B53" s="121" t="s">
        <v>324</v>
      </c>
      <c r="C53" s="121">
        <f>(D53+E53)/2</f>
        <v>2162.5</v>
      </c>
      <c r="D53" s="121">
        <v>2155</v>
      </c>
      <c r="E53" s="121">
        <v>2170</v>
      </c>
      <c r="F53" s="123" t="s">
        <v>305</v>
      </c>
      <c r="G53" s="122"/>
    </row>
    <row r="54" spans="1:7">
      <c r="A54" s="120" t="s">
        <v>379</v>
      </c>
      <c r="B54" s="121">
        <v>2180</v>
      </c>
      <c r="C54" s="121">
        <v>2180</v>
      </c>
      <c r="D54" s="121"/>
      <c r="E54" s="121"/>
      <c r="F54" s="128">
        <v>0.28999999999999998</v>
      </c>
      <c r="G54" s="122">
        <f t="shared" si="0"/>
        <v>290000</v>
      </c>
    </row>
    <row r="55" spans="1:7">
      <c r="A55" s="120" t="s">
        <v>380</v>
      </c>
      <c r="B55" s="121" t="s">
        <v>325</v>
      </c>
      <c r="C55" s="121">
        <f>(D55+E55)/2</f>
        <v>2186.5</v>
      </c>
      <c r="D55" s="121">
        <v>2193</v>
      </c>
      <c r="E55" s="121">
        <v>2180</v>
      </c>
      <c r="F55" s="123">
        <v>0.04</v>
      </c>
      <c r="G55" s="122">
        <f t="shared" si="0"/>
        <v>40000</v>
      </c>
    </row>
    <row r="56" spans="1:7" ht="16" customHeight="1">
      <c r="A56" s="120" t="s">
        <v>381</v>
      </c>
      <c r="B56" s="121">
        <v>2190</v>
      </c>
      <c r="C56" s="121">
        <v>2190</v>
      </c>
      <c r="D56" s="121"/>
      <c r="E56" s="121"/>
      <c r="F56" s="123">
        <v>0.04</v>
      </c>
      <c r="G56" s="122">
        <f t="shared" si="0"/>
        <v>40000</v>
      </c>
    </row>
    <row r="57" spans="1:7">
      <c r="A57" s="120" t="s">
        <v>382</v>
      </c>
      <c r="B57" s="121" t="s">
        <v>326</v>
      </c>
      <c r="C57" s="121">
        <f>(D57+E57)/2</f>
        <v>2125</v>
      </c>
      <c r="D57" s="121">
        <v>2250</v>
      </c>
      <c r="E57" s="121">
        <v>2000</v>
      </c>
      <c r="F57" s="123" t="s">
        <v>305</v>
      </c>
      <c r="G57" s="122"/>
    </row>
    <row r="59" spans="1:7">
      <c r="A59" s="119" t="s">
        <v>389</v>
      </c>
    </row>
    <row r="62" spans="1:7">
      <c r="A62" s="115"/>
      <c r="B62" s="114"/>
      <c r="C62" s="114"/>
      <c r="D62" s="114"/>
      <c r="E62" s="114"/>
      <c r="F62" s="11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D0A3-B62A-074D-A7D9-189834A354F0}">
  <dimension ref="A1:AS102"/>
  <sheetViews>
    <sheetView topLeftCell="A68" zoomScale="89" zoomScaleNormal="89" workbookViewId="0">
      <selection activeCell="E99" sqref="E99"/>
    </sheetView>
  </sheetViews>
  <sheetFormatPr baseColWidth="10" defaultRowHeight="16"/>
  <sheetData>
    <row r="1" spans="2:45">
      <c r="B1" t="s">
        <v>492</v>
      </c>
      <c r="M1" t="s">
        <v>493</v>
      </c>
      <c r="X1" t="s">
        <v>494</v>
      </c>
    </row>
    <row r="2" spans="2:45">
      <c r="B2" t="s">
        <v>79</v>
      </c>
      <c r="C2" t="s">
        <v>80</v>
      </c>
      <c r="D2" t="s">
        <v>81</v>
      </c>
      <c r="E2" t="s">
        <v>124</v>
      </c>
      <c r="F2" t="s">
        <v>125</v>
      </c>
      <c r="G2" t="s">
        <v>126</v>
      </c>
      <c r="H2" t="s">
        <v>83</v>
      </c>
      <c r="I2" t="s">
        <v>84</v>
      </c>
      <c r="J2" t="s">
        <v>85</v>
      </c>
      <c r="K2" t="s">
        <v>491</v>
      </c>
      <c r="M2" t="s">
        <v>79</v>
      </c>
      <c r="N2" t="s">
        <v>80</v>
      </c>
      <c r="O2" t="s">
        <v>81</v>
      </c>
      <c r="P2" t="s">
        <v>124</v>
      </c>
      <c r="Q2" t="s">
        <v>125</v>
      </c>
      <c r="R2" t="s">
        <v>126</v>
      </c>
      <c r="S2" t="s">
        <v>83</v>
      </c>
      <c r="T2" t="s">
        <v>84</v>
      </c>
      <c r="U2" t="s">
        <v>85</v>
      </c>
      <c r="V2" t="s">
        <v>490</v>
      </c>
      <c r="X2" t="s">
        <v>79</v>
      </c>
      <c r="Y2" t="s">
        <v>80</v>
      </c>
      <c r="Z2" t="s">
        <v>81</v>
      </c>
      <c r="AA2" t="s">
        <v>124</v>
      </c>
      <c r="AB2" t="s">
        <v>125</v>
      </c>
      <c r="AC2" t="s">
        <v>126</v>
      </c>
      <c r="AD2" t="s">
        <v>83</v>
      </c>
      <c r="AE2" t="s">
        <v>84</v>
      </c>
      <c r="AF2" t="s">
        <v>85</v>
      </c>
      <c r="AG2" t="s">
        <v>490</v>
      </c>
    </row>
    <row r="3" spans="2:45">
      <c r="B3" t="s">
        <v>54</v>
      </c>
      <c r="C3" t="s">
        <v>86</v>
      </c>
      <c r="D3">
        <v>1850</v>
      </c>
      <c r="E3">
        <v>15</v>
      </c>
      <c r="F3">
        <v>1835</v>
      </c>
      <c r="G3">
        <v>1865</v>
      </c>
      <c r="H3">
        <v>0.5</v>
      </c>
      <c r="I3">
        <v>0.5</v>
      </c>
      <c r="J3">
        <f t="shared" ref="J3:J56" si="0">I3+J4</f>
        <v>946583</v>
      </c>
      <c r="K3" s="51">
        <f t="shared" ref="K3:K56" si="1">K4+H3</f>
        <v>945162.09881860809</v>
      </c>
      <c r="M3" t="s">
        <v>54</v>
      </c>
      <c r="N3" t="s">
        <v>86</v>
      </c>
      <c r="O3">
        <v>1850</v>
      </c>
      <c r="P3">
        <v>15</v>
      </c>
      <c r="Q3">
        <v>1835</v>
      </c>
      <c r="R3" s="52">
        <v>1865</v>
      </c>
      <c r="S3">
        <v>0.5</v>
      </c>
      <c r="T3">
        <v>0.5</v>
      </c>
      <c r="U3">
        <f t="shared" ref="U3:U56" si="2">U4+T3</f>
        <v>946583</v>
      </c>
      <c r="V3" s="51">
        <f t="shared" ref="V3:V56" si="3">V4+S3</f>
        <v>945162.09881860809</v>
      </c>
      <c r="X3" t="s">
        <v>54</v>
      </c>
      <c r="Y3" t="s">
        <v>86</v>
      </c>
      <c r="Z3">
        <v>1850</v>
      </c>
      <c r="AA3">
        <v>15</v>
      </c>
      <c r="AB3">
        <v>1835</v>
      </c>
      <c r="AC3">
        <v>1865</v>
      </c>
      <c r="AD3">
        <v>0.5</v>
      </c>
      <c r="AE3">
        <v>0.5</v>
      </c>
      <c r="AF3">
        <f t="shared" ref="AF3:AF34" si="4">AF4+AE3</f>
        <v>946583</v>
      </c>
      <c r="AG3" s="51">
        <f t="shared" ref="AG3:AG34" si="5">AG4+AD3</f>
        <v>945162.09881860809</v>
      </c>
      <c r="AS3" s="51"/>
    </row>
    <row r="4" spans="2:45">
      <c r="B4" t="s">
        <v>94</v>
      </c>
      <c r="C4" t="s">
        <v>95</v>
      </c>
      <c r="D4">
        <v>1884</v>
      </c>
      <c r="E4">
        <v>29</v>
      </c>
      <c r="F4">
        <v>1855</v>
      </c>
      <c r="G4">
        <v>1913</v>
      </c>
      <c r="H4">
        <v>103.14427921859939</v>
      </c>
      <c r="I4">
        <v>0.5</v>
      </c>
      <c r="J4">
        <f t="shared" si="0"/>
        <v>946582.5</v>
      </c>
      <c r="K4" s="51">
        <f t="shared" si="1"/>
        <v>945161.59881860809</v>
      </c>
      <c r="M4" t="s">
        <v>90</v>
      </c>
      <c r="N4" t="s">
        <v>91</v>
      </c>
      <c r="O4">
        <v>1877.8</v>
      </c>
      <c r="P4">
        <v>1.3</v>
      </c>
      <c r="Q4">
        <v>1876.5</v>
      </c>
      <c r="R4" s="52">
        <v>1879.1</v>
      </c>
      <c r="S4">
        <v>61373.667884693532</v>
      </c>
      <c r="T4">
        <v>100000</v>
      </c>
      <c r="U4">
        <f t="shared" si="2"/>
        <v>946582.5</v>
      </c>
      <c r="V4" s="51">
        <f t="shared" si="3"/>
        <v>945161.59881860809</v>
      </c>
      <c r="X4" t="s">
        <v>87</v>
      </c>
      <c r="Y4" t="s">
        <v>88</v>
      </c>
      <c r="Z4">
        <v>1877.52</v>
      </c>
      <c r="AA4">
        <v>8.74</v>
      </c>
      <c r="AB4">
        <v>1868.78</v>
      </c>
      <c r="AC4">
        <v>1886.26</v>
      </c>
      <c r="AD4">
        <v>1255.6358317938</v>
      </c>
      <c r="AE4">
        <v>10000</v>
      </c>
      <c r="AF4">
        <f t="shared" si="4"/>
        <v>946582.5</v>
      </c>
      <c r="AG4" s="51">
        <f t="shared" si="5"/>
        <v>945161.59881860809</v>
      </c>
      <c r="AS4" s="51"/>
    </row>
    <row r="5" spans="2:45">
      <c r="B5" t="s">
        <v>96</v>
      </c>
      <c r="C5" t="s">
        <v>97</v>
      </c>
      <c r="D5">
        <v>1880</v>
      </c>
      <c r="E5">
        <v>25</v>
      </c>
      <c r="F5">
        <v>1855</v>
      </c>
      <c r="G5">
        <v>1905</v>
      </c>
      <c r="H5">
        <v>0.5</v>
      </c>
      <c r="I5">
        <v>0.5</v>
      </c>
      <c r="J5">
        <f t="shared" si="0"/>
        <v>946582</v>
      </c>
      <c r="K5" s="51">
        <f t="shared" si="1"/>
        <v>945058.45453938947</v>
      </c>
      <c r="M5" t="s">
        <v>87</v>
      </c>
      <c r="N5" t="s">
        <v>88</v>
      </c>
      <c r="O5">
        <v>1877.52</v>
      </c>
      <c r="P5">
        <v>8.74</v>
      </c>
      <c r="Q5">
        <v>1868.78</v>
      </c>
      <c r="R5" s="52">
        <v>1886.26</v>
      </c>
      <c r="S5">
        <v>1255.6358317938</v>
      </c>
      <c r="T5">
        <v>10000</v>
      </c>
      <c r="U5">
        <f t="shared" si="2"/>
        <v>846582.5</v>
      </c>
      <c r="V5" s="51">
        <f t="shared" si="3"/>
        <v>883787.93093391461</v>
      </c>
      <c r="Y5" t="s">
        <v>89</v>
      </c>
      <c r="Z5">
        <v>1877.52</v>
      </c>
      <c r="AA5">
        <v>8.74</v>
      </c>
      <c r="AB5">
        <v>1868.78</v>
      </c>
      <c r="AC5" s="52">
        <v>1897</v>
      </c>
      <c r="AD5">
        <v>11000.786024802846</v>
      </c>
      <c r="AF5">
        <f t="shared" si="4"/>
        <v>936582.5</v>
      </c>
      <c r="AG5" s="51">
        <f t="shared" si="5"/>
        <v>943905.96298681432</v>
      </c>
      <c r="AS5" s="51"/>
    </row>
    <row r="6" spans="2:45">
      <c r="B6" t="s">
        <v>87</v>
      </c>
      <c r="C6" t="s">
        <v>88</v>
      </c>
      <c r="D6">
        <v>1877.52</v>
      </c>
      <c r="E6">
        <v>8.74</v>
      </c>
      <c r="F6">
        <v>1868.78</v>
      </c>
      <c r="G6">
        <v>1886.26</v>
      </c>
      <c r="H6">
        <v>1255.6358317938</v>
      </c>
      <c r="I6">
        <v>10000</v>
      </c>
      <c r="J6">
        <f t="shared" si="0"/>
        <v>946581.5</v>
      </c>
      <c r="K6" s="51">
        <f t="shared" si="1"/>
        <v>945057.95453938947</v>
      </c>
      <c r="N6" t="s">
        <v>99</v>
      </c>
      <c r="O6">
        <v>1887</v>
      </c>
      <c r="P6">
        <v>2</v>
      </c>
      <c r="Q6">
        <v>1883</v>
      </c>
      <c r="R6" s="52">
        <v>1897</v>
      </c>
      <c r="S6">
        <v>1119.6385121577571</v>
      </c>
      <c r="U6">
        <f t="shared" si="2"/>
        <v>836582.5</v>
      </c>
      <c r="V6" s="51">
        <f t="shared" si="3"/>
        <v>882532.29510212084</v>
      </c>
      <c r="X6" t="s">
        <v>90</v>
      </c>
      <c r="Y6" t="s">
        <v>91</v>
      </c>
      <c r="Z6">
        <v>1877.8</v>
      </c>
      <c r="AA6">
        <v>1.3</v>
      </c>
      <c r="AB6">
        <v>1876.5</v>
      </c>
      <c r="AC6" s="52">
        <v>1879.1</v>
      </c>
      <c r="AD6">
        <v>61373.667884693532</v>
      </c>
      <c r="AE6">
        <v>100000</v>
      </c>
      <c r="AF6">
        <f t="shared" si="4"/>
        <v>936582.5</v>
      </c>
      <c r="AG6" s="51">
        <f t="shared" si="5"/>
        <v>932905.17696201149</v>
      </c>
      <c r="AS6" s="51"/>
    </row>
    <row r="7" spans="2:45">
      <c r="C7" t="s">
        <v>89</v>
      </c>
      <c r="D7">
        <v>1877.52</v>
      </c>
      <c r="E7">
        <v>8.74</v>
      </c>
      <c r="F7">
        <v>1868.78</v>
      </c>
      <c r="G7">
        <v>1886.26</v>
      </c>
      <c r="H7">
        <v>11000.786024802846</v>
      </c>
      <c r="J7">
        <f t="shared" si="0"/>
        <v>936581.5</v>
      </c>
      <c r="K7" s="51">
        <f t="shared" si="1"/>
        <v>943802.3187075957</v>
      </c>
      <c r="N7" t="s">
        <v>89</v>
      </c>
      <c r="O7">
        <v>1877.52</v>
      </c>
      <c r="P7">
        <v>8.74</v>
      </c>
      <c r="Q7">
        <v>1868.78</v>
      </c>
      <c r="R7" s="52">
        <v>1897</v>
      </c>
      <c r="S7">
        <v>11000.786024802846</v>
      </c>
      <c r="U7">
        <f t="shared" si="2"/>
        <v>836582.5</v>
      </c>
      <c r="V7" s="51">
        <f t="shared" si="3"/>
        <v>881412.65658996312</v>
      </c>
      <c r="X7" t="s">
        <v>92</v>
      </c>
      <c r="Y7" t="s">
        <v>93</v>
      </c>
      <c r="Z7">
        <v>1880</v>
      </c>
      <c r="AA7">
        <v>7</v>
      </c>
      <c r="AB7">
        <v>1873</v>
      </c>
      <c r="AC7">
        <v>1899</v>
      </c>
      <c r="AD7">
        <v>895.49001301234387</v>
      </c>
      <c r="AF7">
        <f t="shared" si="4"/>
        <v>836582.5</v>
      </c>
      <c r="AG7" s="51">
        <f t="shared" si="5"/>
        <v>871531.50907731801</v>
      </c>
      <c r="AS7" s="51"/>
    </row>
    <row r="8" spans="2:45">
      <c r="B8" t="s">
        <v>92</v>
      </c>
      <c r="C8" t="s">
        <v>93</v>
      </c>
      <c r="D8">
        <v>1880</v>
      </c>
      <c r="E8">
        <v>7</v>
      </c>
      <c r="F8">
        <v>1873</v>
      </c>
      <c r="G8">
        <v>1887</v>
      </c>
      <c r="H8">
        <v>895.49001301234387</v>
      </c>
      <c r="J8">
        <f t="shared" si="0"/>
        <v>936581.5</v>
      </c>
      <c r="K8" s="51">
        <f t="shared" si="1"/>
        <v>932801.53268279287</v>
      </c>
      <c r="M8" t="s">
        <v>92</v>
      </c>
      <c r="N8" t="s">
        <v>93</v>
      </c>
      <c r="O8">
        <v>1880</v>
      </c>
      <c r="P8">
        <v>7</v>
      </c>
      <c r="Q8">
        <v>1873</v>
      </c>
      <c r="R8" s="52">
        <v>1899</v>
      </c>
      <c r="S8">
        <v>895.49001301234387</v>
      </c>
      <c r="U8">
        <f t="shared" si="2"/>
        <v>836582.5</v>
      </c>
      <c r="V8" s="51">
        <f t="shared" si="3"/>
        <v>870411.87056516029</v>
      </c>
      <c r="X8" t="s">
        <v>96</v>
      </c>
      <c r="Y8" t="s">
        <v>97</v>
      </c>
      <c r="Z8">
        <v>1880</v>
      </c>
      <c r="AA8">
        <v>25</v>
      </c>
      <c r="AB8">
        <v>1855</v>
      </c>
      <c r="AC8" s="52">
        <v>1907</v>
      </c>
      <c r="AD8">
        <v>0.5</v>
      </c>
      <c r="AE8">
        <v>0.5</v>
      </c>
      <c r="AF8">
        <f t="shared" si="4"/>
        <v>836582.5</v>
      </c>
      <c r="AG8" s="51">
        <f t="shared" si="5"/>
        <v>870636.0190643057</v>
      </c>
      <c r="AS8" s="51"/>
    </row>
    <row r="9" spans="2:45">
      <c r="B9" t="s">
        <v>90</v>
      </c>
      <c r="C9" t="s">
        <v>91</v>
      </c>
      <c r="D9">
        <v>1877.8</v>
      </c>
      <c r="E9">
        <v>1.3</v>
      </c>
      <c r="F9">
        <v>1876.5</v>
      </c>
      <c r="G9">
        <v>1879.1</v>
      </c>
      <c r="H9">
        <v>61373.667884693532</v>
      </c>
      <c r="I9">
        <v>100000</v>
      </c>
      <c r="J9">
        <f t="shared" si="0"/>
        <v>936581.5</v>
      </c>
      <c r="K9" s="51">
        <f t="shared" si="1"/>
        <v>931906.04266978055</v>
      </c>
      <c r="N9" t="s">
        <v>101</v>
      </c>
      <c r="O9">
        <v>1891</v>
      </c>
      <c r="P9">
        <v>3</v>
      </c>
      <c r="Q9">
        <v>1888</v>
      </c>
      <c r="R9" s="52">
        <v>1901</v>
      </c>
      <c r="S9">
        <v>26737.409459870643</v>
      </c>
      <c r="U9">
        <f t="shared" si="2"/>
        <v>836582.5</v>
      </c>
      <c r="V9" s="51">
        <f t="shared" si="3"/>
        <v>869516.38055214798</v>
      </c>
      <c r="X9" t="s">
        <v>94</v>
      </c>
      <c r="Y9" t="s">
        <v>95</v>
      </c>
      <c r="Z9">
        <v>1884</v>
      </c>
      <c r="AA9">
        <v>29</v>
      </c>
      <c r="AB9">
        <v>1855</v>
      </c>
      <c r="AC9" s="52">
        <v>1913</v>
      </c>
      <c r="AD9">
        <v>103.14427921859939</v>
      </c>
      <c r="AE9">
        <v>0.5</v>
      </c>
      <c r="AF9">
        <f t="shared" si="4"/>
        <v>836582</v>
      </c>
      <c r="AG9" s="51">
        <f t="shared" si="5"/>
        <v>870635.5190643057</v>
      </c>
      <c r="AS9" s="51"/>
    </row>
    <row r="10" spans="2:45">
      <c r="B10" t="s">
        <v>96</v>
      </c>
      <c r="C10" t="s">
        <v>102</v>
      </c>
      <c r="D10">
        <v>1930</v>
      </c>
      <c r="E10">
        <v>50</v>
      </c>
      <c r="F10">
        <v>1880</v>
      </c>
      <c r="G10">
        <v>1980</v>
      </c>
      <c r="H10">
        <v>0.5</v>
      </c>
      <c r="I10">
        <v>0.5</v>
      </c>
      <c r="J10">
        <f t="shared" si="0"/>
        <v>836581.5</v>
      </c>
      <c r="K10" s="51">
        <f t="shared" si="1"/>
        <v>870532.37478508707</v>
      </c>
      <c r="M10" t="s">
        <v>33</v>
      </c>
      <c r="N10" t="s">
        <v>100</v>
      </c>
      <c r="O10">
        <v>1890</v>
      </c>
      <c r="P10">
        <v>8</v>
      </c>
      <c r="Q10">
        <v>1882</v>
      </c>
      <c r="R10" s="52">
        <f>1890+16</f>
        <v>1906</v>
      </c>
      <c r="S10">
        <v>16093.826813058749</v>
      </c>
      <c r="T10">
        <v>10000</v>
      </c>
      <c r="U10">
        <f t="shared" si="2"/>
        <v>836582.5</v>
      </c>
      <c r="V10" s="51">
        <f t="shared" si="3"/>
        <v>842778.97109227732</v>
      </c>
      <c r="Y10" t="s">
        <v>99</v>
      </c>
      <c r="Z10">
        <v>1887</v>
      </c>
      <c r="AA10">
        <v>2</v>
      </c>
      <c r="AB10">
        <v>1883</v>
      </c>
      <c r="AC10" s="52">
        <v>1897</v>
      </c>
      <c r="AD10">
        <v>1119.6385121577571</v>
      </c>
      <c r="AF10">
        <f t="shared" si="4"/>
        <v>836581.5</v>
      </c>
      <c r="AG10" s="51">
        <f t="shared" si="5"/>
        <v>870532.37478508707</v>
      </c>
      <c r="AS10" s="51"/>
    </row>
    <row r="11" spans="2:45">
      <c r="B11" t="s">
        <v>33</v>
      </c>
      <c r="C11" t="s">
        <v>100</v>
      </c>
      <c r="D11">
        <v>1890</v>
      </c>
      <c r="E11">
        <v>8</v>
      </c>
      <c r="F11">
        <v>1882</v>
      </c>
      <c r="G11">
        <v>1898</v>
      </c>
      <c r="H11">
        <v>16093.826813058749</v>
      </c>
      <c r="I11">
        <v>10000</v>
      </c>
      <c r="J11">
        <f t="shared" si="0"/>
        <v>836581</v>
      </c>
      <c r="K11" s="51">
        <f t="shared" si="1"/>
        <v>870531.87478508707</v>
      </c>
      <c r="M11" t="s">
        <v>96</v>
      </c>
      <c r="N11" t="s">
        <v>97</v>
      </c>
      <c r="O11">
        <v>1880</v>
      </c>
      <c r="P11">
        <v>25</v>
      </c>
      <c r="Q11">
        <v>1855</v>
      </c>
      <c r="R11" s="52">
        <v>1907</v>
      </c>
      <c r="S11">
        <v>0.5</v>
      </c>
      <c r="T11">
        <v>0.5</v>
      </c>
      <c r="U11">
        <f t="shared" si="2"/>
        <v>826582.5</v>
      </c>
      <c r="V11" s="51">
        <f t="shared" si="3"/>
        <v>826685.14427921863</v>
      </c>
      <c r="X11" t="s">
        <v>33</v>
      </c>
      <c r="Y11" t="s">
        <v>100</v>
      </c>
      <c r="Z11">
        <v>1890</v>
      </c>
      <c r="AA11">
        <v>8</v>
      </c>
      <c r="AB11">
        <v>1882</v>
      </c>
      <c r="AC11">
        <f>1890+16</f>
        <v>1906</v>
      </c>
      <c r="AD11">
        <v>16093.826813058749</v>
      </c>
      <c r="AE11">
        <v>10000</v>
      </c>
      <c r="AF11">
        <f t="shared" si="4"/>
        <v>836581.5</v>
      </c>
      <c r="AG11" s="51">
        <f t="shared" si="5"/>
        <v>869412.73627292935</v>
      </c>
      <c r="AS11" s="51"/>
    </row>
    <row r="12" spans="2:45">
      <c r="C12" t="s">
        <v>99</v>
      </c>
      <c r="D12">
        <v>1885</v>
      </c>
      <c r="E12">
        <v>2</v>
      </c>
      <c r="F12">
        <v>1883</v>
      </c>
      <c r="G12">
        <v>1887</v>
      </c>
      <c r="H12">
        <v>1119.6385121577571</v>
      </c>
      <c r="J12">
        <f t="shared" si="0"/>
        <v>826581</v>
      </c>
      <c r="K12" s="51">
        <f t="shared" si="1"/>
        <v>854438.04797202838</v>
      </c>
      <c r="M12" t="s">
        <v>94</v>
      </c>
      <c r="N12" t="s">
        <v>95</v>
      </c>
      <c r="O12">
        <v>1884</v>
      </c>
      <c r="P12">
        <v>29</v>
      </c>
      <c r="Q12">
        <v>1855</v>
      </c>
      <c r="R12" s="52">
        <v>1913</v>
      </c>
      <c r="S12">
        <v>103.14427921859939</v>
      </c>
      <c r="T12">
        <v>0.5</v>
      </c>
      <c r="U12">
        <f t="shared" si="2"/>
        <v>826582</v>
      </c>
      <c r="V12" s="51">
        <f t="shared" si="3"/>
        <v>826684.64427921863</v>
      </c>
      <c r="Y12" t="s">
        <v>101</v>
      </c>
      <c r="Z12">
        <v>1891</v>
      </c>
      <c r="AA12">
        <v>3</v>
      </c>
      <c r="AB12">
        <v>1888</v>
      </c>
      <c r="AC12" s="52">
        <v>1901</v>
      </c>
      <c r="AD12">
        <v>26737.409459870643</v>
      </c>
      <c r="AF12">
        <f t="shared" si="4"/>
        <v>826581.5</v>
      </c>
      <c r="AG12" s="51">
        <f t="shared" si="5"/>
        <v>853318.90945987066</v>
      </c>
      <c r="AS12" s="51"/>
    </row>
    <row r="13" spans="2:45">
      <c r="C13" t="s">
        <v>101</v>
      </c>
      <c r="D13">
        <v>1891</v>
      </c>
      <c r="E13">
        <v>3</v>
      </c>
      <c r="F13">
        <v>1888</v>
      </c>
      <c r="G13">
        <v>1894</v>
      </c>
      <c r="H13">
        <v>26737.409459870643</v>
      </c>
      <c r="J13">
        <f t="shared" si="0"/>
        <v>826581</v>
      </c>
      <c r="K13" s="51">
        <f t="shared" si="1"/>
        <v>853318.40945987066</v>
      </c>
      <c r="M13" t="s">
        <v>96</v>
      </c>
      <c r="N13" t="s">
        <v>102</v>
      </c>
      <c r="O13">
        <v>1930</v>
      </c>
      <c r="P13">
        <v>50</v>
      </c>
      <c r="Q13">
        <v>1880</v>
      </c>
      <c r="R13" s="52">
        <v>1980</v>
      </c>
      <c r="S13">
        <v>0.5</v>
      </c>
      <c r="T13">
        <v>0.5</v>
      </c>
      <c r="U13">
        <f t="shared" si="2"/>
        <v>826581.5</v>
      </c>
      <c r="V13" s="51">
        <f t="shared" si="3"/>
        <v>826581.5</v>
      </c>
      <c r="X13" t="s">
        <v>96</v>
      </c>
      <c r="Y13" t="s">
        <v>102</v>
      </c>
      <c r="Z13">
        <v>1930</v>
      </c>
      <c r="AA13">
        <v>50</v>
      </c>
      <c r="AB13">
        <v>1880</v>
      </c>
      <c r="AC13" s="52">
        <v>1980</v>
      </c>
      <c r="AD13">
        <v>0.5</v>
      </c>
      <c r="AE13">
        <v>0.5</v>
      </c>
      <c r="AF13">
        <f t="shared" si="4"/>
        <v>826581.5</v>
      </c>
      <c r="AG13" s="51">
        <f t="shared" si="5"/>
        <v>826581.5</v>
      </c>
      <c r="AS13" s="51"/>
    </row>
    <row r="14" spans="2:45">
      <c r="B14" t="s">
        <v>103</v>
      </c>
      <c r="C14" t="s">
        <v>104</v>
      </c>
      <c r="D14">
        <v>2000</v>
      </c>
      <c r="E14">
        <v>50</v>
      </c>
      <c r="F14">
        <v>1950</v>
      </c>
      <c r="G14">
        <v>2050</v>
      </c>
      <c r="H14">
        <v>100</v>
      </c>
      <c r="I14">
        <v>100</v>
      </c>
      <c r="J14">
        <f t="shared" si="0"/>
        <v>826581</v>
      </c>
      <c r="K14" s="51">
        <f t="shared" si="1"/>
        <v>826581</v>
      </c>
      <c r="M14" t="s">
        <v>103</v>
      </c>
      <c r="N14" t="s">
        <v>104</v>
      </c>
      <c r="O14">
        <v>2000</v>
      </c>
      <c r="P14">
        <v>50</v>
      </c>
      <c r="Q14">
        <v>1950</v>
      </c>
      <c r="R14" s="52">
        <v>2050</v>
      </c>
      <c r="S14">
        <v>100</v>
      </c>
      <c r="T14">
        <v>100</v>
      </c>
      <c r="U14">
        <f t="shared" si="2"/>
        <v>826581</v>
      </c>
      <c r="V14" s="51">
        <f t="shared" si="3"/>
        <v>826581</v>
      </c>
      <c r="X14" t="s">
        <v>103</v>
      </c>
      <c r="Y14" t="s">
        <v>104</v>
      </c>
      <c r="Z14">
        <v>2000</v>
      </c>
      <c r="AA14">
        <v>50</v>
      </c>
      <c r="AB14">
        <v>1950</v>
      </c>
      <c r="AC14">
        <v>2050</v>
      </c>
      <c r="AD14">
        <v>100</v>
      </c>
      <c r="AE14">
        <v>100</v>
      </c>
      <c r="AF14">
        <f t="shared" si="4"/>
        <v>826581</v>
      </c>
      <c r="AG14" s="51">
        <f t="shared" si="5"/>
        <v>826581</v>
      </c>
      <c r="AS14" s="51"/>
    </row>
    <row r="15" spans="2:45">
      <c r="B15" t="s">
        <v>105</v>
      </c>
      <c r="C15" t="s">
        <v>106</v>
      </c>
      <c r="D15">
        <v>2078</v>
      </c>
      <c r="E15">
        <v>100</v>
      </c>
      <c r="F15">
        <v>1978</v>
      </c>
      <c r="G15">
        <v>2178</v>
      </c>
      <c r="H15">
        <v>0.5</v>
      </c>
      <c r="I15">
        <v>0.5</v>
      </c>
      <c r="J15">
        <f t="shared" si="0"/>
        <v>826481</v>
      </c>
      <c r="K15" s="51">
        <f t="shared" si="1"/>
        <v>826481</v>
      </c>
      <c r="M15" t="s">
        <v>98</v>
      </c>
      <c r="N15" t="s">
        <v>107</v>
      </c>
      <c r="O15">
        <v>2060</v>
      </c>
      <c r="P15">
        <v>40</v>
      </c>
      <c r="Q15">
        <v>2020</v>
      </c>
      <c r="R15" s="52">
        <v>2100</v>
      </c>
      <c r="S15">
        <v>0.5</v>
      </c>
      <c r="T15">
        <v>0.5</v>
      </c>
      <c r="U15">
        <f t="shared" si="2"/>
        <v>826481</v>
      </c>
      <c r="V15" s="51">
        <f t="shared" si="3"/>
        <v>826481</v>
      </c>
      <c r="X15" t="s">
        <v>98</v>
      </c>
      <c r="Y15" t="s">
        <v>107</v>
      </c>
      <c r="Z15">
        <v>2060</v>
      </c>
      <c r="AA15">
        <v>40</v>
      </c>
      <c r="AB15">
        <v>2020</v>
      </c>
      <c r="AC15" s="52">
        <v>2100</v>
      </c>
      <c r="AD15">
        <v>0.5</v>
      </c>
      <c r="AE15">
        <v>0.5</v>
      </c>
      <c r="AF15">
        <f t="shared" si="4"/>
        <v>826481</v>
      </c>
      <c r="AG15" s="51">
        <f t="shared" si="5"/>
        <v>826481</v>
      </c>
      <c r="AS15" s="51"/>
    </row>
    <row r="16" spans="2:45">
      <c r="B16" t="s">
        <v>98</v>
      </c>
      <c r="C16" t="s">
        <v>107</v>
      </c>
      <c r="D16">
        <v>2060</v>
      </c>
      <c r="E16">
        <v>40</v>
      </c>
      <c r="F16">
        <v>2020</v>
      </c>
      <c r="G16">
        <v>2100</v>
      </c>
      <c r="H16">
        <v>0.5</v>
      </c>
      <c r="I16">
        <v>0.5</v>
      </c>
      <c r="J16">
        <f t="shared" si="0"/>
        <v>826480.5</v>
      </c>
      <c r="K16" s="51">
        <f t="shared" si="1"/>
        <v>826480.5</v>
      </c>
      <c r="M16" t="s">
        <v>108</v>
      </c>
      <c r="N16" t="s">
        <v>109</v>
      </c>
      <c r="O16">
        <v>2080</v>
      </c>
      <c r="P16">
        <v>45</v>
      </c>
      <c r="Q16">
        <v>2035</v>
      </c>
      <c r="R16" s="52">
        <v>2125</v>
      </c>
      <c r="S16">
        <v>0.5</v>
      </c>
      <c r="T16">
        <v>0.5</v>
      </c>
      <c r="U16">
        <f t="shared" si="2"/>
        <v>826480.5</v>
      </c>
      <c r="V16" s="51">
        <f t="shared" si="3"/>
        <v>826480.5</v>
      </c>
      <c r="X16" t="s">
        <v>105</v>
      </c>
      <c r="Y16" t="s">
        <v>106</v>
      </c>
      <c r="Z16">
        <v>2078</v>
      </c>
      <c r="AA16">
        <v>100</v>
      </c>
      <c r="AB16">
        <v>1978</v>
      </c>
      <c r="AC16">
        <v>2178</v>
      </c>
      <c r="AD16">
        <v>0.5</v>
      </c>
      <c r="AE16">
        <v>0.5</v>
      </c>
      <c r="AF16">
        <f t="shared" si="4"/>
        <v>826480.5</v>
      </c>
      <c r="AG16" s="51">
        <f t="shared" si="5"/>
        <v>826480.5</v>
      </c>
      <c r="AS16" s="51"/>
    </row>
    <row r="17" spans="2:45">
      <c r="B17" t="s">
        <v>108</v>
      </c>
      <c r="C17" t="s">
        <v>109</v>
      </c>
      <c r="D17">
        <v>2080</v>
      </c>
      <c r="E17">
        <v>45</v>
      </c>
      <c r="F17">
        <v>2035</v>
      </c>
      <c r="G17">
        <v>2125</v>
      </c>
      <c r="H17">
        <v>0.5</v>
      </c>
      <c r="I17">
        <v>0.5</v>
      </c>
      <c r="J17">
        <f t="shared" si="0"/>
        <v>826480</v>
      </c>
      <c r="K17" s="51">
        <f t="shared" si="1"/>
        <v>826480</v>
      </c>
      <c r="M17" t="s">
        <v>112</v>
      </c>
      <c r="N17" t="s">
        <v>113</v>
      </c>
      <c r="O17">
        <v>2100</v>
      </c>
      <c r="P17">
        <v>50</v>
      </c>
      <c r="Q17">
        <v>2050</v>
      </c>
      <c r="R17" s="52">
        <v>2150</v>
      </c>
      <c r="S17">
        <v>0.5</v>
      </c>
      <c r="T17">
        <v>0.5</v>
      </c>
      <c r="U17">
        <f t="shared" si="2"/>
        <v>826480</v>
      </c>
      <c r="V17" s="51">
        <f t="shared" si="3"/>
        <v>826480</v>
      </c>
      <c r="X17" t="s">
        <v>108</v>
      </c>
      <c r="Y17" t="s">
        <v>109</v>
      </c>
      <c r="Z17">
        <v>2080</v>
      </c>
      <c r="AA17">
        <v>45</v>
      </c>
      <c r="AB17">
        <v>2035</v>
      </c>
      <c r="AC17">
        <v>2125</v>
      </c>
      <c r="AD17">
        <v>0.5</v>
      </c>
      <c r="AE17">
        <v>0.5</v>
      </c>
      <c r="AF17">
        <f t="shared" si="4"/>
        <v>826480</v>
      </c>
      <c r="AG17" s="51">
        <f t="shared" si="5"/>
        <v>826480</v>
      </c>
      <c r="AS17" s="51"/>
    </row>
    <row r="18" spans="2:45">
      <c r="B18" t="s">
        <v>110</v>
      </c>
      <c r="C18" t="s">
        <v>111</v>
      </c>
      <c r="D18">
        <v>2100</v>
      </c>
      <c r="E18">
        <v>50</v>
      </c>
      <c r="F18">
        <v>2050</v>
      </c>
      <c r="G18">
        <v>2150</v>
      </c>
      <c r="H18">
        <v>100</v>
      </c>
      <c r="I18">
        <v>100</v>
      </c>
      <c r="J18">
        <f t="shared" si="0"/>
        <v>826479.5</v>
      </c>
      <c r="K18" s="51">
        <f t="shared" si="1"/>
        <v>826479.5</v>
      </c>
      <c r="M18" t="s">
        <v>110</v>
      </c>
      <c r="N18" t="s">
        <v>111</v>
      </c>
      <c r="O18">
        <v>2100</v>
      </c>
      <c r="P18">
        <v>50</v>
      </c>
      <c r="Q18">
        <v>2050</v>
      </c>
      <c r="R18" s="52">
        <v>2150</v>
      </c>
      <c r="S18">
        <v>100</v>
      </c>
      <c r="T18">
        <v>100</v>
      </c>
      <c r="U18">
        <f t="shared" si="2"/>
        <v>826479.5</v>
      </c>
      <c r="V18" s="51">
        <f t="shared" si="3"/>
        <v>826479.5</v>
      </c>
      <c r="X18" t="s">
        <v>110</v>
      </c>
      <c r="Y18" t="s">
        <v>111</v>
      </c>
      <c r="Z18">
        <v>2100</v>
      </c>
      <c r="AA18">
        <v>50</v>
      </c>
      <c r="AB18">
        <v>2050</v>
      </c>
      <c r="AC18">
        <v>2150</v>
      </c>
      <c r="AD18">
        <v>100</v>
      </c>
      <c r="AE18">
        <v>100</v>
      </c>
      <c r="AF18">
        <f t="shared" si="4"/>
        <v>826479.5</v>
      </c>
      <c r="AG18" s="51">
        <f t="shared" si="5"/>
        <v>826479.5</v>
      </c>
      <c r="AS18" s="51"/>
    </row>
    <row r="19" spans="2:45">
      <c r="B19" t="s">
        <v>112</v>
      </c>
      <c r="C19" t="s">
        <v>113</v>
      </c>
      <c r="D19">
        <v>2100</v>
      </c>
      <c r="E19">
        <v>50</v>
      </c>
      <c r="F19">
        <v>2050</v>
      </c>
      <c r="G19">
        <v>2150</v>
      </c>
      <c r="H19">
        <v>0.5</v>
      </c>
      <c r="I19">
        <v>0.5</v>
      </c>
      <c r="J19">
        <f t="shared" si="0"/>
        <v>826379.5</v>
      </c>
      <c r="K19" s="51">
        <f t="shared" si="1"/>
        <v>826379.5</v>
      </c>
      <c r="M19" t="s">
        <v>105</v>
      </c>
      <c r="N19" t="s">
        <v>106</v>
      </c>
      <c r="O19">
        <v>2078</v>
      </c>
      <c r="P19">
        <v>100</v>
      </c>
      <c r="Q19">
        <v>1978</v>
      </c>
      <c r="R19" s="52">
        <v>2178</v>
      </c>
      <c r="S19">
        <v>0.5</v>
      </c>
      <c r="T19">
        <v>0.5</v>
      </c>
      <c r="U19">
        <f t="shared" si="2"/>
        <v>826379.5</v>
      </c>
      <c r="V19" s="51">
        <f t="shared" si="3"/>
        <v>826379.5</v>
      </c>
      <c r="X19" t="s">
        <v>112</v>
      </c>
      <c r="Y19" t="s">
        <v>113</v>
      </c>
      <c r="Z19">
        <v>2100</v>
      </c>
      <c r="AA19">
        <v>50</v>
      </c>
      <c r="AB19">
        <v>2050</v>
      </c>
      <c r="AC19" s="52">
        <v>2150</v>
      </c>
      <c r="AD19">
        <v>0.5</v>
      </c>
      <c r="AE19">
        <v>0.5</v>
      </c>
      <c r="AF19">
        <f t="shared" si="4"/>
        <v>826379.5</v>
      </c>
      <c r="AG19" s="51">
        <f t="shared" si="5"/>
        <v>826379.5</v>
      </c>
      <c r="AS19" s="51"/>
    </row>
    <row r="20" spans="2:45">
      <c r="B20" t="s">
        <v>114</v>
      </c>
      <c r="C20" t="s">
        <v>115</v>
      </c>
      <c r="D20">
        <v>2150</v>
      </c>
      <c r="E20">
        <v>50</v>
      </c>
      <c r="F20">
        <v>2100</v>
      </c>
      <c r="G20">
        <v>2200</v>
      </c>
      <c r="H20">
        <v>0.5</v>
      </c>
      <c r="I20">
        <v>0.5</v>
      </c>
      <c r="J20">
        <f t="shared" si="0"/>
        <v>826379</v>
      </c>
      <c r="K20" s="51">
        <f t="shared" si="1"/>
        <v>826379</v>
      </c>
      <c r="M20" t="s">
        <v>114</v>
      </c>
      <c r="N20" t="s">
        <v>115</v>
      </c>
      <c r="O20">
        <v>2150</v>
      </c>
      <c r="P20">
        <v>50</v>
      </c>
      <c r="Q20">
        <v>2100</v>
      </c>
      <c r="R20" s="52">
        <v>2200</v>
      </c>
      <c r="S20">
        <v>0.5</v>
      </c>
      <c r="T20">
        <v>0.5</v>
      </c>
      <c r="U20">
        <f t="shared" si="2"/>
        <v>826379</v>
      </c>
      <c r="V20" s="51">
        <f t="shared" si="3"/>
        <v>826379</v>
      </c>
      <c r="X20" t="s">
        <v>114</v>
      </c>
      <c r="Y20" t="s">
        <v>115</v>
      </c>
      <c r="Z20">
        <v>2150</v>
      </c>
      <c r="AA20">
        <v>50</v>
      </c>
      <c r="AB20">
        <v>2100</v>
      </c>
      <c r="AC20" s="52">
        <v>2200</v>
      </c>
      <c r="AD20">
        <v>0.5</v>
      </c>
      <c r="AE20">
        <v>0.5</v>
      </c>
      <c r="AF20">
        <f t="shared" si="4"/>
        <v>826379</v>
      </c>
      <c r="AG20" s="51">
        <f t="shared" si="5"/>
        <v>826379</v>
      </c>
      <c r="AI20" s="100"/>
      <c r="AJ20" s="100"/>
      <c r="AK20" s="100"/>
      <c r="AL20" s="100"/>
      <c r="AM20" s="100"/>
      <c r="AN20" s="100"/>
      <c r="AO20" s="100"/>
      <c r="AP20" s="100"/>
      <c r="AQ20" s="100"/>
      <c r="AR20" s="100"/>
      <c r="AS20" s="157"/>
    </row>
    <row r="21" spans="2:45">
      <c r="B21" t="s">
        <v>116</v>
      </c>
      <c r="C21" t="s">
        <v>117</v>
      </c>
      <c r="D21">
        <v>2200</v>
      </c>
      <c r="E21">
        <v>50</v>
      </c>
      <c r="F21">
        <v>2150</v>
      </c>
      <c r="G21">
        <v>2250</v>
      </c>
      <c r="H21">
        <v>150</v>
      </c>
      <c r="I21">
        <v>150</v>
      </c>
      <c r="J21">
        <f t="shared" si="0"/>
        <v>826378.5</v>
      </c>
      <c r="K21" s="51">
        <f t="shared" si="1"/>
        <v>826378.5</v>
      </c>
      <c r="M21" t="s">
        <v>118</v>
      </c>
      <c r="N21" t="s">
        <v>119</v>
      </c>
      <c r="O21">
        <v>2200</v>
      </c>
      <c r="P21">
        <v>50</v>
      </c>
      <c r="Q21">
        <v>2150</v>
      </c>
      <c r="R21" s="52">
        <v>2250</v>
      </c>
      <c r="S21">
        <v>100</v>
      </c>
      <c r="T21">
        <v>100</v>
      </c>
      <c r="U21">
        <f t="shared" si="2"/>
        <v>826378.5</v>
      </c>
      <c r="V21" s="51">
        <f t="shared" si="3"/>
        <v>826378.5</v>
      </c>
      <c r="X21" t="s">
        <v>116</v>
      </c>
      <c r="Y21" t="s">
        <v>117</v>
      </c>
      <c r="Z21">
        <v>2200</v>
      </c>
      <c r="AA21">
        <v>50</v>
      </c>
      <c r="AB21">
        <v>2150</v>
      </c>
      <c r="AC21" s="52">
        <v>2250</v>
      </c>
      <c r="AD21">
        <v>150</v>
      </c>
      <c r="AE21">
        <v>150</v>
      </c>
      <c r="AF21">
        <f t="shared" si="4"/>
        <v>826378.5</v>
      </c>
      <c r="AG21" s="51">
        <f t="shared" si="5"/>
        <v>826378.5</v>
      </c>
      <c r="AI21" s="100"/>
      <c r="AJ21" s="100"/>
      <c r="AK21" s="100"/>
      <c r="AL21" s="100"/>
      <c r="AM21" s="100"/>
      <c r="AN21" s="100"/>
      <c r="AO21" s="100"/>
      <c r="AP21" s="100"/>
      <c r="AQ21" s="100"/>
      <c r="AR21" s="100"/>
      <c r="AS21" s="157"/>
    </row>
    <row r="22" spans="2:45">
      <c r="B22" t="s">
        <v>118</v>
      </c>
      <c r="C22" t="s">
        <v>119</v>
      </c>
      <c r="D22">
        <v>2200</v>
      </c>
      <c r="E22">
        <v>50</v>
      </c>
      <c r="F22">
        <v>2150</v>
      </c>
      <c r="G22">
        <v>2250</v>
      </c>
      <c r="H22">
        <v>100</v>
      </c>
      <c r="I22">
        <v>100</v>
      </c>
      <c r="J22">
        <f t="shared" si="0"/>
        <v>826228.5</v>
      </c>
      <c r="K22" s="51">
        <f t="shared" si="1"/>
        <v>826228.5</v>
      </c>
      <c r="M22" t="s">
        <v>116</v>
      </c>
      <c r="N22" t="s">
        <v>117</v>
      </c>
      <c r="O22">
        <v>2200</v>
      </c>
      <c r="P22">
        <v>50</v>
      </c>
      <c r="Q22">
        <v>2150</v>
      </c>
      <c r="R22" s="52">
        <v>2250</v>
      </c>
      <c r="S22">
        <v>150</v>
      </c>
      <c r="T22">
        <v>150</v>
      </c>
      <c r="U22">
        <f t="shared" si="2"/>
        <v>826278.5</v>
      </c>
      <c r="V22" s="51">
        <f t="shared" si="3"/>
        <v>826278.5</v>
      </c>
      <c r="X22" t="s">
        <v>118</v>
      </c>
      <c r="Y22" t="s">
        <v>119</v>
      </c>
      <c r="Z22">
        <v>2200</v>
      </c>
      <c r="AA22">
        <v>50</v>
      </c>
      <c r="AB22">
        <v>2150</v>
      </c>
      <c r="AC22" s="52">
        <v>2250</v>
      </c>
      <c r="AD22">
        <v>100</v>
      </c>
      <c r="AE22">
        <v>100</v>
      </c>
      <c r="AF22">
        <f t="shared" si="4"/>
        <v>826228.5</v>
      </c>
      <c r="AG22" s="51">
        <f t="shared" si="5"/>
        <v>826228.5</v>
      </c>
      <c r="AI22" s="100"/>
      <c r="AJ22" s="100"/>
      <c r="AK22" s="100"/>
      <c r="AL22" s="100"/>
      <c r="AM22" s="100"/>
      <c r="AN22" s="100"/>
      <c r="AO22" s="100"/>
      <c r="AP22" s="100"/>
      <c r="AQ22" s="100"/>
      <c r="AR22" s="100"/>
      <c r="AS22" s="157"/>
    </row>
    <row r="23" spans="2:45" ht="60">
      <c r="B23" s="47" t="s">
        <v>120</v>
      </c>
      <c r="C23" s="47" t="s">
        <v>121</v>
      </c>
      <c r="D23" s="47">
        <v>2320</v>
      </c>
      <c r="E23" s="47">
        <v>50</v>
      </c>
      <c r="F23" s="47">
        <f t="shared" ref="F23:F58" si="6">D23-E23</f>
        <v>2270</v>
      </c>
      <c r="G23" s="47">
        <f t="shared" ref="G23:G58" si="7">D23+E23</f>
        <v>2370</v>
      </c>
      <c r="H23" s="48">
        <f>I23</f>
        <v>10</v>
      </c>
      <c r="I23" s="49">
        <v>10</v>
      </c>
      <c r="J23">
        <f t="shared" si="0"/>
        <v>826128.5</v>
      </c>
      <c r="K23" s="51">
        <f t="shared" si="1"/>
        <v>826128.5</v>
      </c>
      <c r="M23" s="47" t="s">
        <v>120</v>
      </c>
      <c r="N23" s="47" t="s">
        <v>121</v>
      </c>
      <c r="O23" s="47">
        <v>2320</v>
      </c>
      <c r="P23" s="47">
        <v>50</v>
      </c>
      <c r="Q23" s="47">
        <f t="shared" ref="Q23:Q58" si="8">O23-P23</f>
        <v>2270</v>
      </c>
      <c r="R23" s="188">
        <f t="shared" ref="R23:R58" si="9">O23+P23</f>
        <v>2370</v>
      </c>
      <c r="S23" s="48">
        <f>T23</f>
        <v>10000</v>
      </c>
      <c r="T23" s="47">
        <v>10000</v>
      </c>
      <c r="U23">
        <f t="shared" si="2"/>
        <v>826128.5</v>
      </c>
      <c r="V23" s="51">
        <f t="shared" si="3"/>
        <v>826128.5</v>
      </c>
      <c r="X23" s="47" t="s">
        <v>120</v>
      </c>
      <c r="Y23" s="47" t="s">
        <v>121</v>
      </c>
      <c r="Z23" s="47">
        <v>2320</v>
      </c>
      <c r="AA23" s="47">
        <v>50</v>
      </c>
      <c r="AB23" s="47">
        <f t="shared" ref="AB23:AB58" si="10">Z23-AA23</f>
        <v>2270</v>
      </c>
      <c r="AC23" s="47">
        <f t="shared" ref="AC23:AC58" si="11">Z23+AA23</f>
        <v>2370</v>
      </c>
      <c r="AD23" s="48">
        <f>AE23</f>
        <v>10000</v>
      </c>
      <c r="AE23" s="47">
        <v>10000</v>
      </c>
      <c r="AF23">
        <f t="shared" si="4"/>
        <v>826128.5</v>
      </c>
      <c r="AG23" s="51">
        <f t="shared" si="5"/>
        <v>826128.5</v>
      </c>
      <c r="AI23" s="100"/>
      <c r="AJ23" s="79"/>
      <c r="AK23" s="79"/>
      <c r="AL23" s="79"/>
      <c r="AM23" s="79"/>
      <c r="AN23" s="79"/>
      <c r="AO23" s="79"/>
      <c r="AP23" s="155"/>
      <c r="AQ23" s="79"/>
      <c r="AR23" s="100"/>
      <c r="AS23" s="157"/>
    </row>
    <row r="24" spans="2:45" ht="30">
      <c r="B24" s="50" t="s">
        <v>122</v>
      </c>
      <c r="C24" s="50" t="s">
        <v>123</v>
      </c>
      <c r="D24" s="50">
        <v>2400.6</v>
      </c>
      <c r="E24" s="50">
        <v>50</v>
      </c>
      <c r="F24" s="47">
        <f t="shared" si="6"/>
        <v>2350.6</v>
      </c>
      <c r="G24" s="47">
        <f t="shared" si="7"/>
        <v>2450.6</v>
      </c>
      <c r="H24" s="48">
        <f>I24</f>
        <v>10000</v>
      </c>
      <c r="I24" s="47">
        <v>10000</v>
      </c>
      <c r="J24">
        <f t="shared" si="0"/>
        <v>826118.5</v>
      </c>
      <c r="K24" s="51">
        <f t="shared" si="1"/>
        <v>826118.5</v>
      </c>
      <c r="M24" s="64" t="s">
        <v>168</v>
      </c>
      <c r="N24" s="64" t="s">
        <v>169</v>
      </c>
      <c r="O24" s="64">
        <v>2445</v>
      </c>
      <c r="P24" s="64">
        <v>5</v>
      </c>
      <c r="Q24" s="182">
        <f t="shared" si="8"/>
        <v>2440</v>
      </c>
      <c r="R24" s="70">
        <f t="shared" si="9"/>
        <v>2450</v>
      </c>
      <c r="S24" s="64">
        <v>19000</v>
      </c>
      <c r="T24" s="64">
        <v>19000</v>
      </c>
      <c r="U24">
        <f t="shared" si="2"/>
        <v>816128.5</v>
      </c>
      <c r="V24" s="51">
        <f t="shared" si="3"/>
        <v>816128.5</v>
      </c>
      <c r="X24" s="187" t="s">
        <v>122</v>
      </c>
      <c r="Y24" s="50" t="s">
        <v>123</v>
      </c>
      <c r="Z24" s="50">
        <v>2400.6</v>
      </c>
      <c r="AA24" s="187">
        <v>50</v>
      </c>
      <c r="AB24" s="47">
        <f t="shared" si="10"/>
        <v>2350.6</v>
      </c>
      <c r="AC24" s="188">
        <f t="shared" si="11"/>
        <v>2450.6</v>
      </c>
      <c r="AD24" s="48">
        <f>AE24</f>
        <v>10</v>
      </c>
      <c r="AE24" s="49">
        <v>10</v>
      </c>
      <c r="AF24">
        <f t="shared" si="4"/>
        <v>816128.5</v>
      </c>
      <c r="AG24" s="51">
        <f t="shared" si="5"/>
        <v>816128.5</v>
      </c>
      <c r="AI24" s="100"/>
      <c r="AJ24" s="168"/>
      <c r="AK24" s="168"/>
      <c r="AL24" s="168"/>
      <c r="AM24" s="168"/>
      <c r="AN24" s="189"/>
      <c r="AO24" s="168"/>
      <c r="AP24" s="168"/>
      <c r="AQ24" s="168"/>
      <c r="AR24" s="100"/>
      <c r="AS24" s="157"/>
    </row>
    <row r="25" spans="2:45" ht="31" thickBot="1">
      <c r="B25" s="66" t="s">
        <v>168</v>
      </c>
      <c r="C25" s="64" t="s">
        <v>167</v>
      </c>
      <c r="D25" s="64">
        <v>2445</v>
      </c>
      <c r="E25" s="66">
        <v>50</v>
      </c>
      <c r="F25" s="182">
        <f t="shared" si="6"/>
        <v>2395</v>
      </c>
      <c r="G25" s="66">
        <f t="shared" si="7"/>
        <v>2495</v>
      </c>
      <c r="H25" s="68">
        <v>100000</v>
      </c>
      <c r="I25" s="68">
        <v>100000</v>
      </c>
      <c r="J25">
        <f t="shared" si="0"/>
        <v>816118.5</v>
      </c>
      <c r="K25" s="51">
        <f t="shared" si="1"/>
        <v>816118.5</v>
      </c>
      <c r="M25" s="71" t="s">
        <v>122</v>
      </c>
      <c r="N25" s="50" t="s">
        <v>123</v>
      </c>
      <c r="O25" s="50">
        <v>2400.6</v>
      </c>
      <c r="P25" s="71">
        <v>50</v>
      </c>
      <c r="Q25" s="47">
        <f t="shared" si="8"/>
        <v>2350.6</v>
      </c>
      <c r="R25" s="72">
        <f t="shared" si="9"/>
        <v>2450.6</v>
      </c>
      <c r="S25" s="48">
        <f>T25</f>
        <v>10</v>
      </c>
      <c r="T25" s="49">
        <v>10</v>
      </c>
      <c r="U25">
        <f t="shared" si="2"/>
        <v>797128.5</v>
      </c>
      <c r="V25" s="51">
        <f t="shared" si="3"/>
        <v>797128.5</v>
      </c>
      <c r="X25" s="66" t="s">
        <v>116</v>
      </c>
      <c r="Y25" s="64" t="s">
        <v>166</v>
      </c>
      <c r="Z25" s="65">
        <v>2431</v>
      </c>
      <c r="AA25" s="66">
        <v>31</v>
      </c>
      <c r="AB25" s="182">
        <f t="shared" si="10"/>
        <v>2400</v>
      </c>
      <c r="AC25" s="66">
        <f t="shared" si="11"/>
        <v>2462</v>
      </c>
      <c r="AD25" s="182">
        <v>0.5</v>
      </c>
      <c r="AE25" s="182">
        <v>0.5</v>
      </c>
      <c r="AF25">
        <f t="shared" si="4"/>
        <v>816118.5</v>
      </c>
      <c r="AG25" s="51">
        <f t="shared" si="5"/>
        <v>816118.5</v>
      </c>
      <c r="AI25" s="100"/>
      <c r="AJ25" s="172"/>
      <c r="AK25" s="79"/>
      <c r="AL25" s="79"/>
      <c r="AM25" s="172"/>
      <c r="AN25" s="79"/>
      <c r="AO25" s="172"/>
      <c r="AP25" s="155"/>
      <c r="AQ25" s="156"/>
      <c r="AR25" s="100"/>
      <c r="AS25" s="157"/>
    </row>
    <row r="26" spans="2:45" ht="17" thickBot="1">
      <c r="B26" s="64" t="s">
        <v>116</v>
      </c>
      <c r="C26" s="67" t="s">
        <v>166</v>
      </c>
      <c r="D26" s="65">
        <v>2431</v>
      </c>
      <c r="E26" s="64">
        <v>31</v>
      </c>
      <c r="F26" s="182">
        <f t="shared" si="6"/>
        <v>2400</v>
      </c>
      <c r="G26" s="66">
        <f t="shared" si="7"/>
        <v>2462</v>
      </c>
      <c r="H26" s="182">
        <v>0.5</v>
      </c>
      <c r="I26" s="182">
        <v>0.5</v>
      </c>
      <c r="J26">
        <f t="shared" si="0"/>
        <v>716118.5</v>
      </c>
      <c r="K26" s="51">
        <f t="shared" si="1"/>
        <v>716118.5</v>
      </c>
      <c r="M26" s="64" t="s">
        <v>168</v>
      </c>
      <c r="N26" s="67" t="s">
        <v>170</v>
      </c>
      <c r="O26" s="64">
        <v>2449</v>
      </c>
      <c r="P26" s="64">
        <v>3</v>
      </c>
      <c r="Q26" s="182">
        <f t="shared" si="8"/>
        <v>2446</v>
      </c>
      <c r="R26" s="66">
        <f t="shared" si="9"/>
        <v>2452</v>
      </c>
      <c r="S26" s="64">
        <v>19000</v>
      </c>
      <c r="T26" s="64">
        <v>19000</v>
      </c>
      <c r="U26">
        <f t="shared" si="2"/>
        <v>797118.5</v>
      </c>
      <c r="V26" s="51">
        <f t="shared" si="3"/>
        <v>797118.5</v>
      </c>
      <c r="X26" s="64" t="s">
        <v>168</v>
      </c>
      <c r="Y26" s="67" t="s">
        <v>169</v>
      </c>
      <c r="Z26" s="64">
        <v>2445</v>
      </c>
      <c r="AA26" s="64">
        <v>5</v>
      </c>
      <c r="AB26" s="182">
        <f t="shared" si="10"/>
        <v>2440</v>
      </c>
      <c r="AC26" s="66">
        <f t="shared" si="11"/>
        <v>2450</v>
      </c>
      <c r="AD26" s="64">
        <v>19000</v>
      </c>
      <c r="AE26" s="64">
        <v>19000</v>
      </c>
      <c r="AF26">
        <f t="shared" si="4"/>
        <v>816118</v>
      </c>
      <c r="AG26" s="51">
        <f t="shared" si="5"/>
        <v>816118</v>
      </c>
      <c r="AI26" s="100"/>
      <c r="AJ26" s="168"/>
      <c r="AK26" s="174"/>
      <c r="AL26" s="168"/>
      <c r="AM26" s="168"/>
      <c r="AN26" s="189"/>
      <c r="AO26" s="171"/>
      <c r="AP26" s="168"/>
      <c r="AQ26" s="168"/>
      <c r="AR26" s="100"/>
      <c r="AS26" s="157"/>
    </row>
    <row r="27" spans="2:45" ht="17" thickBot="1">
      <c r="B27" s="64" t="s">
        <v>172</v>
      </c>
      <c r="C27" s="64" t="s">
        <v>171</v>
      </c>
      <c r="D27" s="64">
        <v>2450</v>
      </c>
      <c r="E27" s="64">
        <v>50</v>
      </c>
      <c r="F27" s="182">
        <f t="shared" si="6"/>
        <v>2400</v>
      </c>
      <c r="G27" s="66">
        <f t="shared" si="7"/>
        <v>2500</v>
      </c>
      <c r="H27" s="183">
        <v>300000</v>
      </c>
      <c r="I27" s="183">
        <v>300000</v>
      </c>
      <c r="J27">
        <f t="shared" si="0"/>
        <v>716118</v>
      </c>
      <c r="K27" s="51">
        <f t="shared" si="1"/>
        <v>716118</v>
      </c>
      <c r="M27" s="64" t="s">
        <v>116</v>
      </c>
      <c r="N27" s="64" t="s">
        <v>166</v>
      </c>
      <c r="O27" s="65">
        <v>2431</v>
      </c>
      <c r="P27" s="64">
        <v>31</v>
      </c>
      <c r="Q27" s="182">
        <f t="shared" si="8"/>
        <v>2400</v>
      </c>
      <c r="R27" s="66">
        <f t="shared" si="9"/>
        <v>2462</v>
      </c>
      <c r="S27" s="182">
        <v>0.5</v>
      </c>
      <c r="T27" s="182">
        <v>0.5</v>
      </c>
      <c r="U27">
        <f t="shared" si="2"/>
        <v>778118.5</v>
      </c>
      <c r="V27" s="51">
        <f t="shared" si="3"/>
        <v>778118.5</v>
      </c>
      <c r="X27" s="64" t="s">
        <v>168</v>
      </c>
      <c r="Y27" s="64" t="s">
        <v>167</v>
      </c>
      <c r="Z27" s="64">
        <v>2445</v>
      </c>
      <c r="AA27" s="64">
        <v>50</v>
      </c>
      <c r="AB27" s="182">
        <f t="shared" si="10"/>
        <v>2395</v>
      </c>
      <c r="AC27" s="66">
        <f t="shared" si="11"/>
        <v>2495</v>
      </c>
      <c r="AD27" s="68">
        <v>100000</v>
      </c>
      <c r="AE27" s="68">
        <v>100000</v>
      </c>
      <c r="AF27">
        <f t="shared" si="4"/>
        <v>797118</v>
      </c>
      <c r="AG27" s="51">
        <f t="shared" si="5"/>
        <v>797118</v>
      </c>
      <c r="AI27" s="100"/>
      <c r="AJ27" s="168"/>
      <c r="AK27" s="168"/>
      <c r="AL27" s="173"/>
      <c r="AM27" s="168"/>
      <c r="AN27" s="189"/>
      <c r="AO27" s="171"/>
      <c r="AP27" s="189"/>
      <c r="AQ27" s="189"/>
      <c r="AR27" s="100"/>
      <c r="AS27" s="157"/>
    </row>
    <row r="28" spans="2:45" ht="17" thickBot="1">
      <c r="B28" s="64" t="s">
        <v>116</v>
      </c>
      <c r="C28" s="64" t="s">
        <v>173</v>
      </c>
      <c r="D28" s="64">
        <v>2450</v>
      </c>
      <c r="E28" s="64">
        <v>50</v>
      </c>
      <c r="F28" s="182">
        <f t="shared" si="6"/>
        <v>2400</v>
      </c>
      <c r="G28" s="66">
        <f t="shared" si="7"/>
        <v>2500</v>
      </c>
      <c r="H28" s="68">
        <v>100000</v>
      </c>
      <c r="I28" s="68">
        <v>100000</v>
      </c>
      <c r="J28">
        <f t="shared" si="0"/>
        <v>416118</v>
      </c>
      <c r="K28" s="51">
        <f t="shared" si="1"/>
        <v>416118</v>
      </c>
      <c r="M28" s="64" t="s">
        <v>168</v>
      </c>
      <c r="N28" s="64" t="s">
        <v>178</v>
      </c>
      <c r="O28" s="64">
        <v>2461</v>
      </c>
      <c r="P28" s="64">
        <v>6</v>
      </c>
      <c r="Q28" s="182">
        <f t="shared" si="8"/>
        <v>2455</v>
      </c>
      <c r="R28" s="66">
        <f t="shared" si="9"/>
        <v>2467</v>
      </c>
      <c r="S28" s="64">
        <v>30000</v>
      </c>
      <c r="T28" s="64">
        <v>30000</v>
      </c>
      <c r="U28">
        <f t="shared" si="2"/>
        <v>778118</v>
      </c>
      <c r="V28" s="51">
        <f t="shared" si="3"/>
        <v>778118</v>
      </c>
      <c r="X28" s="64" t="s">
        <v>168</v>
      </c>
      <c r="Y28" s="70" t="s">
        <v>170</v>
      </c>
      <c r="Z28" s="64">
        <v>2449</v>
      </c>
      <c r="AA28" s="64">
        <v>3</v>
      </c>
      <c r="AB28" s="182">
        <f t="shared" si="10"/>
        <v>2446</v>
      </c>
      <c r="AC28" s="66">
        <f t="shared" si="11"/>
        <v>2452</v>
      </c>
      <c r="AD28" s="64">
        <v>19000</v>
      </c>
      <c r="AE28" s="64">
        <v>19000</v>
      </c>
      <c r="AF28">
        <f t="shared" si="4"/>
        <v>697118</v>
      </c>
      <c r="AG28" s="51">
        <f t="shared" si="5"/>
        <v>697118</v>
      </c>
      <c r="AI28" s="100"/>
      <c r="AJ28" s="168"/>
      <c r="AK28" s="168"/>
      <c r="AL28" s="168"/>
      <c r="AM28" s="168"/>
      <c r="AN28" s="189"/>
      <c r="AO28" s="171"/>
      <c r="AP28" s="168"/>
      <c r="AQ28" s="168"/>
      <c r="AR28" s="100"/>
      <c r="AS28" s="157"/>
    </row>
    <row r="29" spans="2:45" ht="17" thickBot="1">
      <c r="B29" s="64" t="s">
        <v>175</v>
      </c>
      <c r="C29" s="64" t="s">
        <v>174</v>
      </c>
      <c r="D29" s="64">
        <v>2450</v>
      </c>
      <c r="E29" s="64">
        <v>50</v>
      </c>
      <c r="F29" s="182">
        <f t="shared" si="6"/>
        <v>2400</v>
      </c>
      <c r="G29" s="66">
        <f t="shared" si="7"/>
        <v>2500</v>
      </c>
      <c r="H29" s="68">
        <v>100000</v>
      </c>
      <c r="I29" s="68">
        <v>100000</v>
      </c>
      <c r="J29">
        <f t="shared" si="0"/>
        <v>316118</v>
      </c>
      <c r="K29" s="51">
        <f t="shared" si="1"/>
        <v>316118</v>
      </c>
      <c r="M29" s="64" t="s">
        <v>116</v>
      </c>
      <c r="N29" s="64" t="s">
        <v>179</v>
      </c>
      <c r="O29" s="64">
        <v>2465</v>
      </c>
      <c r="P29" s="64">
        <v>7</v>
      </c>
      <c r="Q29" s="182">
        <f t="shared" si="8"/>
        <v>2458</v>
      </c>
      <c r="R29" s="66">
        <f t="shared" si="9"/>
        <v>2472</v>
      </c>
      <c r="S29" s="182">
        <v>0.5</v>
      </c>
      <c r="T29" s="182">
        <v>0.5</v>
      </c>
      <c r="U29">
        <f t="shared" si="2"/>
        <v>748118</v>
      </c>
      <c r="V29" s="51">
        <f t="shared" si="3"/>
        <v>748118</v>
      </c>
      <c r="X29" s="64" t="s">
        <v>177</v>
      </c>
      <c r="Y29" s="64" t="s">
        <v>176</v>
      </c>
      <c r="Z29" s="64">
        <v>2450</v>
      </c>
      <c r="AA29" s="64">
        <v>50</v>
      </c>
      <c r="AB29" s="182">
        <f t="shared" si="10"/>
        <v>2400</v>
      </c>
      <c r="AC29" s="66">
        <f t="shared" si="11"/>
        <v>2500</v>
      </c>
      <c r="AD29" s="64">
        <v>50000</v>
      </c>
      <c r="AE29" s="64">
        <v>50000</v>
      </c>
      <c r="AF29">
        <f t="shared" si="4"/>
        <v>678118</v>
      </c>
      <c r="AG29" s="51">
        <f t="shared" si="5"/>
        <v>678118</v>
      </c>
      <c r="AI29" s="100"/>
      <c r="AJ29" s="168"/>
      <c r="AK29" s="168"/>
      <c r="AL29" s="168"/>
      <c r="AM29" s="168"/>
      <c r="AN29" s="189"/>
      <c r="AO29" s="171"/>
      <c r="AP29" s="189"/>
      <c r="AQ29" s="189"/>
      <c r="AR29" s="100"/>
      <c r="AS29" s="157"/>
    </row>
    <row r="30" spans="2:45" ht="17" thickBot="1">
      <c r="B30" s="64" t="s">
        <v>177</v>
      </c>
      <c r="C30" s="64" t="s">
        <v>176</v>
      </c>
      <c r="D30" s="64">
        <v>2450</v>
      </c>
      <c r="E30" s="64">
        <v>50</v>
      </c>
      <c r="F30" s="182">
        <f t="shared" si="6"/>
        <v>2400</v>
      </c>
      <c r="G30" s="66">
        <f t="shared" si="7"/>
        <v>2500</v>
      </c>
      <c r="H30" s="64">
        <v>50000</v>
      </c>
      <c r="I30" s="64">
        <v>50000</v>
      </c>
      <c r="J30">
        <f t="shared" si="0"/>
        <v>216118</v>
      </c>
      <c r="K30" s="51">
        <f t="shared" si="1"/>
        <v>216118</v>
      </c>
      <c r="M30" s="64" t="s">
        <v>181</v>
      </c>
      <c r="N30" s="64" t="s">
        <v>180</v>
      </c>
      <c r="O30" s="64">
        <v>2465</v>
      </c>
      <c r="P30" s="64">
        <v>15</v>
      </c>
      <c r="Q30" s="182">
        <f t="shared" si="8"/>
        <v>2450</v>
      </c>
      <c r="R30" s="66">
        <f t="shared" si="9"/>
        <v>2480</v>
      </c>
      <c r="S30" s="64">
        <v>0.5</v>
      </c>
      <c r="T30" s="64">
        <v>0.5</v>
      </c>
      <c r="U30">
        <f t="shared" si="2"/>
        <v>748117.5</v>
      </c>
      <c r="V30" s="51">
        <f t="shared" si="3"/>
        <v>748117.5</v>
      </c>
      <c r="X30" s="64" t="s">
        <v>175</v>
      </c>
      <c r="Y30" s="64" t="s">
        <v>174</v>
      </c>
      <c r="Z30" s="64">
        <v>2450</v>
      </c>
      <c r="AA30" s="64">
        <v>50</v>
      </c>
      <c r="AB30" s="182">
        <f t="shared" si="10"/>
        <v>2400</v>
      </c>
      <c r="AC30" s="66">
        <f t="shared" si="11"/>
        <v>2500</v>
      </c>
      <c r="AD30" s="68">
        <v>100000</v>
      </c>
      <c r="AE30" s="68">
        <v>100000</v>
      </c>
      <c r="AF30">
        <f t="shared" si="4"/>
        <v>628118</v>
      </c>
      <c r="AG30" s="51">
        <f t="shared" si="5"/>
        <v>628118</v>
      </c>
      <c r="AI30" s="100"/>
      <c r="AJ30" s="168"/>
      <c r="AK30" s="168"/>
      <c r="AL30" s="168"/>
      <c r="AM30" s="168"/>
      <c r="AN30" s="189"/>
      <c r="AO30" s="171"/>
      <c r="AP30" s="168"/>
      <c r="AQ30" s="168"/>
      <c r="AR30" s="100"/>
      <c r="AS30" s="157"/>
    </row>
    <row r="31" spans="2:45" ht="17" thickBot="1">
      <c r="B31" s="64" t="s">
        <v>168</v>
      </c>
      <c r="C31" s="64" t="s">
        <v>169</v>
      </c>
      <c r="D31" s="64">
        <v>2445</v>
      </c>
      <c r="E31" s="64">
        <v>5</v>
      </c>
      <c r="F31" s="182">
        <f t="shared" si="6"/>
        <v>2440</v>
      </c>
      <c r="G31" s="66">
        <f t="shared" si="7"/>
        <v>2450</v>
      </c>
      <c r="H31" s="64">
        <v>19000</v>
      </c>
      <c r="I31" s="64">
        <v>19000</v>
      </c>
      <c r="J31">
        <f t="shared" si="0"/>
        <v>166118</v>
      </c>
      <c r="K31" s="51">
        <f t="shared" si="1"/>
        <v>166118</v>
      </c>
      <c r="M31" s="64" t="s">
        <v>183</v>
      </c>
      <c r="N31" s="64" t="s">
        <v>182</v>
      </c>
      <c r="O31" s="64">
        <v>2480</v>
      </c>
      <c r="P31" s="64">
        <v>6</v>
      </c>
      <c r="Q31" s="182">
        <f t="shared" si="8"/>
        <v>2474</v>
      </c>
      <c r="R31" s="66">
        <f t="shared" si="9"/>
        <v>2486</v>
      </c>
      <c r="S31" s="182">
        <v>0.5</v>
      </c>
      <c r="T31" s="182">
        <v>0.5</v>
      </c>
      <c r="U31">
        <f t="shared" si="2"/>
        <v>748117</v>
      </c>
      <c r="V31" s="51">
        <f t="shared" si="3"/>
        <v>748117</v>
      </c>
      <c r="X31" s="64" t="s">
        <v>116</v>
      </c>
      <c r="Y31" s="64" t="s">
        <v>173</v>
      </c>
      <c r="Z31" s="64">
        <v>2450</v>
      </c>
      <c r="AA31" s="64">
        <v>50</v>
      </c>
      <c r="AB31" s="182">
        <f t="shared" si="10"/>
        <v>2400</v>
      </c>
      <c r="AC31" s="66">
        <f t="shared" si="11"/>
        <v>2500</v>
      </c>
      <c r="AD31" s="68">
        <v>100000</v>
      </c>
      <c r="AE31" s="68">
        <v>100000</v>
      </c>
      <c r="AF31">
        <f t="shared" si="4"/>
        <v>528118</v>
      </c>
      <c r="AG31" s="51">
        <f t="shared" si="5"/>
        <v>528118</v>
      </c>
      <c r="AI31" s="100"/>
      <c r="AJ31" s="168"/>
      <c r="AK31" s="168"/>
      <c r="AL31" s="168"/>
      <c r="AM31" s="168"/>
      <c r="AN31" s="189"/>
      <c r="AO31" s="171"/>
      <c r="AP31" s="189"/>
      <c r="AQ31" s="189"/>
      <c r="AR31" s="100"/>
      <c r="AS31" s="157"/>
    </row>
    <row r="32" spans="2:45" ht="17" thickBot="1">
      <c r="B32" s="64" t="s">
        <v>168</v>
      </c>
      <c r="C32" s="64" t="s">
        <v>170</v>
      </c>
      <c r="D32" s="64">
        <v>2449</v>
      </c>
      <c r="E32" s="64">
        <v>3</v>
      </c>
      <c r="F32" s="182">
        <f t="shared" si="6"/>
        <v>2446</v>
      </c>
      <c r="G32" s="66">
        <f t="shared" si="7"/>
        <v>2452</v>
      </c>
      <c r="H32" s="64">
        <v>19000</v>
      </c>
      <c r="I32" s="64">
        <v>19000</v>
      </c>
      <c r="J32">
        <f t="shared" si="0"/>
        <v>147118</v>
      </c>
      <c r="K32" s="51">
        <f t="shared" si="1"/>
        <v>147118</v>
      </c>
      <c r="M32" s="64" t="s">
        <v>168</v>
      </c>
      <c r="N32" s="64" t="s">
        <v>167</v>
      </c>
      <c r="O32" s="64">
        <v>2445</v>
      </c>
      <c r="P32" s="64">
        <v>50</v>
      </c>
      <c r="Q32" s="182">
        <f t="shared" si="8"/>
        <v>2395</v>
      </c>
      <c r="R32" s="66">
        <f t="shared" si="9"/>
        <v>2495</v>
      </c>
      <c r="S32" s="68">
        <v>100000</v>
      </c>
      <c r="T32" s="68">
        <v>100000</v>
      </c>
      <c r="U32">
        <f t="shared" si="2"/>
        <v>748116.5</v>
      </c>
      <c r="V32" s="51">
        <f t="shared" si="3"/>
        <v>748116.5</v>
      </c>
      <c r="X32" s="64" t="s">
        <v>172</v>
      </c>
      <c r="Y32" s="64" t="s">
        <v>171</v>
      </c>
      <c r="Z32" s="64">
        <v>2450</v>
      </c>
      <c r="AA32" s="64">
        <v>50</v>
      </c>
      <c r="AB32" s="182">
        <f t="shared" si="10"/>
        <v>2400</v>
      </c>
      <c r="AC32" s="66">
        <f t="shared" si="11"/>
        <v>2500</v>
      </c>
      <c r="AD32" s="183">
        <v>300000</v>
      </c>
      <c r="AE32" s="183">
        <v>300000</v>
      </c>
      <c r="AF32">
        <f t="shared" si="4"/>
        <v>428118</v>
      </c>
      <c r="AG32" s="51">
        <f t="shared" si="5"/>
        <v>428118</v>
      </c>
      <c r="AI32" s="100"/>
      <c r="AJ32" s="168"/>
      <c r="AK32" s="168"/>
      <c r="AL32" s="168"/>
      <c r="AM32" s="168"/>
      <c r="AN32" s="189"/>
      <c r="AO32" s="171"/>
      <c r="AP32" s="168"/>
      <c r="AQ32" s="168"/>
      <c r="AR32" s="100"/>
      <c r="AS32" s="157"/>
    </row>
    <row r="33" spans="2:45" ht="17" thickBot="1">
      <c r="B33" s="64" t="s">
        <v>181</v>
      </c>
      <c r="C33" s="64" t="s">
        <v>180</v>
      </c>
      <c r="D33" s="64">
        <v>2465</v>
      </c>
      <c r="E33" s="64">
        <v>15</v>
      </c>
      <c r="F33" s="182">
        <f t="shared" si="6"/>
        <v>2450</v>
      </c>
      <c r="G33" s="66">
        <f t="shared" si="7"/>
        <v>2480</v>
      </c>
      <c r="H33" s="64">
        <v>0.5</v>
      </c>
      <c r="I33" s="64">
        <v>0.5</v>
      </c>
      <c r="J33">
        <f t="shared" si="0"/>
        <v>128118</v>
      </c>
      <c r="K33" s="51">
        <f t="shared" si="1"/>
        <v>128118</v>
      </c>
      <c r="M33" s="70" t="s">
        <v>177</v>
      </c>
      <c r="N33" s="64" t="s">
        <v>176</v>
      </c>
      <c r="O33" s="64">
        <v>2450</v>
      </c>
      <c r="P33" s="70">
        <v>50</v>
      </c>
      <c r="Q33" s="182">
        <f t="shared" si="8"/>
        <v>2400</v>
      </c>
      <c r="R33" s="66">
        <f t="shared" si="9"/>
        <v>2500</v>
      </c>
      <c r="S33" s="64">
        <v>50000</v>
      </c>
      <c r="T33" s="64">
        <v>50000</v>
      </c>
      <c r="U33">
        <f t="shared" si="2"/>
        <v>648116.5</v>
      </c>
      <c r="V33" s="51">
        <f t="shared" si="3"/>
        <v>648116.5</v>
      </c>
      <c r="X33" s="64" t="s">
        <v>168</v>
      </c>
      <c r="Y33" s="64" t="s">
        <v>178</v>
      </c>
      <c r="Z33" s="64">
        <v>2461</v>
      </c>
      <c r="AA33" s="64">
        <v>6</v>
      </c>
      <c r="AB33" s="182">
        <f t="shared" si="10"/>
        <v>2455</v>
      </c>
      <c r="AC33" s="66">
        <f t="shared" si="11"/>
        <v>2467</v>
      </c>
      <c r="AD33" s="64">
        <v>30000</v>
      </c>
      <c r="AE33" s="64">
        <v>30000</v>
      </c>
      <c r="AF33">
        <f t="shared" si="4"/>
        <v>128118</v>
      </c>
      <c r="AG33" s="51">
        <f t="shared" si="5"/>
        <v>128118</v>
      </c>
      <c r="AI33" s="100"/>
      <c r="AJ33" s="168"/>
      <c r="AK33" s="168"/>
      <c r="AL33" s="168"/>
      <c r="AM33" s="168"/>
      <c r="AN33" s="189"/>
      <c r="AO33" s="171"/>
      <c r="AP33" s="190"/>
      <c r="AQ33" s="190"/>
      <c r="AR33" s="100"/>
      <c r="AS33" s="157"/>
    </row>
    <row r="34" spans="2:45" ht="17" thickBot="1">
      <c r="B34" s="64" t="s">
        <v>186</v>
      </c>
      <c r="C34" s="64" t="s">
        <v>185</v>
      </c>
      <c r="D34" s="64">
        <v>2500</v>
      </c>
      <c r="E34" s="64">
        <v>50</v>
      </c>
      <c r="F34" s="182">
        <f t="shared" si="6"/>
        <v>2450</v>
      </c>
      <c r="G34" s="66">
        <f t="shared" si="7"/>
        <v>2550</v>
      </c>
      <c r="H34" s="64">
        <v>1000</v>
      </c>
      <c r="I34" s="64">
        <v>1000</v>
      </c>
      <c r="J34">
        <f t="shared" si="0"/>
        <v>128117.5</v>
      </c>
      <c r="K34" s="51">
        <f t="shared" si="1"/>
        <v>128117.5</v>
      </c>
      <c r="M34" s="64" t="s">
        <v>175</v>
      </c>
      <c r="N34" s="70" t="s">
        <v>174</v>
      </c>
      <c r="O34" s="64">
        <v>2450</v>
      </c>
      <c r="P34" s="64">
        <v>50</v>
      </c>
      <c r="Q34" s="182">
        <f t="shared" si="8"/>
        <v>2400</v>
      </c>
      <c r="R34" s="66">
        <f t="shared" si="9"/>
        <v>2500</v>
      </c>
      <c r="S34" s="68">
        <v>100000</v>
      </c>
      <c r="T34" s="68">
        <v>100000</v>
      </c>
      <c r="U34">
        <f t="shared" si="2"/>
        <v>598116.5</v>
      </c>
      <c r="V34" s="51">
        <f t="shared" si="3"/>
        <v>598116.5</v>
      </c>
      <c r="X34" s="64" t="s">
        <v>116</v>
      </c>
      <c r="Y34" s="64" t="s">
        <v>179</v>
      </c>
      <c r="Z34" s="64">
        <v>2465</v>
      </c>
      <c r="AA34" s="64">
        <v>7</v>
      </c>
      <c r="AB34" s="182">
        <f t="shared" si="10"/>
        <v>2458</v>
      </c>
      <c r="AC34" s="66">
        <f t="shared" si="11"/>
        <v>2472</v>
      </c>
      <c r="AD34" s="182">
        <v>0.5</v>
      </c>
      <c r="AE34" s="182">
        <v>0.5</v>
      </c>
      <c r="AF34">
        <f t="shared" si="4"/>
        <v>98118</v>
      </c>
      <c r="AG34" s="51">
        <f t="shared" si="5"/>
        <v>98118</v>
      </c>
      <c r="AI34" s="100"/>
      <c r="AJ34" s="168"/>
      <c r="AK34" s="168"/>
      <c r="AL34" s="168"/>
      <c r="AM34" s="168"/>
      <c r="AN34" s="189"/>
      <c r="AO34" s="171"/>
      <c r="AP34" s="168"/>
      <c r="AQ34" s="168"/>
      <c r="AR34" s="100"/>
      <c r="AS34" s="157"/>
    </row>
    <row r="35" spans="2:45" ht="17" thickBot="1">
      <c r="B35" s="64" t="s">
        <v>168</v>
      </c>
      <c r="C35" s="64" t="s">
        <v>178</v>
      </c>
      <c r="D35" s="64">
        <v>2461</v>
      </c>
      <c r="E35" s="64">
        <v>6</v>
      </c>
      <c r="F35" s="182">
        <f t="shared" si="6"/>
        <v>2455</v>
      </c>
      <c r="G35" s="66">
        <f t="shared" si="7"/>
        <v>2467</v>
      </c>
      <c r="H35" s="64">
        <v>30000</v>
      </c>
      <c r="I35" s="64">
        <v>30000</v>
      </c>
      <c r="J35">
        <f t="shared" si="0"/>
        <v>127117.5</v>
      </c>
      <c r="K35" s="51">
        <f t="shared" si="1"/>
        <v>127117.5</v>
      </c>
      <c r="M35" s="64" t="s">
        <v>116</v>
      </c>
      <c r="N35" s="64" t="s">
        <v>173</v>
      </c>
      <c r="O35" s="64">
        <v>2450</v>
      </c>
      <c r="P35" s="64">
        <v>50</v>
      </c>
      <c r="Q35" s="182">
        <f t="shared" si="8"/>
        <v>2400</v>
      </c>
      <c r="R35" s="66">
        <f t="shared" si="9"/>
        <v>2500</v>
      </c>
      <c r="S35" s="68">
        <v>100000</v>
      </c>
      <c r="T35" s="68">
        <v>100000</v>
      </c>
      <c r="U35">
        <f t="shared" si="2"/>
        <v>498116.5</v>
      </c>
      <c r="V35" s="51">
        <f t="shared" si="3"/>
        <v>498116.5</v>
      </c>
      <c r="X35" s="64" t="s">
        <v>181</v>
      </c>
      <c r="Y35" s="64" t="s">
        <v>180</v>
      </c>
      <c r="Z35" s="64">
        <v>2465</v>
      </c>
      <c r="AA35" s="64">
        <v>15</v>
      </c>
      <c r="AB35" s="182">
        <f t="shared" si="10"/>
        <v>2450</v>
      </c>
      <c r="AC35" s="66">
        <f t="shared" si="11"/>
        <v>2480</v>
      </c>
      <c r="AD35" s="64">
        <v>0.5</v>
      </c>
      <c r="AE35" s="64">
        <v>0.5</v>
      </c>
      <c r="AF35">
        <f t="shared" ref="AF35:AF58" si="12">AF36+AE35</f>
        <v>98117.5</v>
      </c>
      <c r="AG35" s="51">
        <f t="shared" ref="AG35:AG58" si="13">AG36+AD35</f>
        <v>98117.5</v>
      </c>
      <c r="AI35" s="100"/>
      <c r="AJ35" s="168"/>
      <c r="AK35" s="168"/>
      <c r="AL35" s="168"/>
      <c r="AM35" s="168"/>
      <c r="AN35" s="189"/>
      <c r="AO35" s="171"/>
      <c r="AP35" s="168"/>
      <c r="AQ35" s="168"/>
      <c r="AR35" s="100"/>
      <c r="AS35" s="157"/>
    </row>
    <row r="36" spans="2:45" ht="17" thickBot="1">
      <c r="B36" s="64" t="s">
        <v>168</v>
      </c>
      <c r="C36" s="64" t="s">
        <v>188</v>
      </c>
      <c r="D36" s="64">
        <v>2505</v>
      </c>
      <c r="E36" s="64">
        <v>50</v>
      </c>
      <c r="F36" s="182">
        <f t="shared" si="6"/>
        <v>2455</v>
      </c>
      <c r="G36" s="66">
        <f t="shared" si="7"/>
        <v>2555</v>
      </c>
      <c r="H36" s="64">
        <v>3000</v>
      </c>
      <c r="I36" s="64">
        <v>3000</v>
      </c>
      <c r="J36">
        <f t="shared" si="0"/>
        <v>97117.5</v>
      </c>
      <c r="K36" s="51">
        <f t="shared" si="1"/>
        <v>97117.5</v>
      </c>
      <c r="M36" s="64" t="s">
        <v>172</v>
      </c>
      <c r="N36" s="64" t="s">
        <v>171</v>
      </c>
      <c r="O36" s="64">
        <v>2450</v>
      </c>
      <c r="P36" s="64">
        <v>50</v>
      </c>
      <c r="Q36" s="182">
        <f t="shared" si="8"/>
        <v>2400</v>
      </c>
      <c r="R36" s="66">
        <f t="shared" si="9"/>
        <v>2500</v>
      </c>
      <c r="S36" s="183">
        <v>300000</v>
      </c>
      <c r="T36" s="183">
        <v>300000</v>
      </c>
      <c r="U36">
        <f t="shared" si="2"/>
        <v>398116.5</v>
      </c>
      <c r="V36" s="51">
        <f t="shared" si="3"/>
        <v>398116.5</v>
      </c>
      <c r="X36" s="64" t="s">
        <v>183</v>
      </c>
      <c r="Y36" s="70" t="s">
        <v>182</v>
      </c>
      <c r="Z36" s="64">
        <v>2480</v>
      </c>
      <c r="AA36" s="64">
        <v>6</v>
      </c>
      <c r="AB36" s="182">
        <f t="shared" si="10"/>
        <v>2474</v>
      </c>
      <c r="AC36" s="66">
        <f t="shared" si="11"/>
        <v>2486</v>
      </c>
      <c r="AD36" s="182">
        <v>0.5</v>
      </c>
      <c r="AE36" s="182">
        <v>0.5</v>
      </c>
      <c r="AF36">
        <f t="shared" si="12"/>
        <v>98117</v>
      </c>
      <c r="AG36" s="51">
        <f t="shared" si="13"/>
        <v>98117</v>
      </c>
      <c r="AI36" s="100"/>
      <c r="AJ36" s="168"/>
      <c r="AK36" s="168"/>
      <c r="AL36" s="168"/>
      <c r="AM36" s="168"/>
      <c r="AN36" s="189"/>
      <c r="AO36" s="171"/>
      <c r="AP36" s="168"/>
      <c r="AQ36" s="168"/>
      <c r="AR36" s="100"/>
      <c r="AS36" s="157"/>
    </row>
    <row r="37" spans="2:45" ht="17" thickBot="1">
      <c r="B37" s="64" t="s">
        <v>116</v>
      </c>
      <c r="C37" s="64" t="s">
        <v>179</v>
      </c>
      <c r="D37" s="64">
        <v>2465</v>
      </c>
      <c r="E37" s="64">
        <v>7</v>
      </c>
      <c r="F37" s="182">
        <f t="shared" si="6"/>
        <v>2458</v>
      </c>
      <c r="G37" s="66">
        <f t="shared" si="7"/>
        <v>2472</v>
      </c>
      <c r="H37" s="182">
        <v>0.5</v>
      </c>
      <c r="I37" s="182">
        <v>0.5</v>
      </c>
      <c r="J37">
        <f t="shared" si="0"/>
        <v>94117.5</v>
      </c>
      <c r="K37" s="51">
        <f t="shared" si="1"/>
        <v>94117.5</v>
      </c>
      <c r="M37" s="64" t="s">
        <v>168</v>
      </c>
      <c r="N37" s="64" t="s">
        <v>184</v>
      </c>
      <c r="O37" s="64">
        <v>2495</v>
      </c>
      <c r="P37" s="64">
        <v>16</v>
      </c>
      <c r="Q37" s="182">
        <f t="shared" si="8"/>
        <v>2479</v>
      </c>
      <c r="R37" s="66">
        <f t="shared" si="9"/>
        <v>2511</v>
      </c>
      <c r="S37" s="64">
        <v>13000</v>
      </c>
      <c r="T37" s="64">
        <v>13000</v>
      </c>
      <c r="U37">
        <f t="shared" si="2"/>
        <v>98116.5</v>
      </c>
      <c r="V37" s="51">
        <f t="shared" si="3"/>
        <v>98116.5</v>
      </c>
      <c r="X37" s="64" t="s">
        <v>168</v>
      </c>
      <c r="Y37" s="64" t="s">
        <v>184</v>
      </c>
      <c r="Z37" s="64">
        <v>2495</v>
      </c>
      <c r="AA37" s="64">
        <v>16</v>
      </c>
      <c r="AB37" s="182">
        <f t="shared" si="10"/>
        <v>2479</v>
      </c>
      <c r="AC37" s="66">
        <f t="shared" si="11"/>
        <v>2511</v>
      </c>
      <c r="AD37" s="64">
        <v>13000</v>
      </c>
      <c r="AE37" s="64">
        <v>13000</v>
      </c>
      <c r="AF37">
        <f t="shared" si="12"/>
        <v>98116.5</v>
      </c>
      <c r="AG37" s="51">
        <f t="shared" si="13"/>
        <v>98116.5</v>
      </c>
      <c r="AI37" s="100"/>
      <c r="AJ37" s="168"/>
      <c r="AK37" s="168"/>
      <c r="AL37" s="168"/>
      <c r="AM37" s="168"/>
      <c r="AN37" s="189"/>
      <c r="AO37" s="171"/>
      <c r="AP37" s="168"/>
      <c r="AQ37" s="168"/>
      <c r="AR37" s="100"/>
      <c r="AS37" s="157"/>
    </row>
    <row r="38" spans="2:45" ht="17" thickBot="1">
      <c r="B38" s="64" t="s">
        <v>191</v>
      </c>
      <c r="C38" s="69" t="s">
        <v>190</v>
      </c>
      <c r="D38" s="64">
        <v>2610</v>
      </c>
      <c r="E38" s="64">
        <v>140</v>
      </c>
      <c r="F38" s="182">
        <f t="shared" si="6"/>
        <v>2470</v>
      </c>
      <c r="G38" s="66">
        <f t="shared" si="7"/>
        <v>2750</v>
      </c>
      <c r="H38" s="64">
        <v>1</v>
      </c>
      <c r="I38" s="64">
        <v>1</v>
      </c>
      <c r="J38">
        <f t="shared" si="0"/>
        <v>94117</v>
      </c>
      <c r="K38" s="51">
        <f t="shared" si="1"/>
        <v>94117</v>
      </c>
      <c r="M38" s="64" t="s">
        <v>186</v>
      </c>
      <c r="N38" s="64" t="s">
        <v>185</v>
      </c>
      <c r="O38" s="64">
        <v>2500</v>
      </c>
      <c r="P38" s="64">
        <v>50</v>
      </c>
      <c r="Q38" s="182">
        <f t="shared" si="8"/>
        <v>2450</v>
      </c>
      <c r="R38" s="66">
        <f t="shared" si="9"/>
        <v>2550</v>
      </c>
      <c r="S38" s="64">
        <v>1000</v>
      </c>
      <c r="T38" s="64">
        <v>1000</v>
      </c>
      <c r="U38">
        <f t="shared" si="2"/>
        <v>85116.5</v>
      </c>
      <c r="V38" s="51">
        <f t="shared" si="3"/>
        <v>85116.5</v>
      </c>
      <c r="X38" s="64" t="s">
        <v>186</v>
      </c>
      <c r="Y38" s="64" t="s">
        <v>185</v>
      </c>
      <c r="Z38" s="64">
        <v>2500</v>
      </c>
      <c r="AA38" s="64">
        <v>50</v>
      </c>
      <c r="AB38" s="182">
        <f t="shared" si="10"/>
        <v>2450</v>
      </c>
      <c r="AC38" s="66">
        <f t="shared" si="11"/>
        <v>2550</v>
      </c>
      <c r="AD38" s="64">
        <v>1000</v>
      </c>
      <c r="AE38" s="64">
        <v>1000</v>
      </c>
      <c r="AF38">
        <f t="shared" si="12"/>
        <v>85116.5</v>
      </c>
      <c r="AG38" s="51">
        <f t="shared" si="13"/>
        <v>85116.5</v>
      </c>
      <c r="AI38" s="100"/>
      <c r="AJ38" s="168"/>
      <c r="AK38" s="168"/>
      <c r="AL38" s="168"/>
      <c r="AM38" s="168"/>
      <c r="AN38" s="189"/>
      <c r="AO38" s="171"/>
      <c r="AP38" s="168"/>
      <c r="AQ38" s="168"/>
      <c r="AR38" s="100"/>
      <c r="AS38" s="157"/>
    </row>
    <row r="39" spans="2:45" ht="17" thickBot="1">
      <c r="B39" s="64" t="s">
        <v>183</v>
      </c>
      <c r="C39" s="64" t="s">
        <v>182</v>
      </c>
      <c r="D39" s="64">
        <v>2480</v>
      </c>
      <c r="E39" s="64">
        <v>6</v>
      </c>
      <c r="F39" s="182">
        <f t="shared" si="6"/>
        <v>2474</v>
      </c>
      <c r="G39" s="66">
        <f t="shared" si="7"/>
        <v>2486</v>
      </c>
      <c r="H39" s="182">
        <v>0.5</v>
      </c>
      <c r="I39" s="182">
        <v>0.5</v>
      </c>
      <c r="J39">
        <f t="shared" si="0"/>
        <v>94116</v>
      </c>
      <c r="K39" s="51">
        <f t="shared" si="1"/>
        <v>94116</v>
      </c>
      <c r="M39" s="64" t="s">
        <v>168</v>
      </c>
      <c r="N39" s="64" t="s">
        <v>188</v>
      </c>
      <c r="O39" s="64">
        <v>2505</v>
      </c>
      <c r="P39" s="64">
        <v>50</v>
      </c>
      <c r="Q39" s="182">
        <f t="shared" si="8"/>
        <v>2455</v>
      </c>
      <c r="R39" s="66">
        <f t="shared" si="9"/>
        <v>2555</v>
      </c>
      <c r="S39" s="64">
        <v>3000</v>
      </c>
      <c r="T39" s="64">
        <v>3000</v>
      </c>
      <c r="U39">
        <f t="shared" si="2"/>
        <v>84116.5</v>
      </c>
      <c r="V39" s="51">
        <f t="shared" si="3"/>
        <v>84116.5</v>
      </c>
      <c r="X39" s="64" t="s">
        <v>168</v>
      </c>
      <c r="Y39" s="64" t="s">
        <v>188</v>
      </c>
      <c r="Z39" s="64">
        <v>2505</v>
      </c>
      <c r="AA39" s="64">
        <v>50</v>
      </c>
      <c r="AB39" s="182">
        <f t="shared" si="10"/>
        <v>2455</v>
      </c>
      <c r="AC39" s="66">
        <f t="shared" si="11"/>
        <v>2555</v>
      </c>
      <c r="AD39" s="64">
        <v>3000</v>
      </c>
      <c r="AE39" s="64">
        <v>3000</v>
      </c>
      <c r="AF39">
        <f t="shared" si="12"/>
        <v>84116.5</v>
      </c>
      <c r="AG39" s="51">
        <f t="shared" si="13"/>
        <v>84116.5</v>
      </c>
      <c r="AI39" s="100"/>
      <c r="AJ39" s="168"/>
      <c r="AK39" s="168"/>
      <c r="AL39" s="168"/>
      <c r="AM39" s="168"/>
      <c r="AN39" s="189"/>
      <c r="AO39" s="171"/>
      <c r="AP39" s="168"/>
      <c r="AQ39" s="168"/>
      <c r="AR39" s="100"/>
      <c r="AS39" s="157"/>
    </row>
    <row r="40" spans="2:45" ht="17" thickBot="1">
      <c r="B40" s="64" t="s">
        <v>168</v>
      </c>
      <c r="C40" s="64" t="s">
        <v>184</v>
      </c>
      <c r="D40" s="64">
        <v>2495</v>
      </c>
      <c r="E40" s="64">
        <v>16</v>
      </c>
      <c r="F40" s="182">
        <f t="shared" si="6"/>
        <v>2479</v>
      </c>
      <c r="G40" s="66">
        <f t="shared" si="7"/>
        <v>2511</v>
      </c>
      <c r="H40" s="64">
        <v>13000</v>
      </c>
      <c r="I40" s="64">
        <v>13000</v>
      </c>
      <c r="J40">
        <f t="shared" si="0"/>
        <v>94115.5</v>
      </c>
      <c r="K40" s="51">
        <f t="shared" si="1"/>
        <v>94115.5</v>
      </c>
      <c r="M40" s="64" t="s">
        <v>98</v>
      </c>
      <c r="N40" s="64" t="s">
        <v>187</v>
      </c>
      <c r="O40" s="184">
        <v>2520</v>
      </c>
      <c r="P40" s="64">
        <v>40</v>
      </c>
      <c r="Q40" s="182">
        <f t="shared" si="8"/>
        <v>2480</v>
      </c>
      <c r="R40" s="66">
        <f t="shared" si="9"/>
        <v>2560</v>
      </c>
      <c r="S40" s="64">
        <v>0.5</v>
      </c>
      <c r="T40" s="64">
        <v>0.5</v>
      </c>
      <c r="U40">
        <f t="shared" si="2"/>
        <v>81116.5</v>
      </c>
      <c r="V40" s="51">
        <f t="shared" si="3"/>
        <v>81116.5</v>
      </c>
      <c r="X40" s="64" t="s">
        <v>98</v>
      </c>
      <c r="Y40" s="64" t="s">
        <v>187</v>
      </c>
      <c r="Z40" s="184">
        <v>2520</v>
      </c>
      <c r="AA40" s="64">
        <v>40</v>
      </c>
      <c r="AB40" s="182">
        <f t="shared" si="10"/>
        <v>2480</v>
      </c>
      <c r="AC40" s="66">
        <f t="shared" si="11"/>
        <v>2560</v>
      </c>
      <c r="AD40" s="64">
        <v>0.5</v>
      </c>
      <c r="AE40" s="64">
        <v>0.5</v>
      </c>
      <c r="AF40">
        <f t="shared" si="12"/>
        <v>81116.5</v>
      </c>
      <c r="AG40" s="51">
        <f t="shared" si="13"/>
        <v>81116.5</v>
      </c>
      <c r="AI40" s="100"/>
      <c r="AJ40" s="168"/>
      <c r="AK40" s="168"/>
      <c r="AL40" s="191"/>
      <c r="AM40" s="168"/>
      <c r="AN40" s="189"/>
      <c r="AO40" s="171"/>
      <c r="AP40" s="168"/>
      <c r="AQ40" s="168"/>
      <c r="AR40" s="100"/>
      <c r="AS40" s="157"/>
    </row>
    <row r="41" spans="2:45" ht="17" thickBot="1">
      <c r="B41" s="64" t="s">
        <v>98</v>
      </c>
      <c r="C41" s="64" t="s">
        <v>187</v>
      </c>
      <c r="D41" s="184">
        <v>2520</v>
      </c>
      <c r="E41" s="64">
        <v>40</v>
      </c>
      <c r="F41" s="182">
        <f t="shared" si="6"/>
        <v>2480</v>
      </c>
      <c r="G41" s="66">
        <f t="shared" si="7"/>
        <v>2560</v>
      </c>
      <c r="H41" s="64">
        <v>0.5</v>
      </c>
      <c r="I41" s="64">
        <v>0.5</v>
      </c>
      <c r="J41">
        <f t="shared" si="0"/>
        <v>81115.5</v>
      </c>
      <c r="K41" s="51">
        <f t="shared" si="1"/>
        <v>81115.5</v>
      </c>
      <c r="M41" s="64" t="s">
        <v>168</v>
      </c>
      <c r="N41" s="64" t="s">
        <v>189</v>
      </c>
      <c r="O41" s="64">
        <v>2597</v>
      </c>
      <c r="P41" s="64">
        <v>5</v>
      </c>
      <c r="Q41" s="182">
        <f t="shared" si="8"/>
        <v>2592</v>
      </c>
      <c r="R41" s="66">
        <f t="shared" si="9"/>
        <v>2602</v>
      </c>
      <c r="S41" s="64">
        <v>17000</v>
      </c>
      <c r="T41" s="64">
        <v>17000</v>
      </c>
      <c r="U41">
        <f t="shared" si="2"/>
        <v>81116</v>
      </c>
      <c r="V41" s="51">
        <f t="shared" si="3"/>
        <v>81116</v>
      </c>
      <c r="X41" s="64" t="s">
        <v>168</v>
      </c>
      <c r="Y41" s="64" t="s">
        <v>189</v>
      </c>
      <c r="Z41" s="64">
        <v>2597</v>
      </c>
      <c r="AA41" s="64">
        <v>5</v>
      </c>
      <c r="AB41" s="182">
        <f t="shared" si="10"/>
        <v>2592</v>
      </c>
      <c r="AC41" s="66">
        <f t="shared" si="11"/>
        <v>2602</v>
      </c>
      <c r="AD41" s="64">
        <v>17000</v>
      </c>
      <c r="AE41" s="64">
        <v>17000</v>
      </c>
      <c r="AF41">
        <f t="shared" si="12"/>
        <v>81116</v>
      </c>
      <c r="AG41" s="51">
        <f t="shared" si="13"/>
        <v>81116</v>
      </c>
      <c r="AI41" s="100"/>
      <c r="AJ41" s="168"/>
      <c r="AK41" s="168"/>
      <c r="AL41" s="168"/>
      <c r="AM41" s="168"/>
      <c r="AN41" s="189"/>
      <c r="AO41" s="171"/>
      <c r="AP41" s="168"/>
      <c r="AQ41" s="168"/>
      <c r="AR41" s="100"/>
      <c r="AS41" s="157"/>
    </row>
    <row r="42" spans="2:45" ht="17" thickBot="1">
      <c r="B42" s="64" t="s">
        <v>98</v>
      </c>
      <c r="C42" s="69" t="s">
        <v>195</v>
      </c>
      <c r="D42" s="64">
        <v>2735</v>
      </c>
      <c r="E42" s="64">
        <v>165</v>
      </c>
      <c r="F42" s="182">
        <f t="shared" si="6"/>
        <v>2570</v>
      </c>
      <c r="G42" s="66">
        <f t="shared" si="7"/>
        <v>2900</v>
      </c>
      <c r="H42" s="64">
        <v>0.5</v>
      </c>
      <c r="I42" s="64">
        <v>0.5</v>
      </c>
      <c r="J42">
        <f t="shared" si="0"/>
        <v>81115</v>
      </c>
      <c r="K42" s="51">
        <f t="shared" si="1"/>
        <v>81115</v>
      </c>
      <c r="M42" s="64" t="s">
        <v>193</v>
      </c>
      <c r="N42" s="64" t="s">
        <v>192</v>
      </c>
      <c r="O42" s="64">
        <v>2614</v>
      </c>
      <c r="P42" s="64">
        <v>8</v>
      </c>
      <c r="Q42" s="182">
        <f t="shared" si="8"/>
        <v>2606</v>
      </c>
      <c r="R42" s="66">
        <f t="shared" si="9"/>
        <v>2622</v>
      </c>
      <c r="S42" s="64">
        <v>1000</v>
      </c>
      <c r="T42" s="64">
        <v>1000</v>
      </c>
      <c r="U42">
        <f t="shared" si="2"/>
        <v>64116</v>
      </c>
      <c r="V42" s="51">
        <f t="shared" si="3"/>
        <v>64116</v>
      </c>
      <c r="X42" s="70" t="s">
        <v>191</v>
      </c>
      <c r="Y42" s="69" t="s">
        <v>190</v>
      </c>
      <c r="Z42" s="64">
        <v>2610</v>
      </c>
      <c r="AA42" s="70">
        <v>140</v>
      </c>
      <c r="AB42" s="182">
        <f t="shared" si="10"/>
        <v>2470</v>
      </c>
      <c r="AC42" s="66">
        <f t="shared" si="11"/>
        <v>2750</v>
      </c>
      <c r="AD42" s="64">
        <v>1</v>
      </c>
      <c r="AE42" s="64">
        <v>1</v>
      </c>
      <c r="AF42">
        <f t="shared" si="12"/>
        <v>64116</v>
      </c>
      <c r="AG42" s="51">
        <f t="shared" si="13"/>
        <v>64116</v>
      </c>
      <c r="AI42" s="100"/>
      <c r="AJ42" s="168"/>
      <c r="AK42" s="168"/>
      <c r="AL42" s="168"/>
      <c r="AM42" s="168"/>
      <c r="AN42" s="189"/>
      <c r="AO42" s="171"/>
      <c r="AP42" s="168"/>
      <c r="AQ42" s="168"/>
      <c r="AR42" s="100"/>
      <c r="AS42" s="157"/>
    </row>
    <row r="43" spans="2:45" ht="17" thickBot="1">
      <c r="B43" s="64" t="s">
        <v>168</v>
      </c>
      <c r="C43" s="64" t="s">
        <v>189</v>
      </c>
      <c r="D43" s="64">
        <v>2597</v>
      </c>
      <c r="E43" s="64">
        <v>5</v>
      </c>
      <c r="F43" s="182">
        <f t="shared" si="6"/>
        <v>2592</v>
      </c>
      <c r="G43" s="66">
        <f t="shared" si="7"/>
        <v>2602</v>
      </c>
      <c r="H43" s="64">
        <v>17000</v>
      </c>
      <c r="I43" s="64">
        <v>17000</v>
      </c>
      <c r="J43">
        <f t="shared" si="0"/>
        <v>81114.5</v>
      </c>
      <c r="K43" s="51">
        <f t="shared" si="1"/>
        <v>81114.5</v>
      </c>
      <c r="M43" s="64" t="s">
        <v>193</v>
      </c>
      <c r="N43" s="64" t="s">
        <v>198</v>
      </c>
      <c r="O43" s="64">
        <v>2700</v>
      </c>
      <c r="P43" s="64">
        <v>7</v>
      </c>
      <c r="Q43" s="182">
        <f t="shared" si="8"/>
        <v>2693</v>
      </c>
      <c r="R43" s="66">
        <f t="shared" si="9"/>
        <v>2707</v>
      </c>
      <c r="S43" s="64">
        <v>1000</v>
      </c>
      <c r="T43" s="64">
        <v>1000</v>
      </c>
      <c r="U43">
        <f t="shared" si="2"/>
        <v>63116</v>
      </c>
      <c r="V43" s="51">
        <f t="shared" si="3"/>
        <v>63116</v>
      </c>
      <c r="X43" s="64" t="s">
        <v>193</v>
      </c>
      <c r="Y43" s="64" t="s">
        <v>192</v>
      </c>
      <c r="Z43" s="64">
        <v>2614</v>
      </c>
      <c r="AA43" s="64">
        <v>8</v>
      </c>
      <c r="AB43" s="182">
        <f t="shared" si="10"/>
        <v>2606</v>
      </c>
      <c r="AC43" s="66">
        <f t="shared" si="11"/>
        <v>2622</v>
      </c>
      <c r="AD43" s="64">
        <v>1000</v>
      </c>
      <c r="AE43" s="64">
        <v>1000</v>
      </c>
      <c r="AF43">
        <f t="shared" si="12"/>
        <v>64115</v>
      </c>
      <c r="AG43" s="51">
        <f t="shared" si="13"/>
        <v>64115</v>
      </c>
      <c r="AI43" s="100"/>
      <c r="AJ43" s="168"/>
      <c r="AK43" s="168"/>
      <c r="AL43" s="168"/>
      <c r="AM43" s="168"/>
      <c r="AN43" s="189"/>
      <c r="AO43" s="171"/>
      <c r="AP43" s="168"/>
      <c r="AQ43" s="168"/>
      <c r="AR43" s="100"/>
      <c r="AS43" s="157"/>
    </row>
    <row r="44" spans="2:45" ht="17" thickBot="1">
      <c r="B44" s="64" t="s">
        <v>33</v>
      </c>
      <c r="C44" s="182" t="s">
        <v>217</v>
      </c>
      <c r="D44" s="64">
        <v>2800</v>
      </c>
      <c r="E44" s="64">
        <v>200</v>
      </c>
      <c r="F44" s="182">
        <f t="shared" si="6"/>
        <v>2600</v>
      </c>
      <c r="G44" s="66">
        <f t="shared" si="7"/>
        <v>3000</v>
      </c>
      <c r="H44" s="64">
        <f>10^3</f>
        <v>1000</v>
      </c>
      <c r="I44" s="64">
        <f>10^3</f>
        <v>1000</v>
      </c>
      <c r="J44">
        <f t="shared" si="0"/>
        <v>64114.5</v>
      </c>
      <c r="K44" s="51">
        <f t="shared" si="1"/>
        <v>64114.5</v>
      </c>
      <c r="M44" s="64" t="s">
        <v>200</v>
      </c>
      <c r="N44" s="64" t="s">
        <v>199</v>
      </c>
      <c r="O44" s="64">
        <v>2745</v>
      </c>
      <c r="P44" s="64">
        <v>5</v>
      </c>
      <c r="Q44" s="182">
        <f t="shared" si="8"/>
        <v>2740</v>
      </c>
      <c r="R44" s="66">
        <f t="shared" si="9"/>
        <v>2750</v>
      </c>
      <c r="S44" s="64">
        <v>50000</v>
      </c>
      <c r="T44" s="64">
        <v>50000</v>
      </c>
      <c r="U44">
        <f t="shared" si="2"/>
        <v>62116</v>
      </c>
      <c r="V44" s="51">
        <f t="shared" si="3"/>
        <v>62116</v>
      </c>
      <c r="X44" s="64" t="s">
        <v>193</v>
      </c>
      <c r="Y44" s="64" t="s">
        <v>198</v>
      </c>
      <c r="Z44" s="64">
        <v>2700</v>
      </c>
      <c r="AA44" s="64">
        <v>7</v>
      </c>
      <c r="AB44" s="182">
        <f t="shared" si="10"/>
        <v>2693</v>
      </c>
      <c r="AC44" s="66">
        <f t="shared" si="11"/>
        <v>2707</v>
      </c>
      <c r="AD44" s="64">
        <v>1000</v>
      </c>
      <c r="AE44" s="64">
        <v>1000</v>
      </c>
      <c r="AF44">
        <f t="shared" si="12"/>
        <v>63115</v>
      </c>
      <c r="AG44" s="51">
        <f t="shared" si="13"/>
        <v>63115</v>
      </c>
      <c r="AI44" s="100"/>
      <c r="AJ44" s="168"/>
      <c r="AK44" s="176"/>
      <c r="AL44" s="168"/>
      <c r="AM44" s="168"/>
      <c r="AN44" s="189"/>
      <c r="AO44" s="171"/>
      <c r="AP44" s="168"/>
      <c r="AQ44" s="168"/>
      <c r="AR44" s="100"/>
      <c r="AS44" s="157"/>
    </row>
    <row r="45" spans="2:45" ht="17" thickBot="1">
      <c r="B45" s="64" t="s">
        <v>193</v>
      </c>
      <c r="C45" s="64" t="s">
        <v>192</v>
      </c>
      <c r="D45" s="64">
        <v>2614</v>
      </c>
      <c r="E45" s="64">
        <v>8</v>
      </c>
      <c r="F45" s="182">
        <f t="shared" si="6"/>
        <v>2606</v>
      </c>
      <c r="G45" s="66">
        <f t="shared" si="7"/>
        <v>2622</v>
      </c>
      <c r="H45" s="64">
        <v>1000</v>
      </c>
      <c r="I45" s="64">
        <v>1000</v>
      </c>
      <c r="J45">
        <f t="shared" si="0"/>
        <v>63114.5</v>
      </c>
      <c r="K45" s="51">
        <f t="shared" si="1"/>
        <v>63114.5</v>
      </c>
      <c r="M45" s="182" t="s">
        <v>216</v>
      </c>
      <c r="N45" s="182" t="s">
        <v>215</v>
      </c>
      <c r="O45" s="65">
        <v>2725</v>
      </c>
      <c r="P45" s="65">
        <v>25</v>
      </c>
      <c r="Q45" s="182">
        <f t="shared" si="8"/>
        <v>2700</v>
      </c>
      <c r="R45" s="66">
        <f t="shared" si="9"/>
        <v>2750</v>
      </c>
      <c r="S45" s="64">
        <f>10^3</f>
        <v>1000</v>
      </c>
      <c r="T45" s="64">
        <f>10^3</f>
        <v>1000</v>
      </c>
      <c r="U45">
        <f t="shared" si="2"/>
        <v>12116</v>
      </c>
      <c r="V45" s="51">
        <f t="shared" si="3"/>
        <v>12116</v>
      </c>
      <c r="X45" s="64" t="s">
        <v>103</v>
      </c>
      <c r="Y45" s="64" t="s">
        <v>194</v>
      </c>
      <c r="Z45" s="64">
        <v>2700</v>
      </c>
      <c r="AA45" s="64">
        <v>50</v>
      </c>
      <c r="AB45" s="182">
        <f t="shared" si="10"/>
        <v>2650</v>
      </c>
      <c r="AC45" s="66">
        <f t="shared" si="11"/>
        <v>2750</v>
      </c>
      <c r="AD45" s="64">
        <v>10000</v>
      </c>
      <c r="AE45" s="64">
        <v>10000</v>
      </c>
      <c r="AF45">
        <f t="shared" si="12"/>
        <v>62115</v>
      </c>
      <c r="AG45" s="51">
        <f t="shared" si="13"/>
        <v>62115</v>
      </c>
      <c r="AI45" s="100"/>
      <c r="AJ45" s="168"/>
      <c r="AK45" s="168"/>
      <c r="AL45" s="168"/>
      <c r="AM45" s="168"/>
      <c r="AN45" s="189"/>
      <c r="AO45" s="171"/>
      <c r="AP45" s="168"/>
      <c r="AQ45" s="168"/>
      <c r="AR45" s="100"/>
      <c r="AS45" s="157"/>
    </row>
    <row r="46" spans="2:45" ht="17" thickBot="1">
      <c r="B46" s="64" t="s">
        <v>103</v>
      </c>
      <c r="C46" s="64" t="s">
        <v>194</v>
      </c>
      <c r="D46" s="64">
        <v>2700</v>
      </c>
      <c r="E46" s="64">
        <v>50</v>
      </c>
      <c r="F46" s="182">
        <f t="shared" si="6"/>
        <v>2650</v>
      </c>
      <c r="G46" s="66">
        <f t="shared" si="7"/>
        <v>2750</v>
      </c>
      <c r="H46" s="64">
        <v>10000</v>
      </c>
      <c r="I46" s="64">
        <v>10000</v>
      </c>
      <c r="J46">
        <f t="shared" si="0"/>
        <v>62114.5</v>
      </c>
      <c r="K46" s="51">
        <f t="shared" si="1"/>
        <v>62114.5</v>
      </c>
      <c r="M46" s="64" t="s">
        <v>197</v>
      </c>
      <c r="N46" s="64" t="s">
        <v>196</v>
      </c>
      <c r="O46" s="64">
        <v>2700</v>
      </c>
      <c r="P46" s="64">
        <v>50</v>
      </c>
      <c r="Q46" s="182">
        <f t="shared" si="8"/>
        <v>2650</v>
      </c>
      <c r="R46" s="66">
        <f t="shared" si="9"/>
        <v>2750</v>
      </c>
      <c r="S46" s="64">
        <v>0.5</v>
      </c>
      <c r="T46" s="64">
        <v>0.5</v>
      </c>
      <c r="U46">
        <f t="shared" si="2"/>
        <v>11116</v>
      </c>
      <c r="V46" s="51">
        <f t="shared" si="3"/>
        <v>11116</v>
      </c>
      <c r="X46" s="64" t="s">
        <v>197</v>
      </c>
      <c r="Y46" s="64" t="s">
        <v>196</v>
      </c>
      <c r="Z46" s="64">
        <v>2700</v>
      </c>
      <c r="AA46" s="64">
        <v>50</v>
      </c>
      <c r="AB46" s="182">
        <f t="shared" si="10"/>
        <v>2650</v>
      </c>
      <c r="AC46" s="66">
        <f t="shared" si="11"/>
        <v>2750</v>
      </c>
      <c r="AD46" s="64">
        <v>0.5</v>
      </c>
      <c r="AE46" s="64">
        <v>0.5</v>
      </c>
      <c r="AF46">
        <f t="shared" si="12"/>
        <v>52115</v>
      </c>
      <c r="AG46" s="51">
        <f t="shared" si="13"/>
        <v>52115</v>
      </c>
      <c r="AI46" s="100"/>
      <c r="AJ46" s="168"/>
      <c r="AK46" s="168"/>
      <c r="AL46" s="168"/>
      <c r="AM46" s="168"/>
      <c r="AN46" s="189"/>
      <c r="AO46" s="171"/>
      <c r="AP46" s="168"/>
      <c r="AQ46" s="168"/>
      <c r="AR46" s="100"/>
      <c r="AS46" s="157"/>
    </row>
    <row r="47" spans="2:45" ht="17" thickBot="1">
      <c r="B47" s="64" t="s">
        <v>197</v>
      </c>
      <c r="C47" s="64" t="s">
        <v>196</v>
      </c>
      <c r="D47" s="64">
        <v>2700</v>
      </c>
      <c r="E47" s="64">
        <v>50</v>
      </c>
      <c r="F47" s="182">
        <f t="shared" si="6"/>
        <v>2650</v>
      </c>
      <c r="G47" s="66">
        <f t="shared" si="7"/>
        <v>2750</v>
      </c>
      <c r="H47" s="64">
        <v>0.5</v>
      </c>
      <c r="I47" s="64">
        <v>0.5</v>
      </c>
      <c r="J47">
        <f t="shared" si="0"/>
        <v>52114.5</v>
      </c>
      <c r="K47" s="51">
        <f t="shared" si="1"/>
        <v>52114.5</v>
      </c>
      <c r="M47" s="64" t="s">
        <v>103</v>
      </c>
      <c r="N47" s="64" t="s">
        <v>194</v>
      </c>
      <c r="O47" s="64">
        <v>2700</v>
      </c>
      <c r="P47" s="64">
        <v>50</v>
      </c>
      <c r="Q47" s="182">
        <f t="shared" si="8"/>
        <v>2650</v>
      </c>
      <c r="R47" s="66">
        <f t="shared" si="9"/>
        <v>2750</v>
      </c>
      <c r="S47" s="64">
        <v>10000</v>
      </c>
      <c r="T47" s="64">
        <v>10000</v>
      </c>
      <c r="U47">
        <f t="shared" si="2"/>
        <v>11115.5</v>
      </c>
      <c r="V47" s="51">
        <f t="shared" si="3"/>
        <v>11115.5</v>
      </c>
      <c r="X47" s="182" t="s">
        <v>216</v>
      </c>
      <c r="Y47" s="182" t="s">
        <v>215</v>
      </c>
      <c r="Z47" s="65">
        <v>2725</v>
      </c>
      <c r="AA47" s="65">
        <v>25</v>
      </c>
      <c r="AB47" s="182">
        <f t="shared" si="10"/>
        <v>2700</v>
      </c>
      <c r="AC47" s="66">
        <f t="shared" si="11"/>
        <v>2750</v>
      </c>
      <c r="AD47" s="64">
        <f>10^3</f>
        <v>1000</v>
      </c>
      <c r="AE47" s="64">
        <f>10^3</f>
        <v>1000</v>
      </c>
      <c r="AF47">
        <f t="shared" si="12"/>
        <v>52114.5</v>
      </c>
      <c r="AG47" s="51">
        <f t="shared" si="13"/>
        <v>52114.5</v>
      </c>
      <c r="AI47" s="100"/>
      <c r="AJ47" s="189"/>
      <c r="AK47" s="189"/>
      <c r="AL47" s="173"/>
      <c r="AM47" s="173"/>
      <c r="AN47" s="189"/>
      <c r="AO47" s="171"/>
      <c r="AP47" s="168"/>
      <c r="AQ47" s="168"/>
      <c r="AR47" s="100"/>
      <c r="AS47" s="157"/>
    </row>
    <row r="48" spans="2:45" ht="17" thickBot="1">
      <c r="B48" s="64" t="s">
        <v>193</v>
      </c>
      <c r="C48" s="64" t="s">
        <v>198</v>
      </c>
      <c r="D48" s="64">
        <v>2700</v>
      </c>
      <c r="E48" s="64">
        <v>7</v>
      </c>
      <c r="F48" s="182">
        <f t="shared" si="6"/>
        <v>2693</v>
      </c>
      <c r="G48" s="66">
        <f t="shared" si="7"/>
        <v>2707</v>
      </c>
      <c r="H48" s="64">
        <v>1000</v>
      </c>
      <c r="I48" s="64">
        <v>1000</v>
      </c>
      <c r="J48">
        <f t="shared" si="0"/>
        <v>52114</v>
      </c>
      <c r="K48" s="51">
        <f t="shared" si="1"/>
        <v>52114</v>
      </c>
      <c r="M48" s="64" t="s">
        <v>191</v>
      </c>
      <c r="N48" s="69" t="s">
        <v>190</v>
      </c>
      <c r="O48" s="64">
        <v>2610</v>
      </c>
      <c r="P48" s="64">
        <v>140</v>
      </c>
      <c r="Q48" s="182">
        <f t="shared" si="8"/>
        <v>2470</v>
      </c>
      <c r="R48" s="66">
        <f t="shared" si="9"/>
        <v>2750</v>
      </c>
      <c r="S48" s="64">
        <v>1</v>
      </c>
      <c r="T48" s="64">
        <v>1</v>
      </c>
      <c r="U48">
        <f t="shared" si="2"/>
        <v>1115.5</v>
      </c>
      <c r="V48" s="51">
        <f t="shared" si="3"/>
        <v>1115.5</v>
      </c>
      <c r="X48" s="64" t="s">
        <v>98</v>
      </c>
      <c r="Y48" s="69" t="s">
        <v>195</v>
      </c>
      <c r="Z48" s="64">
        <v>2735</v>
      </c>
      <c r="AA48" s="64">
        <v>165</v>
      </c>
      <c r="AB48" s="182">
        <f t="shared" si="10"/>
        <v>2570</v>
      </c>
      <c r="AC48" s="66">
        <f t="shared" si="11"/>
        <v>2900</v>
      </c>
      <c r="AD48" s="64">
        <v>0.5</v>
      </c>
      <c r="AE48" s="64">
        <v>0.5</v>
      </c>
      <c r="AF48">
        <f t="shared" si="12"/>
        <v>51114.5</v>
      </c>
      <c r="AG48" s="51">
        <f t="shared" si="13"/>
        <v>51114.5</v>
      </c>
      <c r="AI48" s="100"/>
      <c r="AJ48" s="168"/>
      <c r="AK48" s="168"/>
      <c r="AL48" s="168"/>
      <c r="AM48" s="168"/>
      <c r="AN48" s="189"/>
      <c r="AO48" s="171"/>
      <c r="AP48" s="168"/>
      <c r="AQ48" s="168"/>
      <c r="AR48" s="100"/>
      <c r="AS48" s="157"/>
    </row>
    <row r="49" spans="1:45" ht="17" thickBot="1">
      <c r="B49" s="64" t="s">
        <v>202</v>
      </c>
      <c r="C49" s="64" t="s">
        <v>201</v>
      </c>
      <c r="D49" s="64">
        <v>2765</v>
      </c>
      <c r="E49" s="64">
        <v>65</v>
      </c>
      <c r="F49" s="182">
        <f t="shared" si="6"/>
        <v>2700</v>
      </c>
      <c r="G49" s="66">
        <f t="shared" si="7"/>
        <v>2830</v>
      </c>
      <c r="H49" s="64">
        <v>0.5</v>
      </c>
      <c r="I49" s="64">
        <v>0.5</v>
      </c>
      <c r="J49">
        <f t="shared" si="0"/>
        <v>51114</v>
      </c>
      <c r="K49" s="51">
        <f t="shared" si="1"/>
        <v>51114</v>
      </c>
      <c r="M49" s="64" t="s">
        <v>202</v>
      </c>
      <c r="N49" s="64" t="s">
        <v>201</v>
      </c>
      <c r="O49" s="64">
        <v>2765</v>
      </c>
      <c r="P49" s="64">
        <v>65</v>
      </c>
      <c r="Q49" s="182">
        <f t="shared" si="8"/>
        <v>2700</v>
      </c>
      <c r="R49" s="66">
        <f t="shared" si="9"/>
        <v>2830</v>
      </c>
      <c r="S49" s="64">
        <v>0.5</v>
      </c>
      <c r="T49" s="64">
        <v>0.5</v>
      </c>
      <c r="U49">
        <f t="shared" si="2"/>
        <v>1114.5</v>
      </c>
      <c r="V49" s="51">
        <f t="shared" si="3"/>
        <v>1114.5</v>
      </c>
      <c r="X49" s="64" t="s">
        <v>200</v>
      </c>
      <c r="Y49" s="64" t="s">
        <v>199</v>
      </c>
      <c r="Z49" s="64">
        <v>2745</v>
      </c>
      <c r="AA49" s="64">
        <v>5</v>
      </c>
      <c r="AB49" s="182">
        <f t="shared" si="10"/>
        <v>2740</v>
      </c>
      <c r="AC49" s="66">
        <f t="shared" si="11"/>
        <v>2750</v>
      </c>
      <c r="AD49" s="64">
        <v>50000</v>
      </c>
      <c r="AE49" s="64">
        <v>50000</v>
      </c>
      <c r="AF49">
        <f t="shared" si="12"/>
        <v>51114</v>
      </c>
      <c r="AG49" s="51">
        <f t="shared" si="13"/>
        <v>51114</v>
      </c>
      <c r="AI49" s="100"/>
      <c r="AJ49" s="168"/>
      <c r="AK49" s="168"/>
      <c r="AL49" s="168"/>
      <c r="AM49" s="168"/>
      <c r="AN49" s="189"/>
      <c r="AO49" s="171"/>
      <c r="AP49" s="168"/>
      <c r="AQ49" s="168"/>
      <c r="AR49" s="100"/>
      <c r="AS49" s="157"/>
    </row>
    <row r="50" spans="1:45" ht="17" thickBot="1">
      <c r="B50" s="182" t="s">
        <v>214</v>
      </c>
      <c r="C50" s="182" t="s">
        <v>213</v>
      </c>
      <c r="D50" s="64">
        <v>2920</v>
      </c>
      <c r="E50" s="64">
        <v>220</v>
      </c>
      <c r="F50" s="182">
        <f t="shared" si="6"/>
        <v>2700</v>
      </c>
      <c r="G50" s="66">
        <f t="shared" si="7"/>
        <v>3140</v>
      </c>
      <c r="H50" s="64">
        <v>1</v>
      </c>
      <c r="I50" s="64">
        <v>1</v>
      </c>
      <c r="J50">
        <f t="shared" si="0"/>
        <v>51113.5</v>
      </c>
      <c r="K50" s="51">
        <f t="shared" si="1"/>
        <v>51113.5</v>
      </c>
      <c r="M50" s="64" t="s">
        <v>98</v>
      </c>
      <c r="N50" s="69" t="s">
        <v>195</v>
      </c>
      <c r="O50" s="64">
        <v>2735</v>
      </c>
      <c r="P50" s="64">
        <v>165</v>
      </c>
      <c r="Q50" s="182">
        <f t="shared" si="8"/>
        <v>2570</v>
      </c>
      <c r="R50" s="66">
        <f t="shared" si="9"/>
        <v>2900</v>
      </c>
      <c r="S50" s="64">
        <v>0.5</v>
      </c>
      <c r="T50" s="64">
        <v>0.5</v>
      </c>
      <c r="U50">
        <f t="shared" si="2"/>
        <v>1114</v>
      </c>
      <c r="V50" s="51">
        <f t="shared" si="3"/>
        <v>1114</v>
      </c>
      <c r="X50" s="64" t="s">
        <v>202</v>
      </c>
      <c r="Y50" s="64" t="s">
        <v>201</v>
      </c>
      <c r="Z50" s="64">
        <v>2765</v>
      </c>
      <c r="AA50" s="64">
        <v>65</v>
      </c>
      <c r="AB50" s="182">
        <f t="shared" si="10"/>
        <v>2700</v>
      </c>
      <c r="AC50" s="66">
        <f t="shared" si="11"/>
        <v>2830</v>
      </c>
      <c r="AD50" s="64">
        <v>0.5</v>
      </c>
      <c r="AE50" s="64">
        <v>0.5</v>
      </c>
      <c r="AF50">
        <f t="shared" si="12"/>
        <v>1114</v>
      </c>
      <c r="AG50" s="51">
        <f t="shared" si="13"/>
        <v>1114</v>
      </c>
      <c r="AI50" s="100"/>
      <c r="AJ50" s="168"/>
      <c r="AK50" s="176"/>
      <c r="AL50" s="168"/>
      <c r="AM50" s="168"/>
      <c r="AN50" s="189"/>
      <c r="AO50" s="171"/>
      <c r="AP50" s="168"/>
      <c r="AQ50" s="168"/>
      <c r="AR50" s="100"/>
      <c r="AS50" s="157"/>
    </row>
    <row r="51" spans="1:45" ht="17" thickBot="1">
      <c r="B51" s="182" t="s">
        <v>216</v>
      </c>
      <c r="C51" s="182" t="s">
        <v>215</v>
      </c>
      <c r="D51" s="65">
        <v>2725</v>
      </c>
      <c r="E51" s="65">
        <v>25</v>
      </c>
      <c r="F51" s="182">
        <f t="shared" si="6"/>
        <v>2700</v>
      </c>
      <c r="G51" s="66">
        <f t="shared" si="7"/>
        <v>2750</v>
      </c>
      <c r="H51" s="64">
        <f>10^3</f>
        <v>1000</v>
      </c>
      <c r="I51" s="64">
        <f>10^3</f>
        <v>1000</v>
      </c>
      <c r="J51">
        <f t="shared" si="0"/>
        <v>51112.5</v>
      </c>
      <c r="K51" s="51">
        <f t="shared" si="1"/>
        <v>51112.5</v>
      </c>
      <c r="M51" s="64" t="s">
        <v>204</v>
      </c>
      <c r="N51" s="64" t="s">
        <v>203</v>
      </c>
      <c r="O51" s="64">
        <v>2825</v>
      </c>
      <c r="P51" s="64">
        <v>95</v>
      </c>
      <c r="Q51" s="182">
        <f t="shared" si="8"/>
        <v>2730</v>
      </c>
      <c r="R51" s="66">
        <f t="shared" si="9"/>
        <v>2920</v>
      </c>
      <c r="S51" s="64">
        <v>0.5</v>
      </c>
      <c r="T51" s="64">
        <v>0.5</v>
      </c>
      <c r="U51">
        <f t="shared" si="2"/>
        <v>1113.5</v>
      </c>
      <c r="V51" s="51">
        <f t="shared" si="3"/>
        <v>1113.5</v>
      </c>
      <c r="X51" s="64" t="s">
        <v>33</v>
      </c>
      <c r="Y51" s="182" t="s">
        <v>217</v>
      </c>
      <c r="Z51" s="64">
        <v>2800</v>
      </c>
      <c r="AA51" s="64">
        <v>200</v>
      </c>
      <c r="AB51" s="182">
        <f t="shared" si="10"/>
        <v>2600</v>
      </c>
      <c r="AC51" s="66">
        <f t="shared" si="11"/>
        <v>3000</v>
      </c>
      <c r="AD51" s="64">
        <f>10^3</f>
        <v>1000</v>
      </c>
      <c r="AE51" s="64">
        <f>10^3</f>
        <v>1000</v>
      </c>
      <c r="AF51">
        <f t="shared" si="12"/>
        <v>1113.5</v>
      </c>
      <c r="AG51" s="51">
        <f t="shared" si="13"/>
        <v>1113.5</v>
      </c>
      <c r="AI51" s="100"/>
      <c r="AJ51" s="168"/>
      <c r="AK51" s="168"/>
      <c r="AL51" s="168"/>
      <c r="AM51" s="168"/>
      <c r="AN51" s="189"/>
      <c r="AO51" s="171"/>
      <c r="AP51" s="168"/>
      <c r="AQ51" s="168"/>
      <c r="AR51" s="100"/>
      <c r="AS51" s="157"/>
    </row>
    <row r="52" spans="1:45" ht="17" thickBot="1">
      <c r="B52" s="64" t="s">
        <v>204</v>
      </c>
      <c r="C52" s="64" t="s">
        <v>203</v>
      </c>
      <c r="D52" s="64">
        <v>2825</v>
      </c>
      <c r="E52" s="64">
        <v>95</v>
      </c>
      <c r="F52" s="182">
        <f t="shared" si="6"/>
        <v>2730</v>
      </c>
      <c r="G52" s="66">
        <f t="shared" si="7"/>
        <v>2920</v>
      </c>
      <c r="H52" s="64">
        <v>0.5</v>
      </c>
      <c r="I52" s="64">
        <v>0.5</v>
      </c>
      <c r="J52">
        <f t="shared" si="0"/>
        <v>50112.5</v>
      </c>
      <c r="K52" s="51">
        <f t="shared" si="1"/>
        <v>50112.5</v>
      </c>
      <c r="M52" s="64" t="s">
        <v>33</v>
      </c>
      <c r="N52" s="182" t="s">
        <v>217</v>
      </c>
      <c r="O52" s="64">
        <v>2800</v>
      </c>
      <c r="P52" s="64">
        <v>200</v>
      </c>
      <c r="Q52" s="182">
        <f t="shared" si="8"/>
        <v>2600</v>
      </c>
      <c r="R52" s="66">
        <f t="shared" si="9"/>
        <v>3000</v>
      </c>
      <c r="S52" s="64">
        <f>10^3</f>
        <v>1000</v>
      </c>
      <c r="T52" s="64">
        <f>10^3</f>
        <v>1000</v>
      </c>
      <c r="U52">
        <f t="shared" si="2"/>
        <v>1113</v>
      </c>
      <c r="V52" s="51">
        <f t="shared" si="3"/>
        <v>1113</v>
      </c>
      <c r="X52" s="64" t="s">
        <v>204</v>
      </c>
      <c r="Y52" s="64" t="s">
        <v>203</v>
      </c>
      <c r="Z52" s="64">
        <v>2825</v>
      </c>
      <c r="AA52" s="64">
        <v>95</v>
      </c>
      <c r="AB52" s="182">
        <f t="shared" si="10"/>
        <v>2730</v>
      </c>
      <c r="AC52" s="66">
        <f t="shared" si="11"/>
        <v>2920</v>
      </c>
      <c r="AD52" s="64">
        <v>0.5</v>
      </c>
      <c r="AE52" s="64">
        <v>0.5</v>
      </c>
      <c r="AF52">
        <f t="shared" si="12"/>
        <v>113.5</v>
      </c>
      <c r="AG52" s="51">
        <f t="shared" si="13"/>
        <v>113.5</v>
      </c>
      <c r="AI52" s="100"/>
      <c r="AJ52" s="168"/>
      <c r="AK52" s="189"/>
      <c r="AL52" s="168"/>
      <c r="AM52" s="168"/>
      <c r="AN52" s="189"/>
      <c r="AO52" s="171"/>
      <c r="AP52" s="168"/>
      <c r="AQ52" s="168"/>
      <c r="AR52" s="100"/>
      <c r="AS52" s="157"/>
    </row>
    <row r="53" spans="1:45" ht="17" thickBot="1">
      <c r="B53" s="64" t="s">
        <v>200</v>
      </c>
      <c r="C53" s="64" t="s">
        <v>199</v>
      </c>
      <c r="D53" s="64">
        <v>2745</v>
      </c>
      <c r="E53" s="64">
        <v>5</v>
      </c>
      <c r="F53" s="182">
        <f t="shared" si="6"/>
        <v>2740</v>
      </c>
      <c r="G53" s="66">
        <f t="shared" si="7"/>
        <v>2750</v>
      </c>
      <c r="H53" s="64">
        <v>50000</v>
      </c>
      <c r="I53" s="64">
        <v>50000</v>
      </c>
      <c r="J53">
        <f t="shared" si="0"/>
        <v>50112</v>
      </c>
      <c r="K53" s="51">
        <f t="shared" si="1"/>
        <v>50112</v>
      </c>
      <c r="M53" s="64" t="s">
        <v>208</v>
      </c>
      <c r="N53" s="64" t="s">
        <v>207</v>
      </c>
      <c r="O53" s="64">
        <v>2960</v>
      </c>
      <c r="P53" s="64">
        <v>50</v>
      </c>
      <c r="Q53" s="182">
        <f t="shared" si="8"/>
        <v>2910</v>
      </c>
      <c r="R53" s="66">
        <f t="shared" si="9"/>
        <v>3010</v>
      </c>
      <c r="S53" s="64">
        <v>10</v>
      </c>
      <c r="T53" s="64">
        <v>10</v>
      </c>
      <c r="U53">
        <f t="shared" si="2"/>
        <v>113</v>
      </c>
      <c r="V53" s="51">
        <f t="shared" si="3"/>
        <v>113</v>
      </c>
      <c r="X53" s="182" t="s">
        <v>214</v>
      </c>
      <c r="Y53" s="182" t="s">
        <v>213</v>
      </c>
      <c r="Z53" s="64">
        <v>2920</v>
      </c>
      <c r="AA53" s="64">
        <v>220</v>
      </c>
      <c r="AB53" s="182">
        <f t="shared" si="10"/>
        <v>2700</v>
      </c>
      <c r="AC53" s="66">
        <f t="shared" si="11"/>
        <v>3140</v>
      </c>
      <c r="AD53" s="64">
        <v>1</v>
      </c>
      <c r="AE53" s="64">
        <v>1</v>
      </c>
      <c r="AF53">
        <f t="shared" si="12"/>
        <v>113</v>
      </c>
      <c r="AG53" s="51">
        <f t="shared" si="13"/>
        <v>113</v>
      </c>
      <c r="AI53" s="100"/>
      <c r="AJ53" s="168"/>
      <c r="AK53" s="168"/>
      <c r="AL53" s="168"/>
      <c r="AM53" s="168"/>
      <c r="AN53" s="189"/>
      <c r="AO53" s="171"/>
      <c r="AP53" s="168"/>
      <c r="AQ53" s="168"/>
      <c r="AR53" s="100"/>
      <c r="AS53" s="157"/>
    </row>
    <row r="54" spans="1:45" ht="17" thickBot="1">
      <c r="B54" s="64" t="s">
        <v>206</v>
      </c>
      <c r="C54" s="64" t="s">
        <v>205</v>
      </c>
      <c r="D54" s="64">
        <v>2960</v>
      </c>
      <c r="E54" s="64">
        <v>50</v>
      </c>
      <c r="F54" s="182">
        <f t="shared" si="6"/>
        <v>2910</v>
      </c>
      <c r="G54" s="66">
        <f t="shared" si="7"/>
        <v>3010</v>
      </c>
      <c r="H54" s="64">
        <v>100</v>
      </c>
      <c r="I54" s="64">
        <v>100</v>
      </c>
      <c r="J54">
        <f t="shared" si="0"/>
        <v>112</v>
      </c>
      <c r="K54" s="51">
        <f t="shared" si="1"/>
        <v>112</v>
      </c>
      <c r="M54" s="64" t="s">
        <v>206</v>
      </c>
      <c r="N54" s="64" t="s">
        <v>205</v>
      </c>
      <c r="O54" s="64">
        <v>2960</v>
      </c>
      <c r="P54" s="64">
        <v>50</v>
      </c>
      <c r="Q54" s="182">
        <f t="shared" si="8"/>
        <v>2910</v>
      </c>
      <c r="R54" s="66">
        <f t="shared" si="9"/>
        <v>3010</v>
      </c>
      <c r="S54" s="64">
        <v>100</v>
      </c>
      <c r="T54" s="64">
        <v>100</v>
      </c>
      <c r="U54">
        <f t="shared" si="2"/>
        <v>103</v>
      </c>
      <c r="V54" s="51">
        <f t="shared" si="3"/>
        <v>103</v>
      </c>
      <c r="X54" s="64" t="s">
        <v>208</v>
      </c>
      <c r="Y54" s="64" t="s">
        <v>207</v>
      </c>
      <c r="Z54" s="64">
        <v>2960</v>
      </c>
      <c r="AA54" s="64">
        <v>50</v>
      </c>
      <c r="AB54" s="182">
        <f t="shared" si="10"/>
        <v>2910</v>
      </c>
      <c r="AC54" s="66">
        <f t="shared" si="11"/>
        <v>3010</v>
      </c>
      <c r="AD54" s="64">
        <v>10</v>
      </c>
      <c r="AE54" s="64">
        <v>10</v>
      </c>
      <c r="AF54">
        <f t="shared" si="12"/>
        <v>112</v>
      </c>
      <c r="AG54" s="51">
        <f t="shared" si="13"/>
        <v>112</v>
      </c>
      <c r="AI54" s="100"/>
      <c r="AJ54" s="168"/>
      <c r="AK54" s="168"/>
      <c r="AL54" s="168"/>
      <c r="AM54" s="168"/>
      <c r="AN54" s="189"/>
      <c r="AO54" s="171"/>
      <c r="AP54" s="168"/>
      <c r="AQ54" s="168"/>
      <c r="AR54" s="100"/>
      <c r="AS54" s="157"/>
    </row>
    <row r="55" spans="1:45" ht="17" thickBot="1">
      <c r="B55" s="64" t="s">
        <v>208</v>
      </c>
      <c r="C55" s="64" t="s">
        <v>207</v>
      </c>
      <c r="D55" s="64">
        <v>2960</v>
      </c>
      <c r="E55" s="64">
        <v>50</v>
      </c>
      <c r="F55" s="182">
        <f t="shared" si="6"/>
        <v>2910</v>
      </c>
      <c r="G55" s="66">
        <f t="shared" si="7"/>
        <v>3010</v>
      </c>
      <c r="H55" s="64">
        <v>10</v>
      </c>
      <c r="I55" s="64">
        <v>10</v>
      </c>
      <c r="J55">
        <f t="shared" si="0"/>
        <v>12</v>
      </c>
      <c r="K55" s="51">
        <f t="shared" si="1"/>
        <v>12</v>
      </c>
      <c r="M55" s="64" t="s">
        <v>168</v>
      </c>
      <c r="N55" s="64" t="s">
        <v>209</v>
      </c>
      <c r="O55" s="64">
        <v>3080</v>
      </c>
      <c r="P55" s="64">
        <v>20</v>
      </c>
      <c r="Q55" s="182">
        <f t="shared" si="8"/>
        <v>3060</v>
      </c>
      <c r="R55" s="66">
        <f t="shared" si="9"/>
        <v>3100</v>
      </c>
      <c r="S55" s="64">
        <v>0.5</v>
      </c>
      <c r="T55" s="64">
        <v>0.5</v>
      </c>
      <c r="U55">
        <f t="shared" si="2"/>
        <v>3</v>
      </c>
      <c r="V55" s="51">
        <f t="shared" si="3"/>
        <v>3</v>
      </c>
      <c r="X55" s="64" t="s">
        <v>206</v>
      </c>
      <c r="Y55" s="64" t="s">
        <v>205</v>
      </c>
      <c r="Z55" s="64">
        <v>2960</v>
      </c>
      <c r="AA55" s="64">
        <v>50</v>
      </c>
      <c r="AB55" s="182">
        <f t="shared" si="10"/>
        <v>2910</v>
      </c>
      <c r="AC55" s="66">
        <f t="shared" si="11"/>
        <v>3010</v>
      </c>
      <c r="AD55" s="64">
        <v>100</v>
      </c>
      <c r="AE55" s="64">
        <v>100</v>
      </c>
      <c r="AF55">
        <f t="shared" si="12"/>
        <v>102</v>
      </c>
      <c r="AG55" s="51">
        <f t="shared" si="13"/>
        <v>102</v>
      </c>
      <c r="AI55" s="100"/>
      <c r="AJ55" s="168"/>
      <c r="AK55" s="168"/>
      <c r="AL55" s="168"/>
      <c r="AM55" s="168"/>
      <c r="AN55" s="189"/>
      <c r="AO55" s="171"/>
      <c r="AP55" s="168"/>
      <c r="AQ55" s="168"/>
      <c r="AR55" s="100"/>
      <c r="AS55" s="157"/>
    </row>
    <row r="56" spans="1:45" ht="17" thickBot="1">
      <c r="B56" s="64" t="s">
        <v>168</v>
      </c>
      <c r="C56" s="64" t="s">
        <v>209</v>
      </c>
      <c r="D56" s="64">
        <v>3080</v>
      </c>
      <c r="E56" s="64">
        <v>20</v>
      </c>
      <c r="F56" s="182">
        <f t="shared" si="6"/>
        <v>3060</v>
      </c>
      <c r="G56" s="66">
        <f t="shared" si="7"/>
        <v>3100</v>
      </c>
      <c r="H56" s="64">
        <v>0.5</v>
      </c>
      <c r="I56" s="64">
        <v>0.5</v>
      </c>
      <c r="J56">
        <f t="shared" si="0"/>
        <v>2</v>
      </c>
      <c r="K56" s="51">
        <f t="shared" si="1"/>
        <v>2</v>
      </c>
      <c r="M56" s="182" t="s">
        <v>214</v>
      </c>
      <c r="N56" s="182" t="s">
        <v>213</v>
      </c>
      <c r="O56" s="64">
        <v>2920</v>
      </c>
      <c r="P56" s="64">
        <v>220</v>
      </c>
      <c r="Q56" s="182">
        <f t="shared" si="8"/>
        <v>2700</v>
      </c>
      <c r="R56" s="66">
        <f t="shared" si="9"/>
        <v>3140</v>
      </c>
      <c r="S56" s="64">
        <v>1</v>
      </c>
      <c r="T56" s="64">
        <v>1</v>
      </c>
      <c r="U56">
        <f t="shared" si="2"/>
        <v>2.5</v>
      </c>
      <c r="V56" s="51">
        <f t="shared" si="3"/>
        <v>2.5</v>
      </c>
      <c r="X56" s="64" t="s">
        <v>168</v>
      </c>
      <c r="Y56" s="64" t="s">
        <v>209</v>
      </c>
      <c r="Z56" s="64">
        <v>3080</v>
      </c>
      <c r="AA56" s="64">
        <v>20</v>
      </c>
      <c r="AB56" s="182">
        <f t="shared" si="10"/>
        <v>3060</v>
      </c>
      <c r="AC56" s="66">
        <f t="shared" si="11"/>
        <v>3100</v>
      </c>
      <c r="AD56" s="64">
        <v>0.5</v>
      </c>
      <c r="AE56" s="64">
        <v>0.5</v>
      </c>
      <c r="AF56">
        <f t="shared" si="12"/>
        <v>2</v>
      </c>
      <c r="AG56" s="51">
        <f t="shared" si="13"/>
        <v>2</v>
      </c>
      <c r="AI56" s="100"/>
      <c r="AJ56" s="189"/>
      <c r="AK56" s="189"/>
      <c r="AL56" s="168"/>
      <c r="AM56" s="168"/>
      <c r="AN56" s="189"/>
      <c r="AO56" s="171"/>
      <c r="AP56" s="168"/>
      <c r="AQ56" s="168"/>
      <c r="AR56" s="100"/>
      <c r="AS56" s="157"/>
    </row>
    <row r="57" spans="1:45" ht="17" thickBot="1">
      <c r="B57" s="64" t="s">
        <v>211</v>
      </c>
      <c r="C57" s="64" t="s">
        <v>210</v>
      </c>
      <c r="D57" s="184">
        <v>3230</v>
      </c>
      <c r="E57" s="184">
        <v>50</v>
      </c>
      <c r="F57" s="182">
        <f t="shared" si="6"/>
        <v>3180</v>
      </c>
      <c r="G57" s="66">
        <f t="shared" si="7"/>
        <v>3280</v>
      </c>
      <c r="H57" s="64">
        <v>0.5</v>
      </c>
      <c r="I57" s="64">
        <v>0.5</v>
      </c>
      <c r="J57">
        <f>I57+J58</f>
        <v>1.5</v>
      </c>
      <c r="K57" s="51">
        <f>K58+H57</f>
        <v>1.5</v>
      </c>
      <c r="M57" s="64" t="s">
        <v>211</v>
      </c>
      <c r="N57" s="64" t="s">
        <v>210</v>
      </c>
      <c r="O57" s="184">
        <v>3230</v>
      </c>
      <c r="P57" s="184">
        <v>50</v>
      </c>
      <c r="Q57" s="182">
        <f t="shared" si="8"/>
        <v>3180</v>
      </c>
      <c r="R57" s="66">
        <f t="shared" si="9"/>
        <v>3280</v>
      </c>
      <c r="S57" s="64">
        <v>0.5</v>
      </c>
      <c r="T57" s="64">
        <v>0.5</v>
      </c>
      <c r="U57">
        <f>U58+T57</f>
        <v>1.5</v>
      </c>
      <c r="V57" s="51">
        <f>V58+S57</f>
        <v>1.5</v>
      </c>
      <c r="X57" s="64" t="s">
        <v>211</v>
      </c>
      <c r="Y57" s="64" t="s">
        <v>210</v>
      </c>
      <c r="Z57" s="184">
        <v>3230</v>
      </c>
      <c r="AA57" s="184">
        <v>50</v>
      </c>
      <c r="AB57" s="182">
        <f t="shared" si="10"/>
        <v>3180</v>
      </c>
      <c r="AC57" s="66">
        <f t="shared" si="11"/>
        <v>3280</v>
      </c>
      <c r="AD57" s="64">
        <v>0.5</v>
      </c>
      <c r="AE57" s="64">
        <v>0.5</v>
      </c>
      <c r="AF57">
        <f t="shared" si="12"/>
        <v>1.5</v>
      </c>
      <c r="AG57" s="51">
        <f t="shared" si="13"/>
        <v>1.5</v>
      </c>
      <c r="AI57" s="100"/>
      <c r="AJ57" s="168"/>
      <c r="AK57" s="168"/>
      <c r="AL57" s="191"/>
      <c r="AM57" s="191"/>
      <c r="AN57" s="189"/>
      <c r="AO57" s="171"/>
      <c r="AP57" s="168"/>
      <c r="AQ57" s="168"/>
      <c r="AR57" s="100"/>
      <c r="AS57" s="157"/>
    </row>
    <row r="58" spans="1:45" ht="17" thickBot="1">
      <c r="B58" s="64" t="s">
        <v>37</v>
      </c>
      <c r="C58" s="182" t="s">
        <v>212</v>
      </c>
      <c r="D58" s="64">
        <v>3760</v>
      </c>
      <c r="E58" s="64">
        <v>70</v>
      </c>
      <c r="F58" s="182">
        <f t="shared" si="6"/>
        <v>3690</v>
      </c>
      <c r="G58" s="66">
        <f t="shared" si="7"/>
        <v>3830</v>
      </c>
      <c r="H58" s="64">
        <v>1</v>
      </c>
      <c r="I58" s="64">
        <v>1</v>
      </c>
      <c r="J58">
        <f>I58</f>
        <v>1</v>
      </c>
      <c r="K58" s="51">
        <f>K59+H58</f>
        <v>1</v>
      </c>
      <c r="M58" s="64" t="s">
        <v>37</v>
      </c>
      <c r="N58" s="182" t="s">
        <v>212</v>
      </c>
      <c r="O58" s="64">
        <v>3760</v>
      </c>
      <c r="P58" s="64">
        <v>70</v>
      </c>
      <c r="Q58" s="182">
        <f t="shared" si="8"/>
        <v>3690</v>
      </c>
      <c r="R58" s="66">
        <f t="shared" si="9"/>
        <v>3830</v>
      </c>
      <c r="S58" s="64">
        <v>1</v>
      </c>
      <c r="T58" s="64">
        <v>1</v>
      </c>
      <c r="U58">
        <f>U59+T58</f>
        <v>1</v>
      </c>
      <c r="V58" s="51">
        <f>V59+S58</f>
        <v>1</v>
      </c>
      <c r="X58" s="64" t="s">
        <v>37</v>
      </c>
      <c r="Y58" s="182" t="s">
        <v>212</v>
      </c>
      <c r="Z58" s="64">
        <v>3760</v>
      </c>
      <c r="AA58" s="64">
        <v>70</v>
      </c>
      <c r="AB58" s="182">
        <f t="shared" si="10"/>
        <v>3690</v>
      </c>
      <c r="AC58" s="66">
        <f t="shared" si="11"/>
        <v>3830</v>
      </c>
      <c r="AD58" s="64">
        <v>1</v>
      </c>
      <c r="AE58" s="64">
        <v>1</v>
      </c>
      <c r="AF58">
        <f t="shared" si="12"/>
        <v>1</v>
      </c>
      <c r="AG58" s="51">
        <f t="shared" si="13"/>
        <v>1</v>
      </c>
      <c r="AI58" s="100"/>
      <c r="AJ58" s="168"/>
      <c r="AK58" s="189"/>
      <c r="AL58" s="168"/>
      <c r="AM58" s="168"/>
      <c r="AN58" s="189"/>
      <c r="AO58" s="171"/>
      <c r="AP58" s="168"/>
      <c r="AQ58" s="168"/>
      <c r="AR58" s="100"/>
      <c r="AS58" s="157"/>
    </row>
    <row r="59" spans="1:45">
      <c r="A59" s="65"/>
      <c r="B59" s="63"/>
      <c r="C59" s="64"/>
      <c r="E59" s="185"/>
      <c r="F59" s="63"/>
      <c r="G59" s="63"/>
      <c r="H59" s="185"/>
      <c r="I59" s="63"/>
      <c r="J59" s="65"/>
      <c r="AI59" s="100"/>
      <c r="AJ59" s="100"/>
      <c r="AK59" s="100"/>
      <c r="AL59" s="100"/>
      <c r="AM59" s="100"/>
      <c r="AN59" s="100"/>
      <c r="AO59" s="100"/>
      <c r="AP59" s="100"/>
      <c r="AQ59" s="100"/>
      <c r="AR59" s="100"/>
      <c r="AS59" s="100"/>
    </row>
    <row r="60" spans="1:45">
      <c r="B60" s="186"/>
      <c r="C60" s="64"/>
      <c r="E60" s="63"/>
      <c r="F60" s="63"/>
      <c r="G60" s="63"/>
      <c r="H60" s="63"/>
      <c r="I60" s="64"/>
      <c r="AI60" s="100"/>
      <c r="AJ60" s="100"/>
      <c r="AK60" s="100"/>
      <c r="AL60" s="100"/>
      <c r="AM60" s="100"/>
      <c r="AN60" s="100"/>
      <c r="AO60" s="100"/>
      <c r="AP60" s="100"/>
      <c r="AQ60" s="100"/>
      <c r="AR60" s="100"/>
      <c r="AS60" s="100"/>
    </row>
    <row r="61" spans="1:45">
      <c r="B61" s="186"/>
      <c r="C61" s="186"/>
      <c r="E61" s="63"/>
      <c r="F61" s="64"/>
      <c r="G61" s="186"/>
      <c r="H61" s="63"/>
      <c r="I61" s="64"/>
    </row>
    <row r="62" spans="1:45">
      <c r="B62" s="186"/>
      <c r="C62" s="186"/>
      <c r="F62" s="64"/>
      <c r="G62" s="186"/>
      <c r="H62" s="63"/>
      <c r="I62" s="64"/>
    </row>
    <row r="63" spans="1:45">
      <c r="B63" s="186"/>
      <c r="C63" s="64"/>
      <c r="E63" s="63"/>
      <c r="F63" s="64"/>
      <c r="G63" s="186"/>
      <c r="H63" s="63"/>
      <c r="I63" s="64"/>
    </row>
    <row r="69" spans="1:39">
      <c r="A69" t="s">
        <v>495</v>
      </c>
    </row>
    <row r="70" spans="1:39">
      <c r="AG70" t="s">
        <v>499</v>
      </c>
    </row>
    <row r="71" spans="1:39" ht="30">
      <c r="A71" s="81" t="s">
        <v>82</v>
      </c>
      <c r="B71" s="81" t="s">
        <v>260</v>
      </c>
      <c r="C71" s="81" t="s">
        <v>80</v>
      </c>
      <c r="D71" s="81" t="s">
        <v>230</v>
      </c>
      <c r="E71" s="89" t="s">
        <v>231</v>
      </c>
      <c r="F71" s="87" t="s">
        <v>81</v>
      </c>
      <c r="G71" s="87" t="s">
        <v>124</v>
      </c>
      <c r="H71" s="87" t="s">
        <v>125</v>
      </c>
      <c r="I71" s="87" t="s">
        <v>126</v>
      </c>
      <c r="J71" s="107" t="s">
        <v>219</v>
      </c>
      <c r="K71" s="107" t="s">
        <v>497</v>
      </c>
      <c r="L71" s="107" t="s">
        <v>496</v>
      </c>
      <c r="M71" s="107" t="s">
        <v>501</v>
      </c>
      <c r="O71" s="81" t="s">
        <v>82</v>
      </c>
      <c r="P71" s="81" t="s">
        <v>260</v>
      </c>
      <c r="Q71" s="81" t="s">
        <v>80</v>
      </c>
      <c r="R71" s="81" t="s">
        <v>230</v>
      </c>
      <c r="S71" s="89" t="s">
        <v>231</v>
      </c>
      <c r="T71" s="87" t="s">
        <v>81</v>
      </c>
      <c r="U71" s="87" t="s">
        <v>124</v>
      </c>
      <c r="V71" s="87" t="s">
        <v>125</v>
      </c>
      <c r="W71" s="87" t="s">
        <v>126</v>
      </c>
      <c r="X71" s="107" t="s">
        <v>219</v>
      </c>
      <c r="Y71" s="107" t="s">
        <v>498</v>
      </c>
      <c r="Z71" s="107" t="s">
        <v>500</v>
      </c>
      <c r="AA71" s="107" t="s">
        <v>501</v>
      </c>
      <c r="AB71" s="81"/>
      <c r="AC71" s="81"/>
      <c r="AD71" s="81"/>
      <c r="AE71" s="81"/>
      <c r="AF71" s="89"/>
      <c r="AG71" s="87"/>
      <c r="AH71" s="87"/>
      <c r="AI71" s="87"/>
      <c r="AJ71" s="87"/>
      <c r="AK71" s="107"/>
      <c r="AL71" s="107"/>
      <c r="AM71" s="107"/>
    </row>
    <row r="72" spans="1:39">
      <c r="A72" s="80" t="s">
        <v>96</v>
      </c>
      <c r="B72" s="80" t="s">
        <v>266</v>
      </c>
      <c r="C72" s="80" t="s">
        <v>97</v>
      </c>
      <c r="D72" s="84">
        <v>10</v>
      </c>
      <c r="E72" s="90">
        <v>797254830.21099901</v>
      </c>
      <c r="F72" s="82"/>
      <c r="G72" s="82"/>
      <c r="H72" s="82">
        <v>1804</v>
      </c>
      <c r="I72" s="82">
        <v>1895</v>
      </c>
      <c r="J72" s="88" t="s">
        <v>256</v>
      </c>
      <c r="K72">
        <f t="shared" ref="K72:K95" si="14">H72</f>
        <v>1804</v>
      </c>
      <c r="L72" s="62">
        <f t="shared" ref="L72:L92" si="15">E72+L73</f>
        <v>275980405955.38385</v>
      </c>
      <c r="M72">
        <f t="shared" ref="M72:M94" si="16">M73+D72</f>
        <v>5160.4000000000005</v>
      </c>
      <c r="O72" s="80" t="s">
        <v>92</v>
      </c>
      <c r="P72" s="80"/>
      <c r="Q72" s="94" t="s">
        <v>93</v>
      </c>
      <c r="R72" s="95">
        <f>130</f>
        <v>130</v>
      </c>
      <c r="S72" s="92">
        <f>(55695928.6213999+59671095.9182+16704849.8682+54924592.3655+23391756.5925+262603751.821+44438223.0046+1052404766.92999+315947523.25+73558384.3634999+175192677.618+81189772.3006999+59714355.3027999+20690560.5368)</f>
        <v>2296128238.4931893</v>
      </c>
      <c r="T72" s="82"/>
      <c r="U72" s="82"/>
      <c r="V72" s="82">
        <v>1870</v>
      </c>
      <c r="W72" s="86" t="s">
        <v>283</v>
      </c>
      <c r="X72" s="77" t="s">
        <v>284</v>
      </c>
      <c r="Y72">
        <f>V72</f>
        <v>1870</v>
      </c>
      <c r="Z72" s="62">
        <f t="shared" ref="Z72:Z94" si="17">S72+Z73</f>
        <v>275980405955.38385</v>
      </c>
      <c r="AA72">
        <f t="shared" ref="AA72:AA94" si="18">AA73+R72</f>
        <v>5160.3999999999996</v>
      </c>
      <c r="AB72" s="80"/>
      <c r="AC72" s="80"/>
      <c r="AD72" s="80"/>
      <c r="AE72" s="84"/>
      <c r="AF72" s="90"/>
      <c r="AG72" s="82"/>
      <c r="AH72" s="82"/>
      <c r="AI72" s="82"/>
      <c r="AJ72" s="82"/>
      <c r="AK72" s="88"/>
    </row>
    <row r="73" spans="1:39">
      <c r="A73" s="80" t="s">
        <v>110</v>
      </c>
      <c r="B73" s="80" t="s">
        <v>276</v>
      </c>
      <c r="C73" s="80" t="s">
        <v>244</v>
      </c>
      <c r="D73" s="77">
        <v>20</v>
      </c>
      <c r="E73" s="78">
        <f>16040807851.8999</f>
        <v>16040807851.8999</v>
      </c>
      <c r="F73" s="82"/>
      <c r="G73" s="82"/>
      <c r="H73" s="82">
        <f>1746+86</f>
        <v>1832</v>
      </c>
      <c r="I73" s="82">
        <f>2197+39</f>
        <v>2236</v>
      </c>
      <c r="J73" s="83" t="s">
        <v>256</v>
      </c>
      <c r="K73">
        <f t="shared" si="14"/>
        <v>1832</v>
      </c>
      <c r="L73" s="62">
        <f t="shared" si="15"/>
        <v>275183151125.17285</v>
      </c>
      <c r="M73">
        <f t="shared" si="16"/>
        <v>5150.4000000000005</v>
      </c>
      <c r="O73" s="91" t="s">
        <v>268</v>
      </c>
      <c r="P73" s="91" t="s">
        <v>280</v>
      </c>
      <c r="Q73" s="77" t="s">
        <v>277</v>
      </c>
      <c r="R73" s="84">
        <v>183</v>
      </c>
      <c r="S73" s="78">
        <f>16040807851.8999</f>
        <v>16040807851.8999</v>
      </c>
      <c r="T73" s="82"/>
      <c r="U73" s="82"/>
      <c r="V73" s="82">
        <v>1870</v>
      </c>
      <c r="W73" s="86" t="s">
        <v>283</v>
      </c>
      <c r="X73" s="77" t="s">
        <v>284</v>
      </c>
      <c r="Y73">
        <f>V73</f>
        <v>1870</v>
      </c>
      <c r="Z73" s="62">
        <f t="shared" si="17"/>
        <v>273684277716.89069</v>
      </c>
      <c r="AA73">
        <f t="shared" si="18"/>
        <v>5030.3999999999996</v>
      </c>
      <c r="AB73" s="108"/>
      <c r="AC73" s="108"/>
      <c r="AD73" s="109"/>
      <c r="AE73" s="110"/>
      <c r="AF73" s="111"/>
      <c r="AG73" s="112"/>
      <c r="AH73" s="112"/>
      <c r="AI73" s="112"/>
      <c r="AJ73" s="112"/>
      <c r="AK73" s="112"/>
    </row>
    <row r="74" spans="1:39">
      <c r="A74" s="77" t="s">
        <v>94</v>
      </c>
      <c r="B74" s="77"/>
      <c r="C74" s="80" t="s">
        <v>95</v>
      </c>
      <c r="D74" s="84">
        <f>20</f>
        <v>20</v>
      </c>
      <c r="E74" s="90">
        <v>1719071320.3099899</v>
      </c>
      <c r="F74" s="82"/>
      <c r="G74" s="82"/>
      <c r="H74" s="82">
        <v>1855</v>
      </c>
      <c r="I74" s="82">
        <v>1913</v>
      </c>
      <c r="J74" s="77" t="s">
        <v>256</v>
      </c>
      <c r="K74">
        <f t="shared" si="14"/>
        <v>1855</v>
      </c>
      <c r="L74" s="62">
        <f t="shared" si="15"/>
        <v>259142343273.27298</v>
      </c>
      <c r="M74">
        <f t="shared" si="16"/>
        <v>5130.4000000000005</v>
      </c>
      <c r="O74" s="91" t="s">
        <v>291</v>
      </c>
      <c r="P74" s="91"/>
      <c r="Q74" s="80" t="s">
        <v>292</v>
      </c>
      <c r="R74" s="84">
        <v>228</v>
      </c>
      <c r="S74" s="92">
        <v>8354396156.68999</v>
      </c>
      <c r="T74" s="82"/>
      <c r="U74" s="82"/>
      <c r="V74" s="82">
        <v>1874</v>
      </c>
      <c r="W74" s="86" t="s">
        <v>283</v>
      </c>
      <c r="X74" s="82" t="s">
        <v>284</v>
      </c>
      <c r="Y74">
        <f>V74</f>
        <v>1874</v>
      </c>
      <c r="Z74" s="62">
        <f t="shared" si="17"/>
        <v>257643469864.99078</v>
      </c>
      <c r="AA74">
        <f t="shared" si="18"/>
        <v>4847.3999999999996</v>
      </c>
      <c r="AB74" s="77"/>
      <c r="AC74" s="77"/>
      <c r="AD74" s="80"/>
      <c r="AE74" s="84"/>
      <c r="AF74" s="90"/>
      <c r="AG74" s="82"/>
      <c r="AH74" s="82"/>
      <c r="AI74" s="82"/>
      <c r="AJ74" s="82"/>
      <c r="AK74" s="77"/>
    </row>
    <row r="75" spans="1:39">
      <c r="A75" s="91" t="s">
        <v>289</v>
      </c>
      <c r="B75" s="91"/>
      <c r="C75" s="80" t="s">
        <v>290</v>
      </c>
      <c r="D75" s="84">
        <f>30+152+61</f>
        <v>243</v>
      </c>
      <c r="E75" s="92">
        <v>89414078.974000007</v>
      </c>
      <c r="F75" s="82">
        <v>1874</v>
      </c>
      <c r="G75" s="82">
        <v>18</v>
      </c>
      <c r="H75" s="82">
        <f>F75-G75</f>
        <v>1856</v>
      </c>
      <c r="I75" s="82">
        <f>F75+G75</f>
        <v>1892</v>
      </c>
      <c r="J75" s="85">
        <f>61+152</f>
        <v>213</v>
      </c>
      <c r="K75">
        <f t="shared" si="14"/>
        <v>1856</v>
      </c>
      <c r="L75" s="62">
        <f t="shared" si="15"/>
        <v>257423271952.96298</v>
      </c>
      <c r="M75">
        <f t="shared" si="16"/>
        <v>5110.4000000000005</v>
      </c>
      <c r="O75" s="77" t="s">
        <v>267</v>
      </c>
      <c r="P75" s="77"/>
      <c r="Q75" s="80" t="s">
        <v>91</v>
      </c>
      <c r="R75" s="84">
        <f>375</f>
        <v>375</v>
      </c>
      <c r="S75" s="92">
        <f>12752965879.5+117683212.923999+2257775660.03+1348324042.04999+5415567949.6+2057071642.36999+811180296.203999+3725351131.61+4845831545.51+419577327.728999+564509694.559999+4556700320.78999+5416339065.14999+533486114.064+4556700320.78999+1025392476.54999+1562261148.53999+1562261148.53999+1025392476.54999</f>
        <v>54554371453.060921</v>
      </c>
      <c r="T75" s="82"/>
      <c r="U75" s="82"/>
      <c r="V75" s="82">
        <v>1878.5</v>
      </c>
      <c r="W75" s="86" t="s">
        <v>283</v>
      </c>
      <c r="X75" s="77" t="s">
        <v>282</v>
      </c>
      <c r="Y75">
        <f>V75</f>
        <v>1878.5</v>
      </c>
      <c r="Z75" s="62">
        <f t="shared" si="17"/>
        <v>249289073708.30078</v>
      </c>
      <c r="AA75">
        <f t="shared" si="18"/>
        <v>4619.3999999999996</v>
      </c>
      <c r="AB75" s="91"/>
      <c r="AC75" s="91"/>
      <c r="AD75" s="80"/>
      <c r="AE75" s="84"/>
      <c r="AF75" s="93"/>
      <c r="AG75" s="85"/>
      <c r="AH75" s="85"/>
      <c r="AI75" s="82"/>
      <c r="AJ75" s="82"/>
      <c r="AK75" s="82"/>
    </row>
    <row r="76" spans="1:39">
      <c r="A76" s="91" t="s">
        <v>87</v>
      </c>
      <c r="B76" s="91"/>
      <c r="C76" s="80" t="s">
        <v>88</v>
      </c>
      <c r="D76" s="84">
        <v>190</v>
      </c>
      <c r="E76" s="93">
        <v>2202869880.3400002</v>
      </c>
      <c r="F76" s="85">
        <v>1877.52</v>
      </c>
      <c r="G76" s="85">
        <v>8.74</v>
      </c>
      <c r="H76" s="82">
        <f>F76-G76</f>
        <v>1868.78</v>
      </c>
      <c r="I76" s="82">
        <f>F76+G76</f>
        <v>1886.26</v>
      </c>
      <c r="J76" s="82">
        <v>60</v>
      </c>
      <c r="K76">
        <f t="shared" si="14"/>
        <v>1868.78</v>
      </c>
      <c r="L76" s="62">
        <f t="shared" si="15"/>
        <v>257333857873.98898</v>
      </c>
      <c r="M76">
        <f t="shared" si="16"/>
        <v>4867.4000000000005</v>
      </c>
      <c r="O76" s="91" t="s">
        <v>87</v>
      </c>
      <c r="P76" s="91"/>
      <c r="Q76" s="80" t="s">
        <v>88</v>
      </c>
      <c r="R76" s="84">
        <v>190</v>
      </c>
      <c r="S76" s="93">
        <v>2202869880.3400002</v>
      </c>
      <c r="T76" s="85">
        <v>1877.52</v>
      </c>
      <c r="U76" s="85">
        <v>8.74</v>
      </c>
      <c r="V76" s="82">
        <f>T76-U76</f>
        <v>1868.78</v>
      </c>
      <c r="W76" s="82">
        <f>T76+U76</f>
        <v>1886.26</v>
      </c>
      <c r="X76" s="82">
        <v>60</v>
      </c>
      <c r="Y76">
        <f>W76</f>
        <v>1886.26</v>
      </c>
      <c r="Z76" s="62">
        <f t="shared" si="17"/>
        <v>194734702255.23987</v>
      </c>
      <c r="AA76">
        <f t="shared" si="18"/>
        <v>4244.3999999999996</v>
      </c>
      <c r="AB76" s="108"/>
      <c r="AC76" s="108"/>
      <c r="AD76" s="109"/>
      <c r="AE76" s="110"/>
      <c r="AF76" s="111"/>
      <c r="AG76" s="76"/>
      <c r="AH76" s="76"/>
      <c r="AI76" s="112"/>
      <c r="AJ76" s="112"/>
      <c r="AK76" s="112"/>
    </row>
    <row r="77" spans="1:39">
      <c r="A77" s="108" t="s">
        <v>87</v>
      </c>
      <c r="B77" s="108"/>
      <c r="C77" s="109" t="s">
        <v>89</v>
      </c>
      <c r="D77" s="110">
        <f>750*0.3048</f>
        <v>228.60000000000002</v>
      </c>
      <c r="E77" s="111">
        <v>16040807851.856001</v>
      </c>
      <c r="F77" s="76">
        <v>1877.52</v>
      </c>
      <c r="G77" s="76">
        <v>8.74</v>
      </c>
      <c r="H77" s="112">
        <f>F77-G77</f>
        <v>1868.78</v>
      </c>
      <c r="I77" s="112">
        <f>F77+G77</f>
        <v>1886.26</v>
      </c>
      <c r="J77" s="112">
        <v>121</v>
      </c>
      <c r="K77">
        <f t="shared" si="14"/>
        <v>1868.78</v>
      </c>
      <c r="L77" s="62">
        <f t="shared" si="15"/>
        <v>255130987993.64899</v>
      </c>
      <c r="M77">
        <f t="shared" si="16"/>
        <v>4677.4000000000005</v>
      </c>
      <c r="O77" s="108" t="s">
        <v>87</v>
      </c>
      <c r="P77" s="108"/>
      <c r="Q77" s="109" t="s">
        <v>89</v>
      </c>
      <c r="R77" s="110">
        <f>750*0.3048</f>
        <v>228.60000000000002</v>
      </c>
      <c r="S77" s="111">
        <v>16040807851.856001</v>
      </c>
      <c r="T77" s="76">
        <v>1877.52</v>
      </c>
      <c r="U77" s="76">
        <v>8.74</v>
      </c>
      <c r="V77" s="112">
        <f>T77-U77</f>
        <v>1868.78</v>
      </c>
      <c r="W77" s="112">
        <f>T77+U77</f>
        <v>1886.26</v>
      </c>
      <c r="X77" s="112">
        <v>121</v>
      </c>
      <c r="Y77">
        <f>W77</f>
        <v>1886.26</v>
      </c>
      <c r="Z77" s="62">
        <f t="shared" si="17"/>
        <v>192531832374.89987</v>
      </c>
      <c r="AA77">
        <f t="shared" si="18"/>
        <v>4054.4</v>
      </c>
      <c r="AB77" s="80"/>
      <c r="AC77" s="80"/>
      <c r="AD77" s="94"/>
      <c r="AE77" s="95"/>
      <c r="AF77" s="92"/>
      <c r="AG77" s="82"/>
      <c r="AH77" s="82"/>
      <c r="AI77" s="82"/>
      <c r="AJ77" s="86"/>
      <c r="AK77" s="77"/>
    </row>
    <row r="78" spans="1:39">
      <c r="A78" s="80" t="s">
        <v>92</v>
      </c>
      <c r="B78" s="80"/>
      <c r="C78" s="94" t="s">
        <v>93</v>
      </c>
      <c r="D78" s="95">
        <f>130</f>
        <v>130</v>
      </c>
      <c r="E78" s="92">
        <f>(55695928.6213999+59671095.9182+16704849.8682+54924592.3655+23391756.5925+262603751.821+44438223.0046+1052404766.92999+315947523.25+73558384.3634999+175192677.618+81189772.3006999+59714355.3027999+20690560.5368)</f>
        <v>2296128238.4931893</v>
      </c>
      <c r="F78" s="82"/>
      <c r="G78" s="82"/>
      <c r="H78" s="82">
        <v>1870</v>
      </c>
      <c r="I78" s="86" t="s">
        <v>283</v>
      </c>
      <c r="J78" s="77" t="s">
        <v>284</v>
      </c>
      <c r="K78">
        <f t="shared" si="14"/>
        <v>1870</v>
      </c>
      <c r="L78" s="62">
        <f t="shared" si="15"/>
        <v>239090180141.793</v>
      </c>
      <c r="M78">
        <f t="shared" si="16"/>
        <v>4448.8</v>
      </c>
      <c r="O78" s="108" t="s">
        <v>87</v>
      </c>
      <c r="P78" s="108"/>
      <c r="Q78" s="109" t="s">
        <v>99</v>
      </c>
      <c r="R78" s="110">
        <v>800</v>
      </c>
      <c r="S78" s="111">
        <v>380829425.90399897</v>
      </c>
      <c r="T78" s="112">
        <v>1885</v>
      </c>
      <c r="U78" s="112">
        <v>4</v>
      </c>
      <c r="V78" s="112">
        <f>T78-U78</f>
        <v>1881</v>
      </c>
      <c r="W78" s="112">
        <f>T78+U78</f>
        <v>1889</v>
      </c>
      <c r="X78" s="112">
        <v>600</v>
      </c>
      <c r="Y78">
        <f>W78</f>
        <v>1889</v>
      </c>
      <c r="Z78" s="62">
        <f t="shared" si="17"/>
        <v>176491024523.04388</v>
      </c>
      <c r="AA78">
        <f t="shared" si="18"/>
        <v>3825.8</v>
      </c>
      <c r="AB78" s="77"/>
      <c r="AC78" s="77"/>
      <c r="AD78" s="80"/>
      <c r="AE78" s="84"/>
      <c r="AF78" s="92"/>
      <c r="AG78" s="82"/>
      <c r="AH78" s="82"/>
      <c r="AI78" s="82"/>
      <c r="AJ78" s="86"/>
      <c r="AK78" s="77"/>
    </row>
    <row r="79" spans="1:39">
      <c r="A79" s="77" t="s">
        <v>298</v>
      </c>
      <c r="B79" s="77"/>
      <c r="C79" s="80" t="s">
        <v>100</v>
      </c>
      <c r="D79" s="84">
        <f>400-150</f>
        <v>250</v>
      </c>
      <c r="E79" s="92">
        <v>21458435750.744999</v>
      </c>
      <c r="F79" s="82">
        <v>1890</v>
      </c>
      <c r="G79" s="82">
        <v>20</v>
      </c>
      <c r="H79" s="82">
        <f>F79-G79</f>
        <v>1870</v>
      </c>
      <c r="I79" s="82">
        <f>F79+G79</f>
        <v>1910</v>
      </c>
      <c r="J79" s="82">
        <v>12</v>
      </c>
      <c r="K79">
        <f t="shared" si="14"/>
        <v>1870</v>
      </c>
      <c r="L79" s="62">
        <f t="shared" si="15"/>
        <v>236794051903.2998</v>
      </c>
      <c r="M79">
        <f t="shared" si="16"/>
        <v>4318.8</v>
      </c>
      <c r="O79" s="91" t="s">
        <v>87</v>
      </c>
      <c r="P79" s="91"/>
      <c r="Q79" s="80" t="s">
        <v>101</v>
      </c>
      <c r="R79" s="84">
        <f>3500*0.3048</f>
        <v>1066.8</v>
      </c>
      <c r="S79" s="92">
        <v>8354396156.68999</v>
      </c>
      <c r="T79" s="82"/>
      <c r="U79" s="82"/>
      <c r="V79" s="82">
        <v>1891</v>
      </c>
      <c r="W79" s="86" t="s">
        <v>283</v>
      </c>
      <c r="X79" s="77" t="s">
        <v>282</v>
      </c>
      <c r="Y79">
        <f>V79</f>
        <v>1891</v>
      </c>
      <c r="Z79" s="62">
        <f t="shared" si="17"/>
        <v>176110195097.13989</v>
      </c>
      <c r="AA79">
        <f t="shared" si="18"/>
        <v>3025.8</v>
      </c>
      <c r="AB79" s="91"/>
      <c r="AC79" s="91"/>
      <c r="AD79" s="80"/>
      <c r="AE79" s="84"/>
      <c r="AF79" s="92"/>
      <c r="AG79" s="82"/>
      <c r="AH79" s="82"/>
      <c r="AI79" s="82"/>
      <c r="AJ79" s="86"/>
      <c r="AK79" s="77"/>
    </row>
    <row r="80" spans="1:39">
      <c r="A80" s="91" t="s">
        <v>268</v>
      </c>
      <c r="B80" s="91" t="s">
        <v>280</v>
      </c>
      <c r="C80" s="77" t="s">
        <v>277</v>
      </c>
      <c r="D80" s="84">
        <v>183</v>
      </c>
      <c r="E80" s="78">
        <f>16040807851.8999</f>
        <v>16040807851.8999</v>
      </c>
      <c r="F80" s="82"/>
      <c r="G80" s="82"/>
      <c r="H80" s="82">
        <v>1870</v>
      </c>
      <c r="I80" s="86" t="s">
        <v>283</v>
      </c>
      <c r="J80" s="77" t="s">
        <v>284</v>
      </c>
      <c r="K80">
        <f t="shared" si="14"/>
        <v>1870</v>
      </c>
      <c r="L80" s="62">
        <f t="shared" si="15"/>
        <v>215335616152.55481</v>
      </c>
      <c r="M80">
        <f t="shared" si="16"/>
        <v>4068.8</v>
      </c>
      <c r="O80" s="91" t="s">
        <v>289</v>
      </c>
      <c r="P80" s="91"/>
      <c r="Q80" s="80" t="s">
        <v>290</v>
      </c>
      <c r="R80" s="84">
        <f>30+152+61</f>
        <v>243</v>
      </c>
      <c r="S80" s="92">
        <v>89414078.974000007</v>
      </c>
      <c r="T80" s="82">
        <v>1874</v>
      </c>
      <c r="U80" s="82">
        <v>18</v>
      </c>
      <c r="V80" s="82">
        <f>T80-U80</f>
        <v>1856</v>
      </c>
      <c r="W80" s="82">
        <f>T80+U80</f>
        <v>1892</v>
      </c>
      <c r="X80" s="85">
        <f>61+152</f>
        <v>213</v>
      </c>
      <c r="Y80">
        <v>1892</v>
      </c>
      <c r="Z80" s="62">
        <f t="shared" si="17"/>
        <v>167755798940.44989</v>
      </c>
      <c r="AA80">
        <f t="shared" si="18"/>
        <v>1959</v>
      </c>
      <c r="AB80" s="77"/>
      <c r="AC80" s="77"/>
      <c r="AD80" s="80"/>
      <c r="AE80" s="84"/>
      <c r="AF80" s="92"/>
      <c r="AG80" s="82"/>
      <c r="AH80" s="82"/>
      <c r="AI80" s="82"/>
      <c r="AJ80" s="82"/>
      <c r="AK80" s="82"/>
    </row>
    <row r="81" spans="1:37">
      <c r="A81" s="91" t="s">
        <v>291</v>
      </c>
      <c r="B81" s="91"/>
      <c r="C81" s="80" t="s">
        <v>292</v>
      </c>
      <c r="D81" s="84">
        <v>228</v>
      </c>
      <c r="E81" s="92">
        <v>8354396156.68999</v>
      </c>
      <c r="F81" s="82"/>
      <c r="G81" s="82"/>
      <c r="H81" s="82">
        <v>1874</v>
      </c>
      <c r="I81" s="86" t="s">
        <v>283</v>
      </c>
      <c r="J81" s="82" t="s">
        <v>284</v>
      </c>
      <c r="K81">
        <f t="shared" si="14"/>
        <v>1874</v>
      </c>
      <c r="L81" s="62">
        <f t="shared" si="15"/>
        <v>199294808300.65491</v>
      </c>
      <c r="M81">
        <f t="shared" si="16"/>
        <v>3885.8</v>
      </c>
      <c r="O81" s="80" t="s">
        <v>96</v>
      </c>
      <c r="P81" s="80" t="s">
        <v>266</v>
      </c>
      <c r="Q81" s="80" t="s">
        <v>97</v>
      </c>
      <c r="R81" s="84">
        <v>10</v>
      </c>
      <c r="S81" s="90">
        <v>797254830.21099901</v>
      </c>
      <c r="T81" s="82"/>
      <c r="U81" s="82"/>
      <c r="V81" s="82">
        <v>1804</v>
      </c>
      <c r="W81" s="82">
        <v>1895</v>
      </c>
      <c r="X81" s="88" t="s">
        <v>256</v>
      </c>
      <c r="Y81">
        <f t="shared" ref="Y81:Y95" si="19">W81</f>
        <v>1895</v>
      </c>
      <c r="Z81" s="62">
        <f t="shared" si="17"/>
        <v>167666384861.47589</v>
      </c>
      <c r="AA81">
        <f t="shared" si="18"/>
        <v>1716</v>
      </c>
      <c r="AB81" s="91"/>
      <c r="AC81" s="91"/>
      <c r="AD81" s="77"/>
      <c r="AE81" s="84"/>
      <c r="AF81" s="78"/>
      <c r="AG81" s="82"/>
      <c r="AH81" s="82"/>
      <c r="AI81" s="82"/>
      <c r="AJ81" s="86"/>
      <c r="AK81" s="77"/>
    </row>
    <row r="82" spans="1:37">
      <c r="A82" s="77" t="s">
        <v>267</v>
      </c>
      <c r="B82" s="77"/>
      <c r="C82" s="80" t="s">
        <v>91</v>
      </c>
      <c r="D82" s="84">
        <f>375</f>
        <v>375</v>
      </c>
      <c r="E82" s="92">
        <f>12752965879.5+117683212.923999+2257775660.03+1348324042.04999+5415567949.6+2057071642.36999+811180296.203999+3725351131.61+4845831545.51+419577327.728999+564509694.559999+4556700320.78999+5416339065.14999+533486114.064+4556700320.78999+1025392476.54999+1562261148.53999+1562261148.53999+1025392476.54999</f>
        <v>54554371453.060921</v>
      </c>
      <c r="F82" s="82"/>
      <c r="G82" s="82"/>
      <c r="H82" s="82">
        <v>1878.5</v>
      </c>
      <c r="I82" s="86" t="s">
        <v>283</v>
      </c>
      <c r="J82" s="77" t="s">
        <v>282</v>
      </c>
      <c r="K82">
        <f t="shared" si="14"/>
        <v>1878.5</v>
      </c>
      <c r="L82" s="62">
        <f t="shared" si="15"/>
        <v>190940412143.9649</v>
      </c>
      <c r="M82">
        <f t="shared" si="16"/>
        <v>3657.8</v>
      </c>
      <c r="O82" s="77" t="s">
        <v>298</v>
      </c>
      <c r="P82" s="77"/>
      <c r="Q82" s="80" t="s">
        <v>100</v>
      </c>
      <c r="R82" s="84">
        <f>400-150</f>
        <v>250</v>
      </c>
      <c r="S82" s="92">
        <v>21458435750.744999</v>
      </c>
      <c r="T82" s="82">
        <v>1890</v>
      </c>
      <c r="U82" s="82">
        <v>20</v>
      </c>
      <c r="V82" s="82">
        <f>T82-U82</f>
        <v>1870</v>
      </c>
      <c r="W82" s="82">
        <f>T82+U82</f>
        <v>1910</v>
      </c>
      <c r="X82" s="82">
        <v>12</v>
      </c>
      <c r="Y82">
        <f t="shared" si="19"/>
        <v>1910</v>
      </c>
      <c r="Z82" s="62">
        <f t="shared" si="17"/>
        <v>166869130031.26489</v>
      </c>
      <c r="AA82">
        <f t="shared" si="18"/>
        <v>1706</v>
      </c>
      <c r="AB82" s="91"/>
      <c r="AC82" s="91"/>
      <c r="AD82" s="80"/>
      <c r="AE82" s="84"/>
      <c r="AF82" s="92"/>
      <c r="AG82" s="82"/>
      <c r="AH82" s="82"/>
      <c r="AI82" s="82"/>
      <c r="AJ82" s="86"/>
      <c r="AK82" s="82"/>
    </row>
    <row r="83" spans="1:37">
      <c r="A83" s="108" t="s">
        <v>87</v>
      </c>
      <c r="B83" s="108"/>
      <c r="C83" s="109" t="s">
        <v>99</v>
      </c>
      <c r="D83" s="110">
        <v>800</v>
      </c>
      <c r="E83" s="111">
        <v>380829425.90399897</v>
      </c>
      <c r="F83" s="112">
        <v>1885</v>
      </c>
      <c r="G83" s="112">
        <v>4</v>
      </c>
      <c r="H83" s="112">
        <f>F83-G83</f>
        <v>1881</v>
      </c>
      <c r="I83" s="112">
        <f>F83+G83</f>
        <v>1889</v>
      </c>
      <c r="J83" s="112">
        <v>600</v>
      </c>
      <c r="K83">
        <f t="shared" si="14"/>
        <v>1881</v>
      </c>
      <c r="L83" s="62">
        <f t="shared" si="15"/>
        <v>136386040690.90398</v>
      </c>
      <c r="M83">
        <f t="shared" si="16"/>
        <v>3282.8</v>
      </c>
      <c r="O83" s="77" t="s">
        <v>94</v>
      </c>
      <c r="P83" s="77"/>
      <c r="Q83" s="80" t="s">
        <v>95</v>
      </c>
      <c r="R83" s="84">
        <f>20</f>
        <v>20</v>
      </c>
      <c r="S83" s="90">
        <v>1719071320.3099899</v>
      </c>
      <c r="T83" s="82"/>
      <c r="U83" s="82"/>
      <c r="V83" s="82">
        <v>1855</v>
      </c>
      <c r="W83" s="82">
        <v>1913</v>
      </c>
      <c r="X83" s="77" t="s">
        <v>256</v>
      </c>
      <c r="Y83">
        <f t="shared" si="19"/>
        <v>1913</v>
      </c>
      <c r="Z83" s="62">
        <f t="shared" si="17"/>
        <v>145410694280.5199</v>
      </c>
      <c r="AA83">
        <f t="shared" si="18"/>
        <v>1456</v>
      </c>
      <c r="AB83" s="91"/>
      <c r="AC83" s="91"/>
      <c r="AD83" s="80"/>
      <c r="AE83" s="84"/>
      <c r="AF83" s="92"/>
      <c r="AG83" s="82"/>
      <c r="AH83" s="82"/>
      <c r="AI83" s="82"/>
      <c r="AJ83" s="82"/>
      <c r="AK83" s="85"/>
    </row>
    <row r="84" spans="1:37">
      <c r="A84" s="91" t="s">
        <v>87</v>
      </c>
      <c r="B84" s="91"/>
      <c r="C84" s="80" t="s">
        <v>101</v>
      </c>
      <c r="D84" s="84">
        <f>3500*0.3048</f>
        <v>1066.8</v>
      </c>
      <c r="E84" s="92">
        <v>8354396156.68999</v>
      </c>
      <c r="F84" s="82"/>
      <c r="G84" s="82"/>
      <c r="H84" s="82">
        <v>1891</v>
      </c>
      <c r="I84" s="86" t="s">
        <v>283</v>
      </c>
      <c r="J84" s="77" t="s">
        <v>282</v>
      </c>
      <c r="K84">
        <f t="shared" si="14"/>
        <v>1891</v>
      </c>
      <c r="L84" s="62">
        <f t="shared" si="15"/>
        <v>136005211264.99998</v>
      </c>
      <c r="M84">
        <f t="shared" si="16"/>
        <v>2482.8000000000002</v>
      </c>
      <c r="O84" s="80" t="s">
        <v>96</v>
      </c>
      <c r="P84" s="80" t="s">
        <v>265</v>
      </c>
      <c r="Q84" s="80" t="s">
        <v>102</v>
      </c>
      <c r="R84" s="77">
        <v>100</v>
      </c>
      <c r="S84" s="78">
        <f>12000*20</f>
        <v>240000</v>
      </c>
      <c r="T84" s="82"/>
      <c r="U84" s="82"/>
      <c r="V84" s="82">
        <v>1895</v>
      </c>
      <c r="W84" s="82">
        <v>1928</v>
      </c>
      <c r="X84" s="88" t="s">
        <v>256</v>
      </c>
      <c r="Y84">
        <f t="shared" si="19"/>
        <v>1928</v>
      </c>
      <c r="Z84" s="62">
        <f t="shared" si="17"/>
        <v>143691622960.2099</v>
      </c>
      <c r="AA84">
        <f t="shared" si="18"/>
        <v>1436</v>
      </c>
      <c r="AB84" s="80"/>
      <c r="AC84" s="80"/>
      <c r="AD84" s="80"/>
      <c r="AE84" s="77"/>
      <c r="AF84" s="78"/>
      <c r="AG84" s="82"/>
      <c r="AH84" s="82"/>
      <c r="AI84" s="82"/>
      <c r="AJ84" s="82"/>
      <c r="AK84" s="88"/>
    </row>
    <row r="85" spans="1:37">
      <c r="A85" s="80" t="s">
        <v>96</v>
      </c>
      <c r="B85" s="80" t="s">
        <v>265</v>
      </c>
      <c r="C85" s="80" t="s">
        <v>102</v>
      </c>
      <c r="D85" s="77">
        <v>100</v>
      </c>
      <c r="E85" s="78">
        <f>12000*20</f>
        <v>240000</v>
      </c>
      <c r="F85" s="82"/>
      <c r="G85" s="82"/>
      <c r="H85" s="82">
        <v>1895</v>
      </c>
      <c r="I85" s="82">
        <v>1928</v>
      </c>
      <c r="J85" s="88" t="s">
        <v>256</v>
      </c>
      <c r="K85">
        <f t="shared" si="14"/>
        <v>1895</v>
      </c>
      <c r="L85" s="62">
        <f t="shared" si="15"/>
        <v>127650815108.31</v>
      </c>
      <c r="M85">
        <f t="shared" si="16"/>
        <v>1416</v>
      </c>
      <c r="O85" s="80" t="s">
        <v>98</v>
      </c>
      <c r="P85" s="80"/>
      <c r="Q85" s="80" t="s">
        <v>271</v>
      </c>
      <c r="R85" s="77">
        <v>100</v>
      </c>
      <c r="S85" s="78">
        <f>1719071320.30999</f>
        <v>1719071320.3099899</v>
      </c>
      <c r="T85" s="82"/>
      <c r="U85" s="85"/>
      <c r="V85" s="82">
        <v>1974</v>
      </c>
      <c r="W85" s="82">
        <v>2100</v>
      </c>
      <c r="X85" s="88" t="s">
        <v>256</v>
      </c>
      <c r="Y85">
        <f t="shared" si="19"/>
        <v>2100</v>
      </c>
      <c r="Z85" s="62">
        <f t="shared" si="17"/>
        <v>143691382960.2099</v>
      </c>
      <c r="AA85">
        <f t="shared" si="18"/>
        <v>1336</v>
      </c>
      <c r="AB85" s="80"/>
      <c r="AC85" s="80"/>
      <c r="AD85" s="77"/>
      <c r="AE85" s="77"/>
      <c r="AF85" s="96"/>
      <c r="AG85" s="82"/>
      <c r="AH85" s="82"/>
      <c r="AI85" s="82"/>
      <c r="AJ85" s="82"/>
      <c r="AK85" s="88"/>
    </row>
    <row r="86" spans="1:37">
      <c r="A86" s="80" t="s">
        <v>98</v>
      </c>
      <c r="B86" s="80"/>
      <c r="C86" s="80" t="s">
        <v>271</v>
      </c>
      <c r="D86" s="77">
        <v>100</v>
      </c>
      <c r="E86" s="78">
        <f>1719071320.30999</f>
        <v>1719071320.3099899</v>
      </c>
      <c r="F86" s="82"/>
      <c r="G86" s="85"/>
      <c r="H86" s="82">
        <v>1974</v>
      </c>
      <c r="I86" s="82">
        <v>2100</v>
      </c>
      <c r="J86" s="88" t="s">
        <v>256</v>
      </c>
      <c r="K86">
        <f t="shared" si="14"/>
        <v>1974</v>
      </c>
      <c r="L86" s="62">
        <f t="shared" si="15"/>
        <v>127650575108.31</v>
      </c>
      <c r="M86">
        <f t="shared" si="16"/>
        <v>1316</v>
      </c>
      <c r="O86" s="80" t="s">
        <v>108</v>
      </c>
      <c r="P86" s="80"/>
      <c r="Q86" s="80" t="s">
        <v>228</v>
      </c>
      <c r="R86" s="77">
        <v>36</v>
      </c>
      <c r="S86" s="78">
        <f>3500*75</f>
        <v>262500</v>
      </c>
      <c r="T86" s="82">
        <v>2080</v>
      </c>
      <c r="U86" s="82">
        <v>45</v>
      </c>
      <c r="V86" s="82">
        <f>T86-U86</f>
        <v>2035</v>
      </c>
      <c r="W86" s="82">
        <f>T86+U86</f>
        <v>2125</v>
      </c>
      <c r="X86" s="88" t="s">
        <v>256</v>
      </c>
      <c r="Y86">
        <f t="shared" si="19"/>
        <v>2125</v>
      </c>
      <c r="Z86" s="62">
        <f t="shared" si="17"/>
        <v>141972311639.8999</v>
      </c>
      <c r="AA86">
        <f t="shared" si="18"/>
        <v>1236</v>
      </c>
      <c r="AB86" s="80"/>
      <c r="AC86" s="80"/>
      <c r="AD86" s="80"/>
      <c r="AE86" s="77"/>
      <c r="AF86" s="78"/>
      <c r="AG86" s="82"/>
      <c r="AH86" s="85"/>
      <c r="AI86" s="82"/>
      <c r="AJ86" s="82"/>
      <c r="AK86" s="88"/>
    </row>
    <row r="87" spans="1:37">
      <c r="A87" s="80" t="s">
        <v>118</v>
      </c>
      <c r="B87" s="80" t="s">
        <v>119</v>
      </c>
      <c r="C87" s="77" t="s">
        <v>270</v>
      </c>
      <c r="D87" s="77">
        <v>100</v>
      </c>
      <c r="E87" s="96">
        <f>170*(1000^2)</f>
        <v>170000000</v>
      </c>
      <c r="F87" s="82"/>
      <c r="G87" s="82"/>
      <c r="H87" s="82">
        <v>2000</v>
      </c>
      <c r="I87" s="82">
        <v>2200</v>
      </c>
      <c r="J87" s="88" t="s">
        <v>256</v>
      </c>
      <c r="K87">
        <f t="shared" si="14"/>
        <v>2000</v>
      </c>
      <c r="L87" s="62">
        <f t="shared" si="15"/>
        <v>125931503788</v>
      </c>
      <c r="M87">
        <f t="shared" si="16"/>
        <v>1216</v>
      </c>
      <c r="O87" s="80" t="s">
        <v>105</v>
      </c>
      <c r="P87" s="80"/>
      <c r="Q87" s="80" t="s">
        <v>221</v>
      </c>
      <c r="R87" s="77">
        <v>20</v>
      </c>
      <c r="S87" s="78">
        <f>(150*1000)*(7000)</f>
        <v>1050000000</v>
      </c>
      <c r="T87" s="77"/>
      <c r="U87" s="82"/>
      <c r="V87" s="82">
        <v>2080</v>
      </c>
      <c r="W87" s="82">
        <v>2170</v>
      </c>
      <c r="X87" s="83" t="s">
        <v>256</v>
      </c>
      <c r="Y87">
        <f t="shared" si="19"/>
        <v>2170</v>
      </c>
      <c r="Z87" s="62">
        <f t="shared" si="17"/>
        <v>141972049139.8999</v>
      </c>
      <c r="AA87">
        <f t="shared" si="18"/>
        <v>1200</v>
      </c>
      <c r="AB87" s="80"/>
      <c r="AC87" s="80"/>
      <c r="AD87" s="80"/>
      <c r="AE87" s="77"/>
      <c r="AF87" s="78"/>
      <c r="AG87" s="82"/>
      <c r="AH87" s="82"/>
      <c r="AI87" s="82"/>
      <c r="AJ87" s="82"/>
      <c r="AK87" s="88"/>
    </row>
    <row r="88" spans="1:37">
      <c r="A88" s="80" t="s">
        <v>112</v>
      </c>
      <c r="B88" s="80"/>
      <c r="C88" s="80" t="s">
        <v>113</v>
      </c>
      <c r="D88" s="77">
        <v>60</v>
      </c>
      <c r="E88" s="78">
        <f>10000*4000</f>
        <v>40000000</v>
      </c>
      <c r="F88" s="82"/>
      <c r="G88" s="82"/>
      <c r="H88" s="82">
        <v>2000</v>
      </c>
      <c r="I88" s="82">
        <v>2300</v>
      </c>
      <c r="J88" s="83" t="s">
        <v>256</v>
      </c>
      <c r="K88">
        <f t="shared" si="14"/>
        <v>2000</v>
      </c>
      <c r="L88" s="62">
        <f t="shared" si="15"/>
        <v>125761503788</v>
      </c>
      <c r="M88">
        <f t="shared" si="16"/>
        <v>1116</v>
      </c>
      <c r="O88" s="80" t="s">
        <v>118</v>
      </c>
      <c r="P88" s="80" t="s">
        <v>119</v>
      </c>
      <c r="Q88" s="77" t="s">
        <v>270</v>
      </c>
      <c r="R88" s="77">
        <v>100</v>
      </c>
      <c r="S88" s="96">
        <f>170*(1000^2)</f>
        <v>170000000</v>
      </c>
      <c r="T88" s="82"/>
      <c r="U88" s="82"/>
      <c r="V88" s="82">
        <v>2000</v>
      </c>
      <c r="W88" s="82">
        <v>2200</v>
      </c>
      <c r="X88" s="88" t="s">
        <v>256</v>
      </c>
      <c r="Y88">
        <f t="shared" si="19"/>
        <v>2200</v>
      </c>
      <c r="Z88" s="62">
        <f t="shared" si="17"/>
        <v>140922049139.8999</v>
      </c>
      <c r="AA88">
        <f t="shared" si="18"/>
        <v>1180</v>
      </c>
      <c r="AB88" s="80"/>
      <c r="AC88" s="80"/>
      <c r="AD88" s="80"/>
      <c r="AE88" s="77"/>
      <c r="AF88" s="78"/>
      <c r="AG88" s="82"/>
      <c r="AH88" s="82"/>
      <c r="AI88" s="82"/>
      <c r="AJ88" s="82"/>
      <c r="AK88" s="83"/>
    </row>
    <row r="89" spans="1:37">
      <c r="A89" s="80" t="s">
        <v>108</v>
      </c>
      <c r="B89" s="80"/>
      <c r="C89" s="80" t="s">
        <v>228</v>
      </c>
      <c r="D89" s="77">
        <v>36</v>
      </c>
      <c r="E89" s="78">
        <f>3500*75</f>
        <v>262500</v>
      </c>
      <c r="F89" s="82">
        <v>2080</v>
      </c>
      <c r="G89" s="82">
        <v>45</v>
      </c>
      <c r="H89" s="82">
        <f>F89-G89</f>
        <v>2035</v>
      </c>
      <c r="I89" s="82">
        <f>F89+G89</f>
        <v>2125</v>
      </c>
      <c r="J89" s="88" t="s">
        <v>256</v>
      </c>
      <c r="K89">
        <f t="shared" si="14"/>
        <v>2035</v>
      </c>
      <c r="L89" s="62">
        <f t="shared" si="15"/>
        <v>125721503788</v>
      </c>
      <c r="M89">
        <f t="shared" si="16"/>
        <v>1056</v>
      </c>
      <c r="O89" s="80" t="s">
        <v>114</v>
      </c>
      <c r="P89" s="80" t="s">
        <v>115</v>
      </c>
      <c r="Q89" s="85" t="s">
        <v>261</v>
      </c>
      <c r="R89" s="77">
        <v>50</v>
      </c>
      <c r="S89" s="78">
        <f>1500*5000</f>
        <v>7500000</v>
      </c>
      <c r="T89" s="82"/>
      <c r="U89" s="85"/>
      <c r="V89" s="82">
        <v>2100</v>
      </c>
      <c r="W89" s="82">
        <v>2216</v>
      </c>
      <c r="X89" s="83" t="s">
        <v>256</v>
      </c>
      <c r="Y89">
        <f t="shared" si="19"/>
        <v>2216</v>
      </c>
      <c r="Z89" s="62">
        <f t="shared" si="17"/>
        <v>140752049139.8999</v>
      </c>
      <c r="AA89">
        <f t="shared" si="18"/>
        <v>1080</v>
      </c>
      <c r="AB89" s="80"/>
      <c r="AC89" s="80"/>
      <c r="AD89" s="80"/>
      <c r="AE89" s="77"/>
      <c r="AF89" s="78"/>
      <c r="AG89" s="82"/>
      <c r="AH89" s="82"/>
      <c r="AI89" s="82"/>
      <c r="AJ89" s="82"/>
      <c r="AK89" s="83"/>
    </row>
    <row r="90" spans="1:37">
      <c r="A90" s="80" t="s">
        <v>105</v>
      </c>
      <c r="B90" s="80"/>
      <c r="C90" s="80" t="s">
        <v>221</v>
      </c>
      <c r="D90" s="77">
        <v>20</v>
      </c>
      <c r="E90" s="78">
        <f>(150*1000)*(7000)</f>
        <v>1050000000</v>
      </c>
      <c r="F90" s="77"/>
      <c r="G90" s="82"/>
      <c r="H90" s="82">
        <v>2080</v>
      </c>
      <c r="I90" s="82">
        <v>2170</v>
      </c>
      <c r="J90" s="83" t="s">
        <v>256</v>
      </c>
      <c r="K90">
        <f t="shared" si="14"/>
        <v>2080</v>
      </c>
      <c r="L90" s="62">
        <f t="shared" si="15"/>
        <v>125721241288</v>
      </c>
      <c r="M90">
        <f t="shared" si="16"/>
        <v>1020</v>
      </c>
      <c r="O90" s="80" t="s">
        <v>110</v>
      </c>
      <c r="P90" s="80" t="s">
        <v>276</v>
      </c>
      <c r="Q90" s="80" t="s">
        <v>244</v>
      </c>
      <c r="R90" s="77">
        <v>20</v>
      </c>
      <c r="S90" s="78">
        <f>16040807851.8999</f>
        <v>16040807851.8999</v>
      </c>
      <c r="T90" s="82"/>
      <c r="U90" s="82"/>
      <c r="V90" s="82">
        <f>1746+86</f>
        <v>1832</v>
      </c>
      <c r="W90" s="82">
        <f>2197+39</f>
        <v>2236</v>
      </c>
      <c r="X90" s="83" t="s">
        <v>256</v>
      </c>
      <c r="Y90">
        <f t="shared" si="19"/>
        <v>2236</v>
      </c>
      <c r="Z90" s="62">
        <f t="shared" si="17"/>
        <v>140744549139.8999</v>
      </c>
      <c r="AA90">
        <f t="shared" si="18"/>
        <v>1030</v>
      </c>
      <c r="AB90" s="80"/>
      <c r="AC90" s="80"/>
      <c r="AD90" s="80"/>
      <c r="AE90" s="77"/>
      <c r="AF90" s="78"/>
      <c r="AG90" s="77"/>
      <c r="AH90" s="82"/>
      <c r="AI90" s="82"/>
      <c r="AJ90" s="82"/>
      <c r="AK90" s="83"/>
    </row>
    <row r="91" spans="1:37">
      <c r="A91" s="80" t="s">
        <v>114</v>
      </c>
      <c r="B91" s="80" t="s">
        <v>115</v>
      </c>
      <c r="C91" s="85" t="s">
        <v>261</v>
      </c>
      <c r="D91" s="77">
        <v>50</v>
      </c>
      <c r="E91" s="78">
        <f>1500*5000</f>
        <v>7500000</v>
      </c>
      <c r="F91" s="82"/>
      <c r="G91" s="85"/>
      <c r="H91" s="82">
        <v>2100</v>
      </c>
      <c r="I91" s="82">
        <v>2216</v>
      </c>
      <c r="J91" s="83" t="s">
        <v>256</v>
      </c>
      <c r="K91">
        <f t="shared" si="14"/>
        <v>2100</v>
      </c>
      <c r="L91" s="62">
        <f t="shared" si="15"/>
        <v>124671241288</v>
      </c>
      <c r="M91">
        <f t="shared" si="16"/>
        <v>1000</v>
      </c>
      <c r="O91" s="80" t="s">
        <v>112</v>
      </c>
      <c r="P91" s="80"/>
      <c r="Q91" s="80" t="s">
        <v>113</v>
      </c>
      <c r="R91" s="77">
        <v>60</v>
      </c>
      <c r="S91" s="78">
        <f>10000*4000</f>
        <v>40000000</v>
      </c>
      <c r="T91" s="82"/>
      <c r="U91" s="82"/>
      <c r="V91" s="82">
        <v>2000</v>
      </c>
      <c r="W91" s="82">
        <v>2300</v>
      </c>
      <c r="X91" s="83" t="s">
        <v>256</v>
      </c>
      <c r="Y91">
        <f t="shared" si="19"/>
        <v>2300</v>
      </c>
      <c r="Z91" s="62">
        <f t="shared" si="17"/>
        <v>124703741288</v>
      </c>
      <c r="AA91">
        <f t="shared" si="18"/>
        <v>1010</v>
      </c>
      <c r="AB91" s="80"/>
      <c r="AC91" s="80"/>
      <c r="AD91" s="85"/>
      <c r="AE91" s="77"/>
      <c r="AF91" s="78"/>
      <c r="AG91" s="82"/>
      <c r="AH91" s="85"/>
      <c r="AI91" s="82"/>
      <c r="AJ91" s="82"/>
      <c r="AK91" s="83"/>
    </row>
    <row r="92" spans="1:37">
      <c r="A92" s="80" t="s">
        <v>103</v>
      </c>
      <c r="B92" s="77" t="s">
        <v>263</v>
      </c>
      <c r="C92" s="80" t="s">
        <v>262</v>
      </c>
      <c r="D92" s="77">
        <v>400</v>
      </c>
      <c r="E92" s="78">
        <f>(20.5*1000)*5.8*1000</f>
        <v>118900000</v>
      </c>
      <c r="F92" s="77"/>
      <c r="G92" s="82"/>
      <c r="H92" s="82">
        <v>2100</v>
      </c>
      <c r="I92" s="82">
        <v>2380</v>
      </c>
      <c r="J92" s="83" t="s">
        <v>256</v>
      </c>
      <c r="K92">
        <f t="shared" si="14"/>
        <v>2100</v>
      </c>
      <c r="L92" s="62">
        <f t="shared" si="15"/>
        <v>124663741288</v>
      </c>
      <c r="M92">
        <f t="shared" si="16"/>
        <v>950</v>
      </c>
      <c r="O92" s="98" t="s">
        <v>120</v>
      </c>
      <c r="P92" s="98" t="s">
        <v>264</v>
      </c>
      <c r="Q92" s="98" t="s">
        <v>121</v>
      </c>
      <c r="R92" s="77">
        <v>40</v>
      </c>
      <c r="S92" s="78">
        <f>128748*482803</f>
        <v>62159920644</v>
      </c>
      <c r="T92" s="77"/>
      <c r="U92" s="82"/>
      <c r="V92" s="77">
        <v>2266</v>
      </c>
      <c r="W92" s="77">
        <v>2310</v>
      </c>
      <c r="X92" s="83" t="s">
        <v>256</v>
      </c>
      <c r="Y92">
        <f t="shared" si="19"/>
        <v>2310</v>
      </c>
      <c r="Z92" s="62">
        <f t="shared" si="17"/>
        <v>124663741288</v>
      </c>
      <c r="AA92">
        <f t="shared" si="18"/>
        <v>950</v>
      </c>
      <c r="AB92" s="80"/>
      <c r="AC92" s="77"/>
      <c r="AD92" s="80"/>
      <c r="AE92" s="77"/>
      <c r="AF92" s="78"/>
      <c r="AG92" s="77"/>
      <c r="AH92" s="82"/>
      <c r="AI92" s="82"/>
      <c r="AJ92" s="82"/>
      <c r="AK92" s="83"/>
    </row>
    <row r="93" spans="1:37">
      <c r="A93" s="80" t="s">
        <v>122</v>
      </c>
      <c r="B93" s="80"/>
      <c r="C93" s="80" t="s">
        <v>123</v>
      </c>
      <c r="D93" s="77">
        <v>450</v>
      </c>
      <c r="E93" s="78">
        <f>45000*5000</f>
        <v>225000000</v>
      </c>
      <c r="F93" s="82"/>
      <c r="G93" s="82"/>
      <c r="H93" s="82">
        <v>2200</v>
      </c>
      <c r="I93" s="82">
        <v>2615</v>
      </c>
      <c r="J93" s="83" t="s">
        <v>256</v>
      </c>
      <c r="K93">
        <f t="shared" si="14"/>
        <v>2200</v>
      </c>
      <c r="L93" s="62">
        <f>E93+L94</f>
        <v>124544841288</v>
      </c>
      <c r="M93">
        <f t="shared" si="16"/>
        <v>550</v>
      </c>
      <c r="O93" s="80" t="s">
        <v>103</v>
      </c>
      <c r="P93" s="77" t="s">
        <v>263</v>
      </c>
      <c r="Q93" s="80" t="s">
        <v>262</v>
      </c>
      <c r="R93" s="77">
        <v>400</v>
      </c>
      <c r="S93" s="78">
        <f>(20.5*1000)*5.8*1000</f>
        <v>118900000</v>
      </c>
      <c r="T93" s="77"/>
      <c r="U93" s="82"/>
      <c r="V93" s="82">
        <v>2100</v>
      </c>
      <c r="W93" s="82">
        <v>2380</v>
      </c>
      <c r="X93" s="83" t="s">
        <v>256</v>
      </c>
      <c r="Y93">
        <f t="shared" si="19"/>
        <v>2380</v>
      </c>
      <c r="Z93" s="62">
        <f t="shared" si="17"/>
        <v>62503820644</v>
      </c>
      <c r="AA93">
        <f t="shared" si="18"/>
        <v>910</v>
      </c>
      <c r="AB93" s="80"/>
      <c r="AC93" s="80"/>
      <c r="AD93" s="80"/>
      <c r="AE93" s="77"/>
      <c r="AF93" s="78"/>
      <c r="AG93" s="82"/>
      <c r="AH93" s="82"/>
      <c r="AI93" s="82"/>
      <c r="AJ93" s="82"/>
      <c r="AK93" s="83"/>
    </row>
    <row r="94" spans="1:37">
      <c r="A94" s="98" t="s">
        <v>120</v>
      </c>
      <c r="B94" s="98" t="s">
        <v>264</v>
      </c>
      <c r="C94" s="98" t="s">
        <v>121</v>
      </c>
      <c r="D94" s="77">
        <v>40</v>
      </c>
      <c r="E94" s="78">
        <f>128748*482803</f>
        <v>62159920644</v>
      </c>
      <c r="F94" s="77"/>
      <c r="G94" s="82"/>
      <c r="H94" s="77">
        <v>2266</v>
      </c>
      <c r="I94" s="77">
        <v>2310</v>
      </c>
      <c r="J94" s="83" t="s">
        <v>256</v>
      </c>
      <c r="K94">
        <f t="shared" si="14"/>
        <v>2266</v>
      </c>
      <c r="L94" s="62">
        <f>E94+L95</f>
        <v>124319841288</v>
      </c>
      <c r="M94">
        <f t="shared" si="16"/>
        <v>100</v>
      </c>
      <c r="O94" s="80" t="s">
        <v>116</v>
      </c>
      <c r="P94" s="80"/>
      <c r="Q94" s="80" t="s">
        <v>251</v>
      </c>
      <c r="R94" s="77">
        <v>60</v>
      </c>
      <c r="S94" s="78">
        <f>128748*482803</f>
        <v>62159920644</v>
      </c>
      <c r="T94" s="82"/>
      <c r="U94" s="82"/>
      <c r="V94" s="82">
        <v>2393</v>
      </c>
      <c r="W94" s="82">
        <v>2426</v>
      </c>
      <c r="X94" s="83" t="s">
        <v>256</v>
      </c>
      <c r="Y94">
        <f t="shared" si="19"/>
        <v>2426</v>
      </c>
      <c r="Z94" s="62">
        <f t="shared" si="17"/>
        <v>62384920644</v>
      </c>
      <c r="AA94">
        <f t="shared" si="18"/>
        <v>510</v>
      </c>
      <c r="AB94" s="98"/>
      <c r="AC94" s="98"/>
      <c r="AD94" s="98"/>
      <c r="AE94" s="77"/>
      <c r="AF94" s="78"/>
      <c r="AG94" s="77"/>
      <c r="AH94" s="82"/>
      <c r="AI94" s="77"/>
      <c r="AJ94" s="77"/>
      <c r="AK94" s="83"/>
    </row>
    <row r="95" spans="1:37">
      <c r="A95" s="80" t="s">
        <v>116</v>
      </c>
      <c r="B95" s="80"/>
      <c r="C95" s="80" t="s">
        <v>251</v>
      </c>
      <c r="D95" s="77">
        <v>60</v>
      </c>
      <c r="E95" s="78">
        <f>128748*482803</f>
        <v>62159920644</v>
      </c>
      <c r="F95" s="82"/>
      <c r="G95" s="82"/>
      <c r="H95" s="82">
        <v>2393</v>
      </c>
      <c r="I95" s="82">
        <v>2426</v>
      </c>
      <c r="J95" s="83" t="s">
        <v>256</v>
      </c>
      <c r="K95">
        <f t="shared" si="14"/>
        <v>2393</v>
      </c>
      <c r="L95" s="62">
        <f>E95+L96</f>
        <v>62159920644</v>
      </c>
      <c r="M95">
        <f>L96+D95</f>
        <v>60</v>
      </c>
      <c r="O95" s="80" t="s">
        <v>122</v>
      </c>
      <c r="P95" s="80"/>
      <c r="Q95" s="80" t="s">
        <v>123</v>
      </c>
      <c r="R95" s="77">
        <v>450</v>
      </c>
      <c r="S95" s="78">
        <f>45000*5000</f>
        <v>225000000</v>
      </c>
      <c r="T95" s="82"/>
      <c r="U95" s="82"/>
      <c r="V95" s="82">
        <v>2200</v>
      </c>
      <c r="W95" s="82">
        <v>2615</v>
      </c>
      <c r="X95" s="83" t="s">
        <v>256</v>
      </c>
      <c r="Y95">
        <f t="shared" si="19"/>
        <v>2615</v>
      </c>
      <c r="Z95" s="62">
        <f>S95+Y96</f>
        <v>225000000</v>
      </c>
      <c r="AA95">
        <f>Z96+R95</f>
        <v>450</v>
      </c>
      <c r="AB95" s="80"/>
      <c r="AC95" s="80"/>
      <c r="AD95" s="80"/>
      <c r="AE95" s="77"/>
      <c r="AF95" s="78"/>
      <c r="AG95" s="82"/>
      <c r="AH95" s="82"/>
      <c r="AI95" s="82"/>
      <c r="AJ95" s="82"/>
      <c r="AK95" s="83"/>
    </row>
    <row r="96" spans="1:37">
      <c r="A96" s="77"/>
      <c r="B96" s="77"/>
      <c r="C96" s="77"/>
      <c r="D96" s="77"/>
      <c r="E96" s="78"/>
      <c r="F96" s="77"/>
      <c r="G96" s="77"/>
      <c r="H96" s="77"/>
      <c r="I96" s="77"/>
      <c r="J96" s="77"/>
    </row>
    <row r="102" spans="30:30">
      <c r="AD102" t="s">
        <v>502</v>
      </c>
    </row>
  </sheetData>
  <sortState xmlns:xlrd2="http://schemas.microsoft.com/office/spreadsheetml/2017/richdata2" ref="O72:Z95">
    <sortCondition ref="Y72:Y95"/>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666B-B732-FC4F-8AF1-0B203811DBBF}">
  <dimension ref="A1:I15"/>
  <sheetViews>
    <sheetView zoomScale="84" zoomScaleNormal="84" workbookViewId="0">
      <selection activeCell="L31" sqref="L31"/>
    </sheetView>
  </sheetViews>
  <sheetFormatPr baseColWidth="10" defaultRowHeight="16"/>
  <sheetData>
    <row r="1" spans="1:9">
      <c r="A1" t="s">
        <v>68</v>
      </c>
      <c r="B1" t="s">
        <v>67</v>
      </c>
      <c r="C1" t="s">
        <v>70</v>
      </c>
      <c r="E1" t="s">
        <v>69</v>
      </c>
      <c r="F1" t="s">
        <v>67</v>
      </c>
      <c r="G1" t="s">
        <v>70</v>
      </c>
    </row>
    <row r="2" spans="1:9">
      <c r="A2" s="2"/>
      <c r="B2" s="16"/>
      <c r="E2" s="9">
        <v>1800</v>
      </c>
      <c r="F2" s="10">
        <v>2100</v>
      </c>
      <c r="G2">
        <f t="shared" ref="G2:G12" si="0">G3+F2</f>
        <v>19890</v>
      </c>
      <c r="I2" s="18"/>
    </row>
    <row r="3" spans="1:9">
      <c r="A3" s="3">
        <v>1850</v>
      </c>
      <c r="B3" s="7">
        <v>3200</v>
      </c>
      <c r="C3">
        <f t="shared" ref="C3:C13" si="1">B3+C4</f>
        <v>19890</v>
      </c>
      <c r="E3" s="9">
        <v>1830</v>
      </c>
      <c r="F3" s="7">
        <v>3200</v>
      </c>
      <c r="G3">
        <f t="shared" si="0"/>
        <v>17790</v>
      </c>
    </row>
    <row r="4" spans="1:9">
      <c r="A4" s="4">
        <v>1850</v>
      </c>
      <c r="B4" s="10">
        <v>1000</v>
      </c>
      <c r="C4">
        <f t="shared" si="1"/>
        <v>16690</v>
      </c>
      <c r="E4" s="9">
        <v>1869</v>
      </c>
      <c r="F4" s="10">
        <v>700</v>
      </c>
      <c r="G4">
        <f t="shared" si="0"/>
        <v>14590</v>
      </c>
    </row>
    <row r="5" spans="1:9">
      <c r="A5" s="4">
        <v>1862</v>
      </c>
      <c r="B5" s="10">
        <v>860</v>
      </c>
      <c r="C5">
        <f t="shared" si="1"/>
        <v>15690</v>
      </c>
      <c r="E5" s="9">
        <v>1870</v>
      </c>
      <c r="F5" s="10">
        <v>900</v>
      </c>
      <c r="G5">
        <f t="shared" si="0"/>
        <v>13890</v>
      </c>
    </row>
    <row r="6" spans="1:9">
      <c r="A6" s="4">
        <v>1867</v>
      </c>
      <c r="B6" s="10">
        <v>1000</v>
      </c>
      <c r="C6">
        <f t="shared" si="1"/>
        <v>14830</v>
      </c>
      <c r="E6" s="9">
        <v>1875</v>
      </c>
      <c r="F6" s="10">
        <v>860</v>
      </c>
      <c r="G6">
        <f t="shared" si="0"/>
        <v>12990</v>
      </c>
    </row>
    <row r="7" spans="1:9">
      <c r="A7" s="3">
        <v>1885</v>
      </c>
      <c r="B7" s="7">
        <v>1800</v>
      </c>
      <c r="C7">
        <f t="shared" si="1"/>
        <v>13830</v>
      </c>
      <c r="E7" s="9">
        <v>1880</v>
      </c>
      <c r="F7" s="10">
        <v>1000</v>
      </c>
      <c r="G7">
        <f t="shared" si="0"/>
        <v>12130</v>
      </c>
    </row>
    <row r="8" spans="1:9">
      <c r="A8" s="4">
        <v>1900</v>
      </c>
      <c r="B8" s="10">
        <v>700</v>
      </c>
      <c r="C8">
        <f t="shared" si="1"/>
        <v>12030</v>
      </c>
      <c r="E8" s="9">
        <v>1880</v>
      </c>
      <c r="F8" s="10">
        <v>1000</v>
      </c>
      <c r="G8">
        <f t="shared" si="0"/>
        <v>11130</v>
      </c>
    </row>
    <row r="9" spans="1:9">
      <c r="A9" s="4">
        <v>1920</v>
      </c>
      <c r="B9" s="10">
        <v>900</v>
      </c>
      <c r="C9">
        <f t="shared" si="1"/>
        <v>11330</v>
      </c>
      <c r="E9" s="9">
        <v>1890</v>
      </c>
      <c r="F9" s="10">
        <v>1450</v>
      </c>
      <c r="G9">
        <f t="shared" si="0"/>
        <v>10130</v>
      </c>
    </row>
    <row r="10" spans="1:9">
      <c r="A10" s="4">
        <v>1960</v>
      </c>
      <c r="B10" s="10">
        <v>950</v>
      </c>
      <c r="C10">
        <f t="shared" si="1"/>
        <v>10430</v>
      </c>
      <c r="E10" s="9">
        <v>1900</v>
      </c>
      <c r="F10" s="10">
        <v>1500</v>
      </c>
      <c r="G10">
        <f t="shared" si="0"/>
        <v>8680</v>
      </c>
    </row>
    <row r="11" spans="1:9">
      <c r="A11" s="4">
        <v>1998</v>
      </c>
      <c r="B11" s="10">
        <v>2100</v>
      </c>
      <c r="C11">
        <f t="shared" si="1"/>
        <v>9480</v>
      </c>
      <c r="E11" s="9">
        <v>1900</v>
      </c>
      <c r="F11" s="7">
        <v>1800</v>
      </c>
      <c r="G11">
        <f t="shared" si="0"/>
        <v>7180</v>
      </c>
    </row>
    <row r="12" spans="1:9">
      <c r="A12" s="4">
        <v>1998</v>
      </c>
      <c r="B12" s="10">
        <v>1930</v>
      </c>
      <c r="C12">
        <f t="shared" si="1"/>
        <v>7380</v>
      </c>
      <c r="E12" s="9">
        <v>1920</v>
      </c>
      <c r="F12" s="10">
        <v>950</v>
      </c>
      <c r="G12">
        <f t="shared" si="0"/>
        <v>5380</v>
      </c>
    </row>
    <row r="13" spans="1:9">
      <c r="A13" s="4">
        <v>2100</v>
      </c>
      <c r="B13" s="10">
        <v>1450</v>
      </c>
      <c r="C13">
        <f t="shared" si="1"/>
        <v>5450</v>
      </c>
      <c r="E13" s="9">
        <v>2040</v>
      </c>
      <c r="F13" s="10">
        <v>1930</v>
      </c>
      <c r="G13">
        <f>G14+F13</f>
        <v>4430</v>
      </c>
    </row>
    <row r="14" spans="1:9">
      <c r="A14" s="4">
        <v>2100</v>
      </c>
      <c r="B14" s="10">
        <v>2500</v>
      </c>
      <c r="C14">
        <f>B14+C15</f>
        <v>4000</v>
      </c>
      <c r="E14" s="9">
        <v>2150</v>
      </c>
      <c r="F14" s="10">
        <v>2500</v>
      </c>
      <c r="G14">
        <f>F14</f>
        <v>2500</v>
      </c>
    </row>
    <row r="15" spans="1:9">
      <c r="A15" s="4">
        <v>2101</v>
      </c>
      <c r="B15" s="10">
        <v>1500</v>
      </c>
      <c r="C15">
        <f>B15</f>
        <v>1500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AB87F-690F-6045-B633-DC3468CD9397}">
  <dimension ref="A1:I9"/>
  <sheetViews>
    <sheetView workbookViewId="0">
      <selection activeCell="P32" sqref="P32"/>
    </sheetView>
  </sheetViews>
  <sheetFormatPr baseColWidth="10" defaultRowHeight="16"/>
  <sheetData>
    <row r="1" spans="1:9">
      <c r="A1" t="s">
        <v>68</v>
      </c>
      <c r="B1" t="s">
        <v>67</v>
      </c>
      <c r="C1" t="s">
        <v>70</v>
      </c>
      <c r="E1" t="s">
        <v>69</v>
      </c>
      <c r="F1" t="s">
        <v>67</v>
      </c>
      <c r="G1" t="s">
        <v>70</v>
      </c>
    </row>
    <row r="2" spans="1:9">
      <c r="A2" s="2">
        <v>1824</v>
      </c>
      <c r="B2" s="16">
        <v>800</v>
      </c>
      <c r="C2">
        <f t="shared" ref="C2:C7" si="0">B2+C3</f>
        <v>12450</v>
      </c>
      <c r="E2" s="15">
        <v>1840</v>
      </c>
      <c r="F2" s="16">
        <v>800</v>
      </c>
      <c r="G2">
        <f t="shared" ref="G2:G7" si="1">F2+G3</f>
        <v>12450</v>
      </c>
      <c r="I2" s="18"/>
    </row>
    <row r="3" spans="1:9">
      <c r="A3" s="1">
        <v>1850</v>
      </c>
      <c r="B3" s="12">
        <v>1500</v>
      </c>
      <c r="C3">
        <f t="shared" si="0"/>
        <v>11650</v>
      </c>
      <c r="E3" s="15">
        <v>1850</v>
      </c>
      <c r="F3" s="16">
        <v>950</v>
      </c>
      <c r="G3">
        <f t="shared" si="1"/>
        <v>11650</v>
      </c>
    </row>
    <row r="4" spans="1:9">
      <c r="A4" s="2">
        <v>1858</v>
      </c>
      <c r="B4" s="16">
        <v>950</v>
      </c>
      <c r="C4">
        <f t="shared" si="0"/>
        <v>10150</v>
      </c>
      <c r="E4" s="15">
        <v>1890</v>
      </c>
      <c r="F4" s="12">
        <v>1500</v>
      </c>
      <c r="G4">
        <f t="shared" si="1"/>
        <v>10700</v>
      </c>
    </row>
    <row r="5" spans="1:9">
      <c r="A5" s="1">
        <v>1860</v>
      </c>
      <c r="B5" s="12">
        <v>2200</v>
      </c>
      <c r="C5">
        <f t="shared" si="0"/>
        <v>9200</v>
      </c>
      <c r="E5" s="15">
        <v>1900</v>
      </c>
      <c r="F5" s="1">
        <v>1300</v>
      </c>
      <c r="G5">
        <f t="shared" si="1"/>
        <v>9200</v>
      </c>
    </row>
    <row r="6" spans="1:9">
      <c r="A6" s="1">
        <v>1900</v>
      </c>
      <c r="B6" s="1">
        <v>1300</v>
      </c>
      <c r="C6">
        <f t="shared" si="0"/>
        <v>7000</v>
      </c>
      <c r="E6" s="15">
        <v>1900</v>
      </c>
      <c r="F6" s="12">
        <v>2200</v>
      </c>
      <c r="G6">
        <f t="shared" si="1"/>
        <v>7900</v>
      </c>
    </row>
    <row r="7" spans="1:9">
      <c r="A7" s="2">
        <v>1968</v>
      </c>
      <c r="B7" s="16">
        <v>2000</v>
      </c>
      <c r="C7">
        <f t="shared" si="0"/>
        <v>5700</v>
      </c>
      <c r="E7" s="15">
        <v>1965</v>
      </c>
      <c r="F7" s="16">
        <v>1000</v>
      </c>
      <c r="G7">
        <f t="shared" si="1"/>
        <v>5700</v>
      </c>
    </row>
    <row r="8" spans="1:9">
      <c r="A8" s="2">
        <v>1989</v>
      </c>
      <c r="B8" s="16">
        <v>1000</v>
      </c>
      <c r="C8">
        <f>B8+C9</f>
        <v>3700</v>
      </c>
      <c r="E8" s="15">
        <v>1985</v>
      </c>
      <c r="F8" s="16">
        <v>2000</v>
      </c>
      <c r="G8">
        <f>F8+G9</f>
        <v>4700</v>
      </c>
    </row>
    <row r="9" spans="1:9">
      <c r="A9" s="2">
        <v>2100</v>
      </c>
      <c r="B9" s="16">
        <v>2700</v>
      </c>
      <c r="C9">
        <f>B9</f>
        <v>2700</v>
      </c>
      <c r="E9" s="15">
        <v>2100</v>
      </c>
      <c r="F9" s="16">
        <v>2700</v>
      </c>
      <c r="G9">
        <f>F9</f>
        <v>2700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7FB46-B559-0C47-8775-464FBA108A3C}">
  <dimension ref="A1:AR55"/>
  <sheetViews>
    <sheetView workbookViewId="0">
      <selection activeCell="P15" sqref="P15"/>
    </sheetView>
  </sheetViews>
  <sheetFormatPr baseColWidth="10" defaultRowHeight="16"/>
  <cols>
    <col min="7" max="7" width="12.83203125" customWidth="1"/>
  </cols>
  <sheetData>
    <row r="1" spans="1:44">
      <c r="A1" s="129" t="s">
        <v>392</v>
      </c>
    </row>
    <row r="2" spans="1:44" s="133" customFormat="1" ht="51">
      <c r="A2" s="130" t="s">
        <v>393</v>
      </c>
      <c r="B2" s="130" t="s">
        <v>394</v>
      </c>
      <c r="C2" s="131" t="s">
        <v>395</v>
      </c>
      <c r="D2" s="132" t="s">
        <v>396</v>
      </c>
      <c r="E2" s="132" t="s">
        <v>397</v>
      </c>
      <c r="F2" s="132" t="s">
        <v>398</v>
      </c>
      <c r="G2" s="132" t="s">
        <v>399</v>
      </c>
      <c r="H2" s="132" t="s">
        <v>400</v>
      </c>
      <c r="I2" s="132" t="s">
        <v>401</v>
      </c>
      <c r="J2" s="133" t="s">
        <v>402</v>
      </c>
      <c r="W2" s="130" t="s">
        <v>393</v>
      </c>
      <c r="X2" s="130" t="s">
        <v>394</v>
      </c>
      <c r="Y2" s="131" t="s">
        <v>395</v>
      </c>
      <c r="Z2" s="132" t="s">
        <v>396</v>
      </c>
      <c r="AA2" s="132" t="s">
        <v>125</v>
      </c>
      <c r="AB2" s="132" t="s">
        <v>397</v>
      </c>
      <c r="AC2" s="132" t="s">
        <v>398</v>
      </c>
      <c r="AD2" s="132" t="s">
        <v>399</v>
      </c>
      <c r="AE2" s="132" t="s">
        <v>400</v>
      </c>
      <c r="AF2" s="133" t="s">
        <v>402</v>
      </c>
      <c r="AI2" s="130" t="s">
        <v>393</v>
      </c>
      <c r="AJ2" s="130" t="s">
        <v>394</v>
      </c>
      <c r="AK2" s="131" t="s">
        <v>395</v>
      </c>
      <c r="AL2" s="132" t="s">
        <v>396</v>
      </c>
      <c r="AM2" s="132" t="s">
        <v>126</v>
      </c>
      <c r="AN2" s="132" t="s">
        <v>397</v>
      </c>
      <c r="AO2" s="132" t="s">
        <v>398</v>
      </c>
      <c r="AP2" s="132" t="s">
        <v>399</v>
      </c>
      <c r="AQ2" s="132" t="s">
        <v>400</v>
      </c>
      <c r="AR2" s="133" t="s">
        <v>402</v>
      </c>
    </row>
    <row r="3" spans="1:44" ht="48">
      <c r="A3" s="134" t="s">
        <v>403</v>
      </c>
      <c r="B3" s="134" t="s">
        <v>404</v>
      </c>
      <c r="C3" s="135">
        <v>600</v>
      </c>
      <c r="D3" s="134">
        <v>20</v>
      </c>
      <c r="E3" s="135">
        <v>1500</v>
      </c>
      <c r="F3" s="135">
        <v>813</v>
      </c>
      <c r="G3" s="134">
        <v>0.76</v>
      </c>
      <c r="H3" s="136">
        <v>71</v>
      </c>
      <c r="I3" s="135">
        <v>210</v>
      </c>
      <c r="J3">
        <f t="shared" ref="J3:J50" si="0">F3+J4</f>
        <v>24676</v>
      </c>
      <c r="W3" s="134" t="s">
        <v>405</v>
      </c>
      <c r="X3" s="134" t="s">
        <v>406</v>
      </c>
      <c r="Y3" s="135">
        <v>600</v>
      </c>
      <c r="Z3" s="134">
        <v>100</v>
      </c>
      <c r="AA3" s="134">
        <f t="shared" ref="AA3:AA51" si="1">Y3-Z3</f>
        <v>500</v>
      </c>
      <c r="AB3" s="135">
        <v>4500</v>
      </c>
      <c r="AC3" s="135">
        <v>675</v>
      </c>
      <c r="AD3" s="134">
        <v>0.5</v>
      </c>
      <c r="AE3" s="134">
        <v>30</v>
      </c>
      <c r="AF3">
        <f t="shared" ref="AF3:AF50" si="2">AC3+AF4</f>
        <v>24571</v>
      </c>
      <c r="AI3" s="134" t="s">
        <v>403</v>
      </c>
      <c r="AJ3" s="134" t="s">
        <v>404</v>
      </c>
      <c r="AK3" s="135">
        <v>600</v>
      </c>
      <c r="AL3" s="134">
        <v>20</v>
      </c>
      <c r="AM3" s="134">
        <f t="shared" ref="AM3:AM51" si="3">AK3+AL3</f>
        <v>620</v>
      </c>
      <c r="AN3" s="135">
        <v>1500</v>
      </c>
      <c r="AO3" s="135">
        <v>813</v>
      </c>
      <c r="AP3" s="134">
        <v>0.76</v>
      </c>
      <c r="AQ3" s="136">
        <v>71</v>
      </c>
      <c r="AR3">
        <f t="shared" ref="AR3:AR50" si="4">AO3+AR4</f>
        <v>24571</v>
      </c>
    </row>
    <row r="4" spans="1:44" ht="24">
      <c r="A4" s="134" t="s">
        <v>407</v>
      </c>
      <c r="B4" s="134" t="s">
        <v>408</v>
      </c>
      <c r="C4" s="135">
        <v>600</v>
      </c>
      <c r="D4" s="135">
        <v>50</v>
      </c>
      <c r="E4" s="135">
        <v>1200</v>
      </c>
      <c r="F4" s="135">
        <v>126</v>
      </c>
      <c r="G4" s="134">
        <v>0.35</v>
      </c>
      <c r="H4" s="134">
        <v>30</v>
      </c>
      <c r="I4" s="135">
        <v>0</v>
      </c>
      <c r="J4">
        <f t="shared" si="0"/>
        <v>23863</v>
      </c>
      <c r="W4" s="134" t="s">
        <v>407</v>
      </c>
      <c r="X4" s="134" t="s">
        <v>408</v>
      </c>
      <c r="Y4" s="135">
        <v>600</v>
      </c>
      <c r="Z4" s="135">
        <v>50</v>
      </c>
      <c r="AA4" s="134">
        <f t="shared" si="1"/>
        <v>550</v>
      </c>
      <c r="AB4" s="135">
        <v>1200</v>
      </c>
      <c r="AC4" s="135">
        <v>126</v>
      </c>
      <c r="AD4" s="134">
        <v>0.35</v>
      </c>
      <c r="AE4" s="134">
        <v>30</v>
      </c>
      <c r="AF4">
        <f t="shared" si="2"/>
        <v>23896</v>
      </c>
      <c r="AI4" s="134" t="s">
        <v>407</v>
      </c>
      <c r="AJ4" s="134" t="s">
        <v>408</v>
      </c>
      <c r="AK4" s="135">
        <v>600</v>
      </c>
      <c r="AL4" s="135">
        <v>50</v>
      </c>
      <c r="AM4" s="134">
        <f t="shared" si="3"/>
        <v>650</v>
      </c>
      <c r="AN4" s="135">
        <v>1200</v>
      </c>
      <c r="AO4" s="135">
        <v>126</v>
      </c>
      <c r="AP4" s="134">
        <v>0.35</v>
      </c>
      <c r="AQ4" s="134">
        <v>30</v>
      </c>
      <c r="AR4">
        <f t="shared" si="4"/>
        <v>23758</v>
      </c>
    </row>
    <row r="5" spans="1:44" ht="48">
      <c r="A5" s="134" t="s">
        <v>405</v>
      </c>
      <c r="B5" s="134" t="s">
        <v>406</v>
      </c>
      <c r="C5" s="135">
        <v>600</v>
      </c>
      <c r="D5" s="134">
        <v>100</v>
      </c>
      <c r="E5" s="135">
        <v>4500</v>
      </c>
      <c r="F5" s="135">
        <v>675</v>
      </c>
      <c r="G5" s="134">
        <v>0.5</v>
      </c>
      <c r="H5" s="134">
        <v>30</v>
      </c>
      <c r="I5" s="135">
        <v>320</v>
      </c>
      <c r="J5">
        <f t="shared" si="0"/>
        <v>23737</v>
      </c>
      <c r="W5" s="134" t="s">
        <v>403</v>
      </c>
      <c r="X5" s="134" t="s">
        <v>404</v>
      </c>
      <c r="Y5" s="135">
        <v>600</v>
      </c>
      <c r="Z5" s="134">
        <v>20</v>
      </c>
      <c r="AA5" s="134">
        <f t="shared" si="1"/>
        <v>580</v>
      </c>
      <c r="AB5" s="135">
        <v>1500</v>
      </c>
      <c r="AC5" s="135">
        <v>813</v>
      </c>
      <c r="AD5" s="134">
        <v>0.76</v>
      </c>
      <c r="AE5" s="136">
        <v>71</v>
      </c>
      <c r="AF5">
        <f t="shared" si="2"/>
        <v>23770</v>
      </c>
      <c r="AI5" s="134" t="s">
        <v>409</v>
      </c>
      <c r="AJ5" s="134" t="s">
        <v>410</v>
      </c>
      <c r="AK5" s="135">
        <v>650</v>
      </c>
      <c r="AL5" s="135">
        <v>35</v>
      </c>
      <c r="AM5" s="134">
        <f t="shared" si="3"/>
        <v>685</v>
      </c>
      <c r="AN5" s="135">
        <v>5500</v>
      </c>
      <c r="AO5" s="135">
        <v>165</v>
      </c>
      <c r="AP5" s="134">
        <v>0.1</v>
      </c>
      <c r="AQ5" s="134">
        <v>30</v>
      </c>
      <c r="AR5">
        <f t="shared" si="4"/>
        <v>23632</v>
      </c>
    </row>
    <row r="6" spans="1:44" ht="36">
      <c r="A6" s="134" t="s">
        <v>409</v>
      </c>
      <c r="B6" s="134" t="s">
        <v>410</v>
      </c>
      <c r="C6" s="135">
        <v>650</v>
      </c>
      <c r="D6" s="135">
        <v>35</v>
      </c>
      <c r="E6" s="135">
        <v>5500</v>
      </c>
      <c r="F6" s="135">
        <v>165</v>
      </c>
      <c r="G6" s="134">
        <v>0.1</v>
      </c>
      <c r="H6" s="134">
        <v>30</v>
      </c>
      <c r="I6" s="135">
        <v>0</v>
      </c>
      <c r="J6">
        <f t="shared" si="0"/>
        <v>23062</v>
      </c>
      <c r="W6" s="134" t="s">
        <v>411</v>
      </c>
      <c r="X6" s="134" t="s">
        <v>412</v>
      </c>
      <c r="Y6" s="135">
        <v>650</v>
      </c>
      <c r="Z6" s="134">
        <v>45</v>
      </c>
      <c r="AA6" s="134">
        <f t="shared" si="1"/>
        <v>605</v>
      </c>
      <c r="AB6" s="135">
        <v>1250</v>
      </c>
      <c r="AC6" s="135">
        <v>51</v>
      </c>
      <c r="AD6" s="134">
        <v>0.27</v>
      </c>
      <c r="AE6" s="134">
        <v>15</v>
      </c>
      <c r="AF6">
        <f t="shared" si="2"/>
        <v>22957</v>
      </c>
      <c r="AI6" s="134" t="s">
        <v>413</v>
      </c>
      <c r="AJ6" s="134" t="s">
        <v>410</v>
      </c>
      <c r="AK6" s="135">
        <v>650</v>
      </c>
      <c r="AL6" s="135">
        <v>40</v>
      </c>
      <c r="AM6" s="134">
        <f t="shared" si="3"/>
        <v>690</v>
      </c>
      <c r="AN6" s="135">
        <v>1000</v>
      </c>
      <c r="AO6" s="135">
        <v>120</v>
      </c>
      <c r="AP6" s="134">
        <v>0.3</v>
      </c>
      <c r="AQ6" s="134">
        <v>40</v>
      </c>
      <c r="AR6">
        <f t="shared" si="4"/>
        <v>23467</v>
      </c>
    </row>
    <row r="7" spans="1:44" ht="36">
      <c r="A7" s="134" t="s">
        <v>413</v>
      </c>
      <c r="B7" s="134" t="s">
        <v>410</v>
      </c>
      <c r="C7" s="135">
        <v>650</v>
      </c>
      <c r="D7" s="135">
        <v>40</v>
      </c>
      <c r="E7" s="135">
        <v>1000</v>
      </c>
      <c r="F7" s="135">
        <v>120</v>
      </c>
      <c r="G7" s="134">
        <v>0.3</v>
      </c>
      <c r="H7" s="134">
        <v>40</v>
      </c>
      <c r="I7" s="135">
        <v>0</v>
      </c>
      <c r="J7">
        <f t="shared" si="0"/>
        <v>22897</v>
      </c>
      <c r="W7" s="134" t="s">
        <v>413</v>
      </c>
      <c r="X7" s="134" t="s">
        <v>410</v>
      </c>
      <c r="Y7" s="135">
        <v>650</v>
      </c>
      <c r="Z7" s="135">
        <v>40</v>
      </c>
      <c r="AA7" s="134">
        <f t="shared" si="1"/>
        <v>610</v>
      </c>
      <c r="AB7" s="135">
        <v>1000</v>
      </c>
      <c r="AC7" s="135">
        <v>120</v>
      </c>
      <c r="AD7" s="134">
        <v>0.3</v>
      </c>
      <c r="AE7" s="134">
        <v>40</v>
      </c>
      <c r="AF7">
        <f t="shared" si="2"/>
        <v>22906</v>
      </c>
      <c r="AI7" s="137" t="s">
        <v>414</v>
      </c>
      <c r="AJ7" s="134" t="s">
        <v>410</v>
      </c>
      <c r="AK7" s="135">
        <v>650</v>
      </c>
      <c r="AL7" s="135">
        <v>40</v>
      </c>
      <c r="AM7" s="134">
        <f t="shared" si="3"/>
        <v>690</v>
      </c>
      <c r="AN7" s="135">
        <v>2500</v>
      </c>
      <c r="AO7" s="135">
        <v>165</v>
      </c>
      <c r="AP7" s="134">
        <v>0.33</v>
      </c>
      <c r="AQ7" s="134">
        <v>20</v>
      </c>
      <c r="AR7">
        <f t="shared" si="4"/>
        <v>23347</v>
      </c>
    </row>
    <row r="8" spans="1:44" ht="36">
      <c r="A8" s="137" t="s">
        <v>414</v>
      </c>
      <c r="B8" s="134" t="s">
        <v>410</v>
      </c>
      <c r="C8" s="135">
        <v>650</v>
      </c>
      <c r="D8" s="135">
        <v>40</v>
      </c>
      <c r="E8" s="135">
        <v>2500</v>
      </c>
      <c r="F8" s="135">
        <v>165</v>
      </c>
      <c r="G8" s="134">
        <v>0.33</v>
      </c>
      <c r="H8" s="134">
        <v>20</v>
      </c>
      <c r="I8" s="135">
        <v>0</v>
      </c>
      <c r="J8">
        <f t="shared" si="0"/>
        <v>22777</v>
      </c>
      <c r="W8" s="137" t="s">
        <v>414</v>
      </c>
      <c r="X8" s="134" t="s">
        <v>410</v>
      </c>
      <c r="Y8" s="135">
        <v>650</v>
      </c>
      <c r="Z8" s="135">
        <v>40</v>
      </c>
      <c r="AA8" s="134">
        <f t="shared" si="1"/>
        <v>610</v>
      </c>
      <c r="AB8" s="135">
        <v>2500</v>
      </c>
      <c r="AC8" s="135">
        <v>165</v>
      </c>
      <c r="AD8" s="134">
        <v>0.33</v>
      </c>
      <c r="AE8" s="134">
        <v>20</v>
      </c>
      <c r="AF8">
        <f t="shared" si="2"/>
        <v>22786</v>
      </c>
      <c r="AI8" s="134" t="s">
        <v>411</v>
      </c>
      <c r="AJ8" s="134" t="s">
        <v>412</v>
      </c>
      <c r="AK8" s="135">
        <v>650</v>
      </c>
      <c r="AL8" s="134">
        <v>45</v>
      </c>
      <c r="AM8" s="134">
        <f t="shared" si="3"/>
        <v>695</v>
      </c>
      <c r="AN8" s="135">
        <v>1250</v>
      </c>
      <c r="AO8" s="135">
        <v>51</v>
      </c>
      <c r="AP8" s="134">
        <v>0.27</v>
      </c>
      <c r="AQ8" s="134">
        <v>15</v>
      </c>
      <c r="AR8">
        <f t="shared" si="4"/>
        <v>23182</v>
      </c>
    </row>
    <row r="9" spans="1:44" ht="36">
      <c r="A9" s="134" t="s">
        <v>411</v>
      </c>
      <c r="B9" s="134" t="s">
        <v>412</v>
      </c>
      <c r="C9" s="135">
        <v>650</v>
      </c>
      <c r="D9" s="134">
        <v>45</v>
      </c>
      <c r="E9" s="135">
        <v>1250</v>
      </c>
      <c r="F9" s="135">
        <v>51</v>
      </c>
      <c r="G9" s="134">
        <v>0.27</v>
      </c>
      <c r="H9" s="134">
        <v>15</v>
      </c>
      <c r="I9" s="135">
        <v>0</v>
      </c>
      <c r="J9">
        <f t="shared" si="0"/>
        <v>22612</v>
      </c>
      <c r="W9" s="134" t="s">
        <v>409</v>
      </c>
      <c r="X9" s="134" t="s">
        <v>410</v>
      </c>
      <c r="Y9" s="135">
        <v>650</v>
      </c>
      <c r="Z9" s="135">
        <v>35</v>
      </c>
      <c r="AA9" s="134">
        <f t="shared" si="1"/>
        <v>615</v>
      </c>
      <c r="AB9" s="135">
        <v>5500</v>
      </c>
      <c r="AC9" s="135">
        <v>165</v>
      </c>
      <c r="AD9" s="134">
        <v>0.1</v>
      </c>
      <c r="AE9" s="134">
        <v>30</v>
      </c>
      <c r="AF9">
        <f t="shared" si="2"/>
        <v>22621</v>
      </c>
      <c r="AI9" s="134" t="s">
        <v>405</v>
      </c>
      <c r="AJ9" s="134" t="s">
        <v>406</v>
      </c>
      <c r="AK9" s="135">
        <v>600</v>
      </c>
      <c r="AL9" s="134">
        <v>100</v>
      </c>
      <c r="AM9" s="134">
        <f t="shared" si="3"/>
        <v>700</v>
      </c>
      <c r="AN9" s="135">
        <v>4500</v>
      </c>
      <c r="AO9" s="135">
        <v>675</v>
      </c>
      <c r="AP9" s="134">
        <v>0.5</v>
      </c>
      <c r="AQ9" s="134">
        <v>30</v>
      </c>
      <c r="AR9">
        <f t="shared" si="4"/>
        <v>23131</v>
      </c>
    </row>
    <row r="10" spans="1:44" ht="24">
      <c r="A10" s="134" t="s">
        <v>415</v>
      </c>
      <c r="B10" s="134" t="s">
        <v>416</v>
      </c>
      <c r="C10" s="135">
        <v>750</v>
      </c>
      <c r="D10" s="135">
        <v>50</v>
      </c>
      <c r="E10" s="135">
        <v>2000</v>
      </c>
      <c r="F10" s="135">
        <v>480</v>
      </c>
      <c r="G10" s="134">
        <v>0.3</v>
      </c>
      <c r="H10" s="134">
        <v>80</v>
      </c>
      <c r="I10" s="135">
        <v>329</v>
      </c>
      <c r="J10">
        <f t="shared" si="0"/>
        <v>22561</v>
      </c>
      <c r="W10" s="134" t="s">
        <v>415</v>
      </c>
      <c r="X10" s="134" t="s">
        <v>416</v>
      </c>
      <c r="Y10" s="135">
        <v>750</v>
      </c>
      <c r="Z10" s="135">
        <v>50</v>
      </c>
      <c r="AA10" s="134">
        <f t="shared" si="1"/>
        <v>700</v>
      </c>
      <c r="AB10" s="135">
        <v>2000</v>
      </c>
      <c r="AC10" s="135">
        <v>480</v>
      </c>
      <c r="AD10" s="134">
        <v>0.3</v>
      </c>
      <c r="AE10" s="134">
        <v>80</v>
      </c>
      <c r="AF10">
        <f t="shared" si="2"/>
        <v>22456</v>
      </c>
      <c r="AI10" s="134" t="s">
        <v>415</v>
      </c>
      <c r="AJ10" s="134" t="s">
        <v>416</v>
      </c>
      <c r="AK10" s="135">
        <v>750</v>
      </c>
      <c r="AL10" s="135">
        <v>50</v>
      </c>
      <c r="AM10" s="134">
        <f t="shared" si="3"/>
        <v>800</v>
      </c>
      <c r="AN10" s="135">
        <v>2000</v>
      </c>
      <c r="AO10" s="135">
        <v>480</v>
      </c>
      <c r="AP10" s="134">
        <v>0.3</v>
      </c>
      <c r="AQ10" s="134">
        <v>80</v>
      </c>
      <c r="AR10">
        <f t="shared" si="4"/>
        <v>22456</v>
      </c>
    </row>
    <row r="11" spans="1:44" ht="36">
      <c r="A11" s="134" t="s">
        <v>417</v>
      </c>
      <c r="B11" s="134" t="s">
        <v>418</v>
      </c>
      <c r="C11" s="135">
        <v>790</v>
      </c>
      <c r="D11" s="134">
        <v>50</v>
      </c>
      <c r="E11" s="135">
        <v>2500</v>
      </c>
      <c r="F11" s="135">
        <v>500</v>
      </c>
      <c r="G11" s="134">
        <v>0.8</v>
      </c>
      <c r="H11" s="136">
        <v>25</v>
      </c>
      <c r="I11" s="135">
        <v>150</v>
      </c>
      <c r="J11">
        <f t="shared" si="0"/>
        <v>22081</v>
      </c>
      <c r="W11" s="134" t="s">
        <v>419</v>
      </c>
      <c r="X11" s="134" t="s">
        <v>420</v>
      </c>
      <c r="Y11" s="135">
        <v>850</v>
      </c>
      <c r="Z11" s="134">
        <v>120</v>
      </c>
      <c r="AA11" s="134">
        <f t="shared" si="1"/>
        <v>730</v>
      </c>
      <c r="AB11" s="135">
        <v>4270</v>
      </c>
      <c r="AC11" s="135">
        <v>519</v>
      </c>
      <c r="AD11" s="134">
        <v>0.76</v>
      </c>
      <c r="AE11" s="134">
        <v>16</v>
      </c>
      <c r="AF11">
        <f t="shared" si="2"/>
        <v>21976</v>
      </c>
      <c r="AI11" s="134" t="s">
        <v>417</v>
      </c>
      <c r="AJ11" s="134" t="s">
        <v>418</v>
      </c>
      <c r="AK11" s="135">
        <v>790</v>
      </c>
      <c r="AL11" s="134">
        <v>50</v>
      </c>
      <c r="AM11" s="134">
        <f t="shared" si="3"/>
        <v>840</v>
      </c>
      <c r="AN11" s="135">
        <v>2500</v>
      </c>
      <c r="AO11" s="135">
        <v>500</v>
      </c>
      <c r="AP11" s="134">
        <v>0.8</v>
      </c>
      <c r="AQ11" s="136">
        <v>25</v>
      </c>
      <c r="AR11">
        <f t="shared" si="4"/>
        <v>21976</v>
      </c>
    </row>
    <row r="12" spans="1:44" ht="36">
      <c r="A12" s="134" t="s">
        <v>419</v>
      </c>
      <c r="B12" s="134" t="s">
        <v>420</v>
      </c>
      <c r="C12" s="135">
        <v>850</v>
      </c>
      <c r="D12" s="134">
        <v>120</v>
      </c>
      <c r="E12" s="135">
        <v>4270</v>
      </c>
      <c r="F12" s="135">
        <v>519</v>
      </c>
      <c r="G12" s="134">
        <v>0.76</v>
      </c>
      <c r="H12" s="134">
        <v>16</v>
      </c>
      <c r="I12" s="135">
        <v>0</v>
      </c>
      <c r="J12">
        <f t="shared" si="0"/>
        <v>21581</v>
      </c>
      <c r="W12" s="134" t="s">
        <v>417</v>
      </c>
      <c r="X12" s="134" t="s">
        <v>418</v>
      </c>
      <c r="Y12" s="135">
        <v>790</v>
      </c>
      <c r="Z12" s="134">
        <v>50</v>
      </c>
      <c r="AA12" s="134">
        <f t="shared" si="1"/>
        <v>740</v>
      </c>
      <c r="AB12" s="135">
        <v>2500</v>
      </c>
      <c r="AC12" s="135">
        <v>500</v>
      </c>
      <c r="AD12" s="134">
        <v>0.8</v>
      </c>
      <c r="AE12" s="136">
        <v>25</v>
      </c>
      <c r="AF12">
        <f t="shared" si="2"/>
        <v>21457</v>
      </c>
      <c r="AI12" s="134" t="s">
        <v>421</v>
      </c>
      <c r="AJ12" s="134" t="s">
        <v>420</v>
      </c>
      <c r="AK12" s="135">
        <v>850</v>
      </c>
      <c r="AL12" s="134">
        <v>110</v>
      </c>
      <c r="AM12" s="134">
        <f t="shared" si="3"/>
        <v>960</v>
      </c>
      <c r="AN12" s="135">
        <v>760</v>
      </c>
      <c r="AO12" s="135">
        <v>161</v>
      </c>
      <c r="AP12" s="134">
        <v>0.34</v>
      </c>
      <c r="AQ12" s="134">
        <v>62</v>
      </c>
      <c r="AR12">
        <f t="shared" si="4"/>
        <v>21476</v>
      </c>
    </row>
    <row r="13" spans="1:44" ht="36">
      <c r="A13" s="134" t="s">
        <v>421</v>
      </c>
      <c r="B13" s="134" t="s">
        <v>420</v>
      </c>
      <c r="C13" s="135">
        <v>850</v>
      </c>
      <c r="D13" s="134">
        <v>110</v>
      </c>
      <c r="E13" s="135">
        <v>760</v>
      </c>
      <c r="F13" s="135">
        <v>161</v>
      </c>
      <c r="G13" s="134">
        <v>0.34</v>
      </c>
      <c r="H13" s="134">
        <v>62</v>
      </c>
      <c r="I13" s="135">
        <v>0</v>
      </c>
      <c r="J13">
        <f t="shared" si="0"/>
        <v>21062</v>
      </c>
      <c r="W13" s="134" t="s">
        <v>421</v>
      </c>
      <c r="X13" s="134" t="s">
        <v>420</v>
      </c>
      <c r="Y13" s="135">
        <v>850</v>
      </c>
      <c r="Z13" s="134">
        <v>110</v>
      </c>
      <c r="AA13" s="134">
        <f t="shared" si="1"/>
        <v>740</v>
      </c>
      <c r="AB13" s="135">
        <v>760</v>
      </c>
      <c r="AC13" s="135">
        <v>161</v>
      </c>
      <c r="AD13" s="134">
        <v>0.34</v>
      </c>
      <c r="AE13" s="134">
        <v>62</v>
      </c>
      <c r="AF13">
        <f t="shared" si="2"/>
        <v>20957</v>
      </c>
      <c r="AI13" s="134" t="s">
        <v>419</v>
      </c>
      <c r="AJ13" s="134" t="s">
        <v>420</v>
      </c>
      <c r="AK13" s="135">
        <v>850</v>
      </c>
      <c r="AL13" s="134">
        <v>120</v>
      </c>
      <c r="AM13" s="134">
        <f t="shared" si="3"/>
        <v>970</v>
      </c>
      <c r="AN13" s="135">
        <v>4270</v>
      </c>
      <c r="AO13" s="135">
        <v>519</v>
      </c>
      <c r="AP13" s="134">
        <v>0.76</v>
      </c>
      <c r="AQ13" s="134">
        <v>16</v>
      </c>
      <c r="AR13">
        <f t="shared" si="4"/>
        <v>21315</v>
      </c>
    </row>
    <row r="14" spans="1:44" ht="60">
      <c r="A14" s="134" t="s">
        <v>422</v>
      </c>
      <c r="B14" s="134" t="s">
        <v>423</v>
      </c>
      <c r="C14" s="135">
        <v>1000</v>
      </c>
      <c r="D14" s="135">
        <v>50</v>
      </c>
      <c r="E14" s="135">
        <v>3000</v>
      </c>
      <c r="F14" s="135">
        <v>158</v>
      </c>
      <c r="G14" s="134">
        <v>0.15</v>
      </c>
      <c r="H14" s="134">
        <v>35</v>
      </c>
      <c r="I14" s="135">
        <v>200</v>
      </c>
      <c r="J14">
        <f t="shared" si="0"/>
        <v>20901</v>
      </c>
      <c r="W14" s="134" t="s">
        <v>424</v>
      </c>
      <c r="X14" s="134" t="s">
        <v>425</v>
      </c>
      <c r="Y14" s="135">
        <v>1000</v>
      </c>
      <c r="Z14" s="135">
        <v>70</v>
      </c>
      <c r="AA14" s="134">
        <f t="shared" si="1"/>
        <v>930</v>
      </c>
      <c r="AB14" s="135">
        <v>3600</v>
      </c>
      <c r="AC14" s="135">
        <v>554</v>
      </c>
      <c r="AD14" s="134">
        <v>0.55000000000000004</v>
      </c>
      <c r="AE14" s="134">
        <v>28</v>
      </c>
      <c r="AF14">
        <f t="shared" si="2"/>
        <v>20796</v>
      </c>
      <c r="AI14" s="134" t="s">
        <v>426</v>
      </c>
      <c r="AJ14" s="134" t="s">
        <v>427</v>
      </c>
      <c r="AK14" s="135">
        <v>1000</v>
      </c>
      <c r="AL14" s="138"/>
      <c r="AM14" s="134">
        <f t="shared" si="3"/>
        <v>1000</v>
      </c>
      <c r="AN14" s="135">
        <v>1800</v>
      </c>
      <c r="AO14" s="135">
        <v>81</v>
      </c>
      <c r="AP14" s="134">
        <v>0.3</v>
      </c>
      <c r="AQ14" s="134">
        <v>15</v>
      </c>
      <c r="AR14">
        <f t="shared" si="4"/>
        <v>20796</v>
      </c>
    </row>
    <row r="15" spans="1:44" ht="60">
      <c r="A15" s="134" t="s">
        <v>424</v>
      </c>
      <c r="B15" s="134" t="s">
        <v>425</v>
      </c>
      <c r="C15" s="135">
        <v>1000</v>
      </c>
      <c r="D15" s="135">
        <v>70</v>
      </c>
      <c r="E15" s="135">
        <v>3600</v>
      </c>
      <c r="F15" s="135">
        <v>554</v>
      </c>
      <c r="G15" s="134">
        <v>0.55000000000000004</v>
      </c>
      <c r="H15" s="134">
        <v>28</v>
      </c>
      <c r="I15" s="135">
        <v>1920</v>
      </c>
      <c r="J15">
        <f t="shared" si="0"/>
        <v>20743</v>
      </c>
      <c r="W15" s="134" t="s">
        <v>422</v>
      </c>
      <c r="X15" s="134" t="s">
        <v>423</v>
      </c>
      <c r="Y15" s="135">
        <v>1000</v>
      </c>
      <c r="Z15" s="135">
        <v>50</v>
      </c>
      <c r="AA15" s="134">
        <f t="shared" si="1"/>
        <v>950</v>
      </c>
      <c r="AB15" s="135">
        <v>3000</v>
      </c>
      <c r="AC15" s="135">
        <v>158</v>
      </c>
      <c r="AD15" s="134">
        <v>0.15</v>
      </c>
      <c r="AE15" s="134">
        <v>35</v>
      </c>
      <c r="AF15">
        <f t="shared" si="2"/>
        <v>20242</v>
      </c>
      <c r="AI15" s="134" t="s">
        <v>422</v>
      </c>
      <c r="AJ15" s="134" t="s">
        <v>423</v>
      </c>
      <c r="AK15" s="135">
        <v>1000</v>
      </c>
      <c r="AL15" s="135">
        <v>50</v>
      </c>
      <c r="AM15" s="134">
        <f t="shared" si="3"/>
        <v>1050</v>
      </c>
      <c r="AN15" s="135">
        <v>3000</v>
      </c>
      <c r="AO15" s="135">
        <v>158</v>
      </c>
      <c r="AP15" s="134">
        <v>0.15</v>
      </c>
      <c r="AQ15" s="134">
        <v>35</v>
      </c>
      <c r="AR15">
        <f t="shared" si="4"/>
        <v>20715</v>
      </c>
    </row>
    <row r="16" spans="1:44" ht="48">
      <c r="A16" s="134" t="s">
        <v>426</v>
      </c>
      <c r="B16" s="134" t="s">
        <v>427</v>
      </c>
      <c r="C16" s="135">
        <v>1000</v>
      </c>
      <c r="D16" s="138"/>
      <c r="E16" s="135">
        <v>1800</v>
      </c>
      <c r="F16" s="135">
        <v>81</v>
      </c>
      <c r="G16" s="134">
        <v>0.3</v>
      </c>
      <c r="H16" s="134">
        <v>15</v>
      </c>
      <c r="I16" s="135">
        <v>450</v>
      </c>
      <c r="J16">
        <f t="shared" si="0"/>
        <v>20189</v>
      </c>
      <c r="W16" s="134" t="s">
        <v>426</v>
      </c>
      <c r="X16" s="134" t="s">
        <v>427</v>
      </c>
      <c r="Y16" s="135">
        <v>1000</v>
      </c>
      <c r="Z16" s="138"/>
      <c r="AA16" s="134">
        <f t="shared" si="1"/>
        <v>1000</v>
      </c>
      <c r="AB16" s="135">
        <v>1800</v>
      </c>
      <c r="AC16" s="135">
        <v>81</v>
      </c>
      <c r="AD16" s="134">
        <v>0.3</v>
      </c>
      <c r="AE16" s="134">
        <v>15</v>
      </c>
      <c r="AF16">
        <f t="shared" si="2"/>
        <v>20084</v>
      </c>
      <c r="AI16" s="134" t="s">
        <v>424</v>
      </c>
      <c r="AJ16" s="134" t="s">
        <v>425</v>
      </c>
      <c r="AK16" s="135">
        <v>1000</v>
      </c>
      <c r="AL16" s="135">
        <v>70</v>
      </c>
      <c r="AM16" s="134">
        <f t="shared" si="3"/>
        <v>1070</v>
      </c>
      <c r="AN16" s="135">
        <v>3600</v>
      </c>
      <c r="AO16" s="135">
        <v>554</v>
      </c>
      <c r="AP16" s="134">
        <v>0.55000000000000004</v>
      </c>
      <c r="AQ16" s="134">
        <v>28</v>
      </c>
      <c r="AR16">
        <f t="shared" si="4"/>
        <v>20557</v>
      </c>
    </row>
    <row r="17" spans="1:44" ht="36">
      <c r="A17" s="134" t="s">
        <v>428</v>
      </c>
      <c r="B17" s="134" t="s">
        <v>429</v>
      </c>
      <c r="C17" s="135">
        <v>1050</v>
      </c>
      <c r="D17" s="135">
        <v>50</v>
      </c>
      <c r="E17" s="135">
        <v>4000</v>
      </c>
      <c r="F17" s="135">
        <v>260</v>
      </c>
      <c r="G17" s="134">
        <v>0.26</v>
      </c>
      <c r="H17" s="134">
        <v>25</v>
      </c>
      <c r="I17" s="135">
        <v>430</v>
      </c>
      <c r="J17">
        <f t="shared" si="0"/>
        <v>20108</v>
      </c>
      <c r="W17" s="134" t="s">
        <v>428</v>
      </c>
      <c r="X17" s="134" t="s">
        <v>429</v>
      </c>
      <c r="Y17" s="135">
        <v>1050</v>
      </c>
      <c r="Z17" s="135">
        <v>50</v>
      </c>
      <c r="AA17" s="134">
        <f t="shared" si="1"/>
        <v>1000</v>
      </c>
      <c r="AB17" s="135">
        <v>4000</v>
      </c>
      <c r="AC17" s="135">
        <v>260</v>
      </c>
      <c r="AD17" s="134">
        <v>0.26</v>
      </c>
      <c r="AE17" s="134">
        <v>25</v>
      </c>
      <c r="AF17">
        <f t="shared" si="2"/>
        <v>20003</v>
      </c>
      <c r="AI17" s="134" t="s">
        <v>428</v>
      </c>
      <c r="AJ17" s="134" t="s">
        <v>429</v>
      </c>
      <c r="AK17" s="135">
        <v>1050</v>
      </c>
      <c r="AL17" s="135">
        <v>50</v>
      </c>
      <c r="AM17" s="134">
        <f t="shared" si="3"/>
        <v>1100</v>
      </c>
      <c r="AN17" s="135">
        <v>4000</v>
      </c>
      <c r="AO17" s="135">
        <v>260</v>
      </c>
      <c r="AP17" s="134">
        <v>0.26</v>
      </c>
      <c r="AQ17" s="134">
        <v>25</v>
      </c>
      <c r="AR17">
        <f t="shared" si="4"/>
        <v>20003</v>
      </c>
    </row>
    <row r="18" spans="1:44" ht="24">
      <c r="A18" s="134" t="s">
        <v>430</v>
      </c>
      <c r="B18" s="134" t="s">
        <v>431</v>
      </c>
      <c r="C18" s="135">
        <v>1250</v>
      </c>
      <c r="D18" s="134">
        <v>50</v>
      </c>
      <c r="E18" s="135">
        <v>3000</v>
      </c>
      <c r="F18" s="135">
        <v>396</v>
      </c>
      <c r="G18" s="134">
        <v>0.33</v>
      </c>
      <c r="H18" s="136">
        <v>40</v>
      </c>
      <c r="I18" s="135">
        <v>30</v>
      </c>
      <c r="J18">
        <f t="shared" si="0"/>
        <v>19848</v>
      </c>
      <c r="W18" s="134" t="s">
        <v>430</v>
      </c>
      <c r="X18" s="134" t="s">
        <v>431</v>
      </c>
      <c r="Y18" s="135">
        <v>1250</v>
      </c>
      <c r="Z18" s="134">
        <v>50</v>
      </c>
      <c r="AA18" s="134">
        <f t="shared" si="1"/>
        <v>1200</v>
      </c>
      <c r="AB18" s="135">
        <v>3000</v>
      </c>
      <c r="AC18" s="135">
        <v>396</v>
      </c>
      <c r="AD18" s="134">
        <v>0.33</v>
      </c>
      <c r="AE18" s="136">
        <v>40</v>
      </c>
      <c r="AF18">
        <f t="shared" si="2"/>
        <v>19743</v>
      </c>
      <c r="AI18" s="134" t="s">
        <v>430</v>
      </c>
      <c r="AJ18" s="134" t="s">
        <v>431</v>
      </c>
      <c r="AK18" s="135">
        <v>1250</v>
      </c>
      <c r="AL18" s="134">
        <v>50</v>
      </c>
      <c r="AM18" s="134">
        <f t="shared" si="3"/>
        <v>1300</v>
      </c>
      <c r="AN18" s="135">
        <v>3000</v>
      </c>
      <c r="AO18" s="135">
        <v>396</v>
      </c>
      <c r="AP18" s="134">
        <v>0.33</v>
      </c>
      <c r="AQ18" s="136">
        <v>40</v>
      </c>
      <c r="AR18">
        <f t="shared" si="4"/>
        <v>19743</v>
      </c>
    </row>
    <row r="19" spans="1:44" ht="24">
      <c r="A19" s="134" t="s">
        <v>432</v>
      </c>
      <c r="B19" s="134" t="s">
        <v>433</v>
      </c>
      <c r="C19" s="135">
        <v>1450</v>
      </c>
      <c r="D19" s="134">
        <v>10</v>
      </c>
      <c r="E19" s="135">
        <v>7500</v>
      </c>
      <c r="F19" s="135">
        <v>600</v>
      </c>
      <c r="G19" s="134">
        <v>0.2</v>
      </c>
      <c r="H19" s="134">
        <v>40</v>
      </c>
      <c r="I19" s="135">
        <v>1390</v>
      </c>
      <c r="J19">
        <f t="shared" si="0"/>
        <v>19452</v>
      </c>
      <c r="W19" s="134" t="s">
        <v>432</v>
      </c>
      <c r="X19" s="134" t="s">
        <v>433</v>
      </c>
      <c r="Y19" s="135">
        <v>1450</v>
      </c>
      <c r="Z19" s="134">
        <v>10</v>
      </c>
      <c r="AA19" s="134">
        <f t="shared" si="1"/>
        <v>1440</v>
      </c>
      <c r="AB19" s="135">
        <v>7500</v>
      </c>
      <c r="AC19" s="135">
        <v>600</v>
      </c>
      <c r="AD19" s="134">
        <v>0.2</v>
      </c>
      <c r="AE19" s="134">
        <v>40</v>
      </c>
      <c r="AF19">
        <f t="shared" si="2"/>
        <v>19347</v>
      </c>
      <c r="AI19" s="134" t="s">
        <v>432</v>
      </c>
      <c r="AJ19" s="134" t="s">
        <v>433</v>
      </c>
      <c r="AK19" s="135">
        <v>1450</v>
      </c>
      <c r="AL19" s="134">
        <v>10</v>
      </c>
      <c r="AM19" s="134">
        <f t="shared" si="3"/>
        <v>1460</v>
      </c>
      <c r="AN19" s="135">
        <v>7500</v>
      </c>
      <c r="AO19" s="135">
        <v>600</v>
      </c>
      <c r="AP19" s="134">
        <v>0.2</v>
      </c>
      <c r="AQ19" s="134">
        <v>40</v>
      </c>
      <c r="AR19">
        <f t="shared" si="4"/>
        <v>19347</v>
      </c>
    </row>
    <row r="20" spans="1:44" ht="24">
      <c r="A20" s="134" t="s">
        <v>434</v>
      </c>
      <c r="B20" s="134" t="s">
        <v>435</v>
      </c>
      <c r="C20" s="135">
        <v>1600</v>
      </c>
      <c r="D20" s="135">
        <v>50</v>
      </c>
      <c r="E20" s="135">
        <v>2000</v>
      </c>
      <c r="F20" s="135">
        <v>75</v>
      </c>
      <c r="G20" s="134">
        <v>0.25</v>
      </c>
      <c r="H20" s="134">
        <v>15</v>
      </c>
      <c r="I20" s="135">
        <v>0</v>
      </c>
      <c r="J20">
        <f t="shared" si="0"/>
        <v>18852</v>
      </c>
      <c r="W20" s="134" t="s">
        <v>434</v>
      </c>
      <c r="X20" s="134" t="s">
        <v>435</v>
      </c>
      <c r="Y20" s="135">
        <v>1600</v>
      </c>
      <c r="Z20" s="135">
        <v>50</v>
      </c>
      <c r="AA20" s="134">
        <f t="shared" si="1"/>
        <v>1550</v>
      </c>
      <c r="AB20" s="135">
        <v>2000</v>
      </c>
      <c r="AC20" s="135">
        <v>75</v>
      </c>
      <c r="AD20" s="134">
        <v>0.25</v>
      </c>
      <c r="AE20" s="134">
        <v>15</v>
      </c>
      <c r="AF20">
        <f t="shared" si="2"/>
        <v>18747</v>
      </c>
      <c r="AI20" s="134" t="s">
        <v>434</v>
      </c>
      <c r="AJ20" s="134" t="s">
        <v>435</v>
      </c>
      <c r="AK20" s="135">
        <v>1600</v>
      </c>
      <c r="AL20" s="135">
        <v>50</v>
      </c>
      <c r="AM20" s="134">
        <f t="shared" si="3"/>
        <v>1650</v>
      </c>
      <c r="AN20" s="135">
        <v>2000</v>
      </c>
      <c r="AO20" s="135">
        <v>75</v>
      </c>
      <c r="AP20" s="134">
        <v>0.25</v>
      </c>
      <c r="AQ20" s="134">
        <v>15</v>
      </c>
      <c r="AR20">
        <f t="shared" si="4"/>
        <v>18747</v>
      </c>
    </row>
    <row r="21" spans="1:44" ht="60">
      <c r="A21" s="134" t="s">
        <v>436</v>
      </c>
      <c r="B21" s="134" t="s">
        <v>437</v>
      </c>
      <c r="C21" s="135">
        <v>1640</v>
      </c>
      <c r="D21" s="134">
        <v>50</v>
      </c>
      <c r="E21" s="135">
        <v>3500</v>
      </c>
      <c r="F21" s="135">
        <v>406</v>
      </c>
      <c r="G21" s="134">
        <v>0.2</v>
      </c>
      <c r="H21" s="134">
        <v>58</v>
      </c>
      <c r="I21" s="135">
        <v>0</v>
      </c>
      <c r="J21">
        <f t="shared" si="0"/>
        <v>18777</v>
      </c>
      <c r="W21" s="134" t="s">
        <v>436</v>
      </c>
      <c r="X21" s="134" t="s">
        <v>437</v>
      </c>
      <c r="Y21" s="135">
        <v>1640</v>
      </c>
      <c r="Z21" s="134">
        <v>50</v>
      </c>
      <c r="AA21" s="134">
        <f t="shared" si="1"/>
        <v>1590</v>
      </c>
      <c r="AB21" s="135">
        <v>3500</v>
      </c>
      <c r="AC21" s="135">
        <v>406</v>
      </c>
      <c r="AD21" s="134">
        <v>0.2</v>
      </c>
      <c r="AE21" s="134">
        <v>58</v>
      </c>
      <c r="AF21">
        <f t="shared" si="2"/>
        <v>18672</v>
      </c>
      <c r="AI21" s="134" t="s">
        <v>436</v>
      </c>
      <c r="AJ21" s="134" t="s">
        <v>437</v>
      </c>
      <c r="AK21" s="135">
        <v>1640</v>
      </c>
      <c r="AL21" s="134">
        <v>50</v>
      </c>
      <c r="AM21" s="134">
        <f t="shared" si="3"/>
        <v>1690</v>
      </c>
      <c r="AN21" s="135">
        <v>3500</v>
      </c>
      <c r="AO21" s="135">
        <v>406</v>
      </c>
      <c r="AP21" s="134">
        <v>0.2</v>
      </c>
      <c r="AQ21" s="134">
        <v>58</v>
      </c>
      <c r="AR21">
        <f t="shared" si="4"/>
        <v>18672</v>
      </c>
    </row>
    <row r="22" spans="1:44" ht="36">
      <c r="A22" s="134" t="s">
        <v>438</v>
      </c>
      <c r="B22" s="134" t="s">
        <v>439</v>
      </c>
      <c r="C22" s="135">
        <v>1690</v>
      </c>
      <c r="D22" s="134">
        <v>10</v>
      </c>
      <c r="E22" s="135">
        <v>4000</v>
      </c>
      <c r="F22" s="135">
        <v>600</v>
      </c>
      <c r="G22" s="134">
        <v>0.5</v>
      </c>
      <c r="H22" s="136">
        <v>30</v>
      </c>
      <c r="I22" s="135">
        <v>200</v>
      </c>
      <c r="J22">
        <f t="shared" si="0"/>
        <v>18371</v>
      </c>
      <c r="W22" s="134" t="s">
        <v>440</v>
      </c>
      <c r="X22" s="134" t="s">
        <v>441</v>
      </c>
      <c r="Y22" s="135">
        <v>1700</v>
      </c>
      <c r="Z22" s="134">
        <v>22</v>
      </c>
      <c r="AA22" s="134">
        <f t="shared" si="1"/>
        <v>1678</v>
      </c>
      <c r="AB22" s="135">
        <v>8000</v>
      </c>
      <c r="AC22" s="135">
        <v>1540</v>
      </c>
      <c r="AD22" s="134">
        <v>0.55000000000000004</v>
      </c>
      <c r="AE22" s="134">
        <v>35</v>
      </c>
      <c r="AF22">
        <f t="shared" si="2"/>
        <v>18266</v>
      </c>
      <c r="AI22" s="134" t="s">
        <v>438</v>
      </c>
      <c r="AJ22" s="134" t="s">
        <v>439</v>
      </c>
      <c r="AK22" s="135">
        <v>1690</v>
      </c>
      <c r="AL22" s="134">
        <v>10</v>
      </c>
      <c r="AM22" s="134">
        <f t="shared" si="3"/>
        <v>1700</v>
      </c>
      <c r="AN22" s="135">
        <v>4000</v>
      </c>
      <c r="AO22" s="135">
        <v>600</v>
      </c>
      <c r="AP22" s="134">
        <v>0.5</v>
      </c>
      <c r="AQ22" s="136">
        <v>30</v>
      </c>
      <c r="AR22">
        <f t="shared" si="4"/>
        <v>18266</v>
      </c>
    </row>
    <row r="23" spans="1:44" ht="36">
      <c r="A23" s="134" t="s">
        <v>442</v>
      </c>
      <c r="B23" s="134" t="s">
        <v>443</v>
      </c>
      <c r="C23" s="135">
        <v>1700</v>
      </c>
      <c r="D23" s="134">
        <v>20</v>
      </c>
      <c r="E23" s="135">
        <v>4000</v>
      </c>
      <c r="F23" s="135">
        <v>1008</v>
      </c>
      <c r="G23" s="134">
        <v>0.4</v>
      </c>
      <c r="H23" s="134">
        <v>63</v>
      </c>
      <c r="I23" s="135">
        <v>0</v>
      </c>
      <c r="J23">
        <f t="shared" si="0"/>
        <v>17771</v>
      </c>
      <c r="W23" s="134" t="s">
        <v>438</v>
      </c>
      <c r="X23" s="134" t="s">
        <v>439</v>
      </c>
      <c r="Y23" s="135">
        <v>1690</v>
      </c>
      <c r="Z23" s="134">
        <v>10</v>
      </c>
      <c r="AA23" s="134">
        <f t="shared" si="1"/>
        <v>1680</v>
      </c>
      <c r="AB23" s="135">
        <v>4000</v>
      </c>
      <c r="AC23" s="135">
        <v>600</v>
      </c>
      <c r="AD23" s="134">
        <v>0.5</v>
      </c>
      <c r="AE23" s="136">
        <v>30</v>
      </c>
      <c r="AF23">
        <f t="shared" si="2"/>
        <v>16726</v>
      </c>
      <c r="AI23" s="134" t="s">
        <v>442</v>
      </c>
      <c r="AJ23" s="134" t="s">
        <v>443</v>
      </c>
      <c r="AK23" s="135">
        <v>1700</v>
      </c>
      <c r="AL23" s="134">
        <v>20</v>
      </c>
      <c r="AM23" s="134">
        <f t="shared" si="3"/>
        <v>1720</v>
      </c>
      <c r="AN23" s="135">
        <v>4000</v>
      </c>
      <c r="AO23" s="135">
        <v>1008</v>
      </c>
      <c r="AP23" s="134">
        <v>0.4</v>
      </c>
      <c r="AQ23" s="134">
        <v>63</v>
      </c>
      <c r="AR23">
        <f t="shared" si="4"/>
        <v>17666</v>
      </c>
    </row>
    <row r="24" spans="1:44" ht="36">
      <c r="A24" s="134" t="s">
        <v>440</v>
      </c>
      <c r="B24" s="134" t="s">
        <v>441</v>
      </c>
      <c r="C24" s="135">
        <v>1700</v>
      </c>
      <c r="D24" s="134">
        <v>22</v>
      </c>
      <c r="E24" s="135">
        <v>8000</v>
      </c>
      <c r="F24" s="135">
        <v>1540</v>
      </c>
      <c r="G24" s="134">
        <v>0.55000000000000004</v>
      </c>
      <c r="H24" s="134">
        <v>35</v>
      </c>
      <c r="I24" s="135">
        <v>667</v>
      </c>
      <c r="J24">
        <f t="shared" si="0"/>
        <v>16763</v>
      </c>
      <c r="W24" s="134" t="s">
        <v>442</v>
      </c>
      <c r="X24" s="134" t="s">
        <v>443</v>
      </c>
      <c r="Y24" s="135">
        <v>1700</v>
      </c>
      <c r="Z24" s="134">
        <v>20</v>
      </c>
      <c r="AA24" s="134">
        <f t="shared" si="1"/>
        <v>1680</v>
      </c>
      <c r="AB24" s="135">
        <v>4000</v>
      </c>
      <c r="AC24" s="135">
        <v>1008</v>
      </c>
      <c r="AD24" s="134">
        <v>0.4</v>
      </c>
      <c r="AE24" s="134">
        <v>63</v>
      </c>
      <c r="AF24">
        <f t="shared" si="2"/>
        <v>16126</v>
      </c>
      <c r="AI24" s="134" t="s">
        <v>440</v>
      </c>
      <c r="AJ24" s="134" t="s">
        <v>441</v>
      </c>
      <c r="AK24" s="135">
        <v>1700</v>
      </c>
      <c r="AL24" s="134">
        <v>22</v>
      </c>
      <c r="AM24" s="134">
        <f t="shared" si="3"/>
        <v>1722</v>
      </c>
      <c r="AN24" s="135">
        <v>8000</v>
      </c>
      <c r="AO24" s="135">
        <v>1540</v>
      </c>
      <c r="AP24" s="134">
        <v>0.55000000000000004</v>
      </c>
      <c r="AQ24" s="134">
        <v>35</v>
      </c>
      <c r="AR24">
        <f t="shared" si="4"/>
        <v>16658</v>
      </c>
    </row>
    <row r="25" spans="1:44" ht="48">
      <c r="A25" s="134" t="s">
        <v>444</v>
      </c>
      <c r="B25" s="134" t="s">
        <v>443</v>
      </c>
      <c r="C25" s="135">
        <v>1750</v>
      </c>
      <c r="D25" s="134">
        <v>30</v>
      </c>
      <c r="E25" s="135">
        <v>1850</v>
      </c>
      <c r="F25" s="135">
        <v>201</v>
      </c>
      <c r="G25" s="134">
        <v>0.35</v>
      </c>
      <c r="H25" s="134">
        <v>31</v>
      </c>
      <c r="I25" s="135">
        <v>158</v>
      </c>
      <c r="J25">
        <f t="shared" si="0"/>
        <v>15223</v>
      </c>
      <c r="W25" s="134" t="s">
        <v>444</v>
      </c>
      <c r="X25" s="134" t="s">
        <v>443</v>
      </c>
      <c r="Y25" s="135">
        <v>1750</v>
      </c>
      <c r="Z25" s="134">
        <v>30</v>
      </c>
      <c r="AA25" s="134">
        <f t="shared" si="1"/>
        <v>1720</v>
      </c>
      <c r="AB25" s="135">
        <v>1850</v>
      </c>
      <c r="AC25" s="135">
        <v>201</v>
      </c>
      <c r="AD25" s="134">
        <v>0.35</v>
      </c>
      <c r="AE25" s="134">
        <v>31</v>
      </c>
      <c r="AF25">
        <f t="shared" si="2"/>
        <v>15118</v>
      </c>
      <c r="AI25" s="134" t="s">
        <v>444</v>
      </c>
      <c r="AJ25" s="134" t="s">
        <v>443</v>
      </c>
      <c r="AK25" s="135">
        <v>1750</v>
      </c>
      <c r="AL25" s="134">
        <v>30</v>
      </c>
      <c r="AM25" s="134">
        <f t="shared" si="3"/>
        <v>1780</v>
      </c>
      <c r="AN25" s="135">
        <v>1850</v>
      </c>
      <c r="AO25" s="135">
        <v>201</v>
      </c>
      <c r="AP25" s="134">
        <v>0.35</v>
      </c>
      <c r="AQ25" s="134">
        <v>31</v>
      </c>
      <c r="AR25">
        <f t="shared" si="4"/>
        <v>15118</v>
      </c>
    </row>
    <row r="26" spans="1:44" ht="48">
      <c r="A26" s="134" t="s">
        <v>445</v>
      </c>
      <c r="B26" s="134" t="s">
        <v>443</v>
      </c>
      <c r="C26" s="135">
        <v>1790</v>
      </c>
      <c r="D26" s="134">
        <v>20</v>
      </c>
      <c r="E26" s="135">
        <v>4000</v>
      </c>
      <c r="F26" s="135">
        <v>500</v>
      </c>
      <c r="G26" s="134">
        <v>0.5</v>
      </c>
      <c r="H26" s="134">
        <v>25</v>
      </c>
      <c r="I26" s="135">
        <v>0</v>
      </c>
      <c r="J26">
        <f t="shared" si="0"/>
        <v>15022</v>
      </c>
      <c r="W26" s="134" t="s">
        <v>445</v>
      </c>
      <c r="X26" s="134" t="s">
        <v>443</v>
      </c>
      <c r="Y26" s="135">
        <v>1790</v>
      </c>
      <c r="Z26" s="134">
        <v>20</v>
      </c>
      <c r="AA26" s="134">
        <f t="shared" si="1"/>
        <v>1770</v>
      </c>
      <c r="AB26" s="135">
        <v>4000</v>
      </c>
      <c r="AC26" s="135">
        <v>500</v>
      </c>
      <c r="AD26" s="134">
        <v>0.5</v>
      </c>
      <c r="AE26" s="134">
        <v>25</v>
      </c>
      <c r="AF26">
        <f t="shared" si="2"/>
        <v>14917</v>
      </c>
      <c r="AI26" s="134" t="s">
        <v>445</v>
      </c>
      <c r="AJ26" s="134" t="s">
        <v>443</v>
      </c>
      <c r="AK26" s="135">
        <v>1790</v>
      </c>
      <c r="AL26" s="134">
        <v>20</v>
      </c>
      <c r="AM26" s="134">
        <f t="shared" si="3"/>
        <v>1810</v>
      </c>
      <c r="AN26" s="135">
        <v>4000</v>
      </c>
      <c r="AO26" s="135">
        <v>500</v>
      </c>
      <c r="AP26" s="134">
        <v>0.5</v>
      </c>
      <c r="AQ26" s="134">
        <v>25</v>
      </c>
      <c r="AR26">
        <f t="shared" si="4"/>
        <v>14917</v>
      </c>
    </row>
    <row r="27" spans="1:44" ht="36">
      <c r="A27" s="134" t="s">
        <v>446</v>
      </c>
      <c r="B27" s="134" t="s">
        <v>447</v>
      </c>
      <c r="C27" s="135">
        <v>1850</v>
      </c>
      <c r="D27" s="134">
        <v>20</v>
      </c>
      <c r="E27" s="135">
        <v>3000</v>
      </c>
      <c r="F27" s="135">
        <v>540</v>
      </c>
      <c r="G27" s="134">
        <v>0.9</v>
      </c>
      <c r="H27" s="134">
        <v>20</v>
      </c>
      <c r="I27" s="135">
        <v>0</v>
      </c>
      <c r="J27">
        <f t="shared" si="0"/>
        <v>14522</v>
      </c>
      <c r="W27" s="134" t="s">
        <v>448</v>
      </c>
      <c r="X27" s="134" t="s">
        <v>449</v>
      </c>
      <c r="Y27" s="135">
        <v>1900</v>
      </c>
      <c r="Z27" s="134">
        <v>100</v>
      </c>
      <c r="AA27" s="134">
        <f t="shared" si="1"/>
        <v>1800</v>
      </c>
      <c r="AB27" s="135">
        <v>1250</v>
      </c>
      <c r="AC27" s="135">
        <v>250</v>
      </c>
      <c r="AD27" s="134">
        <v>0.4</v>
      </c>
      <c r="AE27" s="134">
        <v>50</v>
      </c>
      <c r="AF27">
        <f t="shared" si="2"/>
        <v>14417</v>
      </c>
      <c r="AI27" s="134" t="s">
        <v>446</v>
      </c>
      <c r="AJ27" s="134" t="s">
        <v>447</v>
      </c>
      <c r="AK27" s="135">
        <v>1850</v>
      </c>
      <c r="AL27" s="134">
        <v>20</v>
      </c>
      <c r="AM27" s="134">
        <f t="shared" si="3"/>
        <v>1870</v>
      </c>
      <c r="AN27" s="135">
        <v>3000</v>
      </c>
      <c r="AO27" s="135">
        <v>540</v>
      </c>
      <c r="AP27" s="134">
        <v>0.9</v>
      </c>
      <c r="AQ27" s="134">
        <v>20</v>
      </c>
      <c r="AR27">
        <f t="shared" si="4"/>
        <v>14417</v>
      </c>
    </row>
    <row r="28" spans="1:44" ht="60">
      <c r="A28" s="134" t="s">
        <v>450</v>
      </c>
      <c r="B28" s="134" t="s">
        <v>451</v>
      </c>
      <c r="C28" s="135">
        <v>1875</v>
      </c>
      <c r="D28" s="134">
        <v>5</v>
      </c>
      <c r="E28" s="135">
        <v>1000</v>
      </c>
      <c r="F28" s="135">
        <v>160</v>
      </c>
      <c r="G28" s="134">
        <v>0.8</v>
      </c>
      <c r="H28" s="134">
        <v>20</v>
      </c>
      <c r="I28" s="135">
        <v>333</v>
      </c>
      <c r="J28">
        <f t="shared" si="0"/>
        <v>13982</v>
      </c>
      <c r="W28" s="134" t="s">
        <v>446</v>
      </c>
      <c r="X28" s="134" t="s">
        <v>447</v>
      </c>
      <c r="Y28" s="135">
        <v>1850</v>
      </c>
      <c r="Z28" s="134">
        <v>20</v>
      </c>
      <c r="AA28" s="134">
        <f t="shared" si="1"/>
        <v>1830</v>
      </c>
      <c r="AB28" s="135">
        <v>3000</v>
      </c>
      <c r="AC28" s="135">
        <v>540</v>
      </c>
      <c r="AD28" s="134">
        <v>0.9</v>
      </c>
      <c r="AE28" s="134">
        <v>20</v>
      </c>
      <c r="AF28">
        <f t="shared" si="2"/>
        <v>14167</v>
      </c>
      <c r="AI28" s="134" t="s">
        <v>450</v>
      </c>
      <c r="AJ28" s="134" t="s">
        <v>451</v>
      </c>
      <c r="AK28" s="135">
        <v>1875</v>
      </c>
      <c r="AL28" s="134">
        <v>5</v>
      </c>
      <c r="AM28" s="134">
        <f t="shared" si="3"/>
        <v>1880</v>
      </c>
      <c r="AN28" s="135">
        <v>1000</v>
      </c>
      <c r="AO28" s="135">
        <v>160</v>
      </c>
      <c r="AP28" s="134">
        <v>0.8</v>
      </c>
      <c r="AQ28" s="134">
        <v>20</v>
      </c>
      <c r="AR28">
        <f t="shared" si="4"/>
        <v>13877</v>
      </c>
    </row>
    <row r="29" spans="1:44" ht="36">
      <c r="A29" s="134" t="s">
        <v>452</v>
      </c>
      <c r="B29" s="134" t="s">
        <v>453</v>
      </c>
      <c r="C29" s="135">
        <v>1878</v>
      </c>
      <c r="D29" s="134">
        <v>20</v>
      </c>
      <c r="E29" s="135">
        <v>7500</v>
      </c>
      <c r="F29" s="135">
        <v>2025</v>
      </c>
      <c r="G29" s="134">
        <v>1</v>
      </c>
      <c r="H29" s="134">
        <v>27</v>
      </c>
      <c r="I29" s="135">
        <v>250</v>
      </c>
      <c r="J29">
        <f t="shared" si="0"/>
        <v>13822</v>
      </c>
      <c r="W29" s="134" t="s">
        <v>454</v>
      </c>
      <c r="X29" s="134" t="s">
        <v>455</v>
      </c>
      <c r="Y29" s="135">
        <v>1900</v>
      </c>
      <c r="Z29" s="134">
        <v>50</v>
      </c>
      <c r="AA29" s="134">
        <f t="shared" si="1"/>
        <v>1850</v>
      </c>
      <c r="AB29" s="135">
        <v>1700</v>
      </c>
      <c r="AC29" s="135">
        <v>394</v>
      </c>
      <c r="AD29" s="134">
        <v>0.57999999999999996</v>
      </c>
      <c r="AE29" s="136">
        <v>40</v>
      </c>
      <c r="AF29">
        <f t="shared" si="2"/>
        <v>13627</v>
      </c>
      <c r="AI29" s="134" t="s">
        <v>452</v>
      </c>
      <c r="AJ29" s="134" t="s">
        <v>453</v>
      </c>
      <c r="AK29" s="135">
        <v>1878</v>
      </c>
      <c r="AL29" s="134">
        <v>20</v>
      </c>
      <c r="AM29" s="134">
        <f t="shared" si="3"/>
        <v>1898</v>
      </c>
      <c r="AN29" s="135">
        <v>7500</v>
      </c>
      <c r="AO29" s="135">
        <v>2025</v>
      </c>
      <c r="AP29" s="134">
        <v>1</v>
      </c>
      <c r="AQ29" s="134">
        <v>27</v>
      </c>
      <c r="AR29">
        <f t="shared" si="4"/>
        <v>13717</v>
      </c>
    </row>
    <row r="30" spans="1:44" ht="36">
      <c r="A30" s="134" t="s">
        <v>456</v>
      </c>
      <c r="B30" s="134" t="s">
        <v>457</v>
      </c>
      <c r="C30" s="135">
        <v>1880</v>
      </c>
      <c r="D30" s="134">
        <v>20</v>
      </c>
      <c r="E30" s="135">
        <v>3700</v>
      </c>
      <c r="F30" s="135">
        <v>1079</v>
      </c>
      <c r="G30" s="134">
        <v>0.54</v>
      </c>
      <c r="H30" s="134">
        <v>54</v>
      </c>
      <c r="I30" s="135">
        <v>625</v>
      </c>
      <c r="J30">
        <f t="shared" si="0"/>
        <v>11797</v>
      </c>
      <c r="W30" s="134" t="s">
        <v>452</v>
      </c>
      <c r="X30" s="134" t="s">
        <v>453</v>
      </c>
      <c r="Y30" s="135">
        <v>1878</v>
      </c>
      <c r="Z30" s="134">
        <v>20</v>
      </c>
      <c r="AA30" s="134">
        <f t="shared" si="1"/>
        <v>1858</v>
      </c>
      <c r="AB30" s="135">
        <v>7500</v>
      </c>
      <c r="AC30" s="135">
        <v>2025</v>
      </c>
      <c r="AD30" s="134">
        <v>1</v>
      </c>
      <c r="AE30" s="134">
        <v>27</v>
      </c>
      <c r="AF30">
        <f t="shared" si="2"/>
        <v>13233</v>
      </c>
      <c r="AI30" s="134" t="s">
        <v>456</v>
      </c>
      <c r="AJ30" s="134" t="s">
        <v>457</v>
      </c>
      <c r="AK30" s="135">
        <v>1880</v>
      </c>
      <c r="AL30" s="134">
        <v>20</v>
      </c>
      <c r="AM30" s="134">
        <f t="shared" si="3"/>
        <v>1900</v>
      </c>
      <c r="AN30" s="135">
        <v>3700</v>
      </c>
      <c r="AO30" s="135">
        <v>1079</v>
      </c>
      <c r="AP30" s="134">
        <v>0.54</v>
      </c>
      <c r="AQ30" s="134">
        <v>54</v>
      </c>
      <c r="AR30">
        <f t="shared" si="4"/>
        <v>11692</v>
      </c>
    </row>
    <row r="31" spans="1:44" ht="36">
      <c r="A31" s="134" t="s">
        <v>458</v>
      </c>
      <c r="B31" s="134" t="s">
        <v>441</v>
      </c>
      <c r="C31" s="135">
        <v>1880</v>
      </c>
      <c r="D31" s="134">
        <v>20</v>
      </c>
      <c r="E31" s="135">
        <v>2500</v>
      </c>
      <c r="F31" s="135">
        <v>248</v>
      </c>
      <c r="G31" s="134">
        <v>0.31</v>
      </c>
      <c r="H31" s="134">
        <v>32</v>
      </c>
      <c r="I31" s="135">
        <v>0</v>
      </c>
      <c r="J31">
        <f t="shared" si="0"/>
        <v>10718</v>
      </c>
      <c r="W31" s="134" t="s">
        <v>456</v>
      </c>
      <c r="X31" s="134" t="s">
        <v>457</v>
      </c>
      <c r="Y31" s="135">
        <v>1880</v>
      </c>
      <c r="Z31" s="134">
        <v>20</v>
      </c>
      <c r="AA31" s="134">
        <f t="shared" si="1"/>
        <v>1860</v>
      </c>
      <c r="AB31" s="135">
        <v>3700</v>
      </c>
      <c r="AC31" s="135">
        <v>1079</v>
      </c>
      <c r="AD31" s="134">
        <v>0.54</v>
      </c>
      <c r="AE31" s="134">
        <v>54</v>
      </c>
      <c r="AF31">
        <f t="shared" si="2"/>
        <v>11208</v>
      </c>
      <c r="AI31" s="134" t="s">
        <v>458</v>
      </c>
      <c r="AJ31" s="134" t="s">
        <v>441</v>
      </c>
      <c r="AK31" s="135">
        <v>1880</v>
      </c>
      <c r="AL31" s="134">
        <v>20</v>
      </c>
      <c r="AM31" s="134">
        <f t="shared" si="3"/>
        <v>1900</v>
      </c>
      <c r="AN31" s="135">
        <v>2500</v>
      </c>
      <c r="AO31" s="135">
        <v>248</v>
      </c>
      <c r="AP31" s="134">
        <v>0.31</v>
      </c>
      <c r="AQ31" s="134">
        <v>32</v>
      </c>
      <c r="AR31">
        <f t="shared" si="4"/>
        <v>10613</v>
      </c>
    </row>
    <row r="32" spans="1:44" ht="36">
      <c r="A32" s="134" t="s">
        <v>459</v>
      </c>
      <c r="B32" s="134" t="s">
        <v>453</v>
      </c>
      <c r="C32" s="135">
        <v>1880</v>
      </c>
      <c r="D32" s="134">
        <v>20</v>
      </c>
      <c r="E32" s="135">
        <v>3200</v>
      </c>
      <c r="F32" s="135">
        <v>800</v>
      </c>
      <c r="G32" s="134">
        <v>0.5</v>
      </c>
      <c r="H32" s="134">
        <v>50</v>
      </c>
      <c r="I32" s="135">
        <v>250</v>
      </c>
      <c r="J32">
        <f t="shared" si="0"/>
        <v>10470</v>
      </c>
      <c r="W32" s="134" t="s">
        <v>458</v>
      </c>
      <c r="X32" s="134" t="s">
        <v>441</v>
      </c>
      <c r="Y32" s="135">
        <v>1880</v>
      </c>
      <c r="Z32" s="134">
        <v>20</v>
      </c>
      <c r="AA32" s="134">
        <f t="shared" si="1"/>
        <v>1860</v>
      </c>
      <c r="AB32" s="135">
        <v>2500</v>
      </c>
      <c r="AC32" s="135">
        <v>248</v>
      </c>
      <c r="AD32" s="134">
        <v>0.31</v>
      </c>
      <c r="AE32" s="134">
        <v>32</v>
      </c>
      <c r="AF32">
        <f t="shared" si="2"/>
        <v>10129</v>
      </c>
      <c r="AI32" s="134" t="s">
        <v>459</v>
      </c>
      <c r="AJ32" s="134" t="s">
        <v>453</v>
      </c>
      <c r="AK32" s="135">
        <v>1880</v>
      </c>
      <c r="AL32" s="134">
        <v>20</v>
      </c>
      <c r="AM32" s="134">
        <f t="shared" si="3"/>
        <v>1900</v>
      </c>
      <c r="AN32" s="135">
        <v>3200</v>
      </c>
      <c r="AO32" s="135">
        <v>800</v>
      </c>
      <c r="AP32" s="134">
        <v>0.5</v>
      </c>
      <c r="AQ32" s="134">
        <v>50</v>
      </c>
      <c r="AR32">
        <f t="shared" si="4"/>
        <v>10365</v>
      </c>
    </row>
    <row r="33" spans="1:44" ht="24">
      <c r="A33" s="134" t="s">
        <v>454</v>
      </c>
      <c r="B33" s="134" t="s">
        <v>455</v>
      </c>
      <c r="C33" s="135">
        <v>1900</v>
      </c>
      <c r="D33" s="134">
        <v>50</v>
      </c>
      <c r="E33" s="135">
        <v>1700</v>
      </c>
      <c r="F33" s="135">
        <v>394</v>
      </c>
      <c r="G33" s="134">
        <v>0.57999999999999996</v>
      </c>
      <c r="H33" s="136">
        <v>40</v>
      </c>
      <c r="I33" s="135">
        <v>193</v>
      </c>
      <c r="J33">
        <f t="shared" si="0"/>
        <v>9670</v>
      </c>
      <c r="W33" s="134" t="s">
        <v>459</v>
      </c>
      <c r="X33" s="134" t="s">
        <v>453</v>
      </c>
      <c r="Y33" s="135">
        <v>1880</v>
      </c>
      <c r="Z33" s="134">
        <v>20</v>
      </c>
      <c r="AA33" s="134">
        <f t="shared" si="1"/>
        <v>1860</v>
      </c>
      <c r="AB33" s="135">
        <v>3200</v>
      </c>
      <c r="AC33" s="135">
        <v>800</v>
      </c>
      <c r="AD33" s="134">
        <v>0.5</v>
      </c>
      <c r="AE33" s="134">
        <v>50</v>
      </c>
      <c r="AF33">
        <f t="shared" si="2"/>
        <v>9881</v>
      </c>
      <c r="AI33" s="134" t="s">
        <v>454</v>
      </c>
      <c r="AJ33" s="134" t="s">
        <v>455</v>
      </c>
      <c r="AK33" s="135">
        <v>1900</v>
      </c>
      <c r="AL33" s="134">
        <v>50</v>
      </c>
      <c r="AM33" s="134">
        <f t="shared" si="3"/>
        <v>1950</v>
      </c>
      <c r="AN33" s="135">
        <v>1700</v>
      </c>
      <c r="AO33" s="135">
        <v>394</v>
      </c>
      <c r="AP33" s="134">
        <v>0.57999999999999996</v>
      </c>
      <c r="AQ33" s="136">
        <v>40</v>
      </c>
      <c r="AR33">
        <f t="shared" si="4"/>
        <v>9565</v>
      </c>
    </row>
    <row r="34" spans="1:44" ht="60">
      <c r="A34" s="134" t="s">
        <v>448</v>
      </c>
      <c r="B34" s="134" t="s">
        <v>449</v>
      </c>
      <c r="C34" s="135">
        <v>1900</v>
      </c>
      <c r="D34" s="134">
        <v>100</v>
      </c>
      <c r="E34" s="135">
        <v>1250</v>
      </c>
      <c r="F34" s="135">
        <v>250</v>
      </c>
      <c r="G34" s="134">
        <v>0.4</v>
      </c>
      <c r="H34" s="134">
        <v>50</v>
      </c>
      <c r="I34" s="135">
        <v>175</v>
      </c>
      <c r="J34">
        <f t="shared" si="0"/>
        <v>9276</v>
      </c>
      <c r="W34" s="134" t="s">
        <v>450</v>
      </c>
      <c r="X34" s="134" t="s">
        <v>451</v>
      </c>
      <c r="Y34" s="135">
        <v>1875</v>
      </c>
      <c r="Z34" s="134">
        <v>5</v>
      </c>
      <c r="AA34" s="134">
        <f t="shared" si="1"/>
        <v>1870</v>
      </c>
      <c r="AB34" s="135">
        <v>1000</v>
      </c>
      <c r="AC34" s="135">
        <v>160</v>
      </c>
      <c r="AD34" s="134">
        <v>0.8</v>
      </c>
      <c r="AE34" s="134">
        <v>20</v>
      </c>
      <c r="AF34">
        <f t="shared" si="2"/>
        <v>9081</v>
      </c>
      <c r="AI34" s="134" t="s">
        <v>460</v>
      </c>
      <c r="AJ34" s="134" t="s">
        <v>457</v>
      </c>
      <c r="AK34" s="135">
        <v>1925</v>
      </c>
      <c r="AL34" s="134">
        <v>25</v>
      </c>
      <c r="AM34" s="134">
        <f t="shared" si="3"/>
        <v>1950</v>
      </c>
      <c r="AN34" s="135">
        <v>3700</v>
      </c>
      <c r="AO34" s="135">
        <v>306</v>
      </c>
      <c r="AP34" s="134">
        <v>0.46</v>
      </c>
      <c r="AQ34" s="134">
        <v>18</v>
      </c>
      <c r="AR34">
        <f t="shared" si="4"/>
        <v>9171</v>
      </c>
    </row>
    <row r="35" spans="1:44" ht="36">
      <c r="A35" s="134" t="s">
        <v>460</v>
      </c>
      <c r="B35" s="134" t="s">
        <v>457</v>
      </c>
      <c r="C35" s="135">
        <v>1925</v>
      </c>
      <c r="D35" s="134">
        <v>25</v>
      </c>
      <c r="E35" s="135">
        <v>3700</v>
      </c>
      <c r="F35" s="135">
        <v>306</v>
      </c>
      <c r="G35" s="134">
        <v>0.46</v>
      </c>
      <c r="H35" s="134">
        <v>18</v>
      </c>
      <c r="I35" s="135">
        <v>500</v>
      </c>
      <c r="J35">
        <f t="shared" si="0"/>
        <v>9026</v>
      </c>
      <c r="W35" s="134" t="s">
        <v>460</v>
      </c>
      <c r="X35" s="134" t="s">
        <v>457</v>
      </c>
      <c r="Y35" s="135">
        <v>1925</v>
      </c>
      <c r="Z35" s="134">
        <v>25</v>
      </c>
      <c r="AA35" s="134">
        <f t="shared" si="1"/>
        <v>1900</v>
      </c>
      <c r="AB35" s="135">
        <v>3700</v>
      </c>
      <c r="AC35" s="135">
        <v>306</v>
      </c>
      <c r="AD35" s="134">
        <v>0.46</v>
      </c>
      <c r="AE35" s="134">
        <v>18</v>
      </c>
      <c r="AF35">
        <f t="shared" si="2"/>
        <v>8921</v>
      </c>
      <c r="AI35" s="134" t="s">
        <v>461</v>
      </c>
      <c r="AJ35" s="134" t="s">
        <v>441</v>
      </c>
      <c r="AK35" s="135">
        <v>1930</v>
      </c>
      <c r="AL35" s="134">
        <v>20</v>
      </c>
      <c r="AM35" s="134">
        <f t="shared" si="3"/>
        <v>1950</v>
      </c>
      <c r="AN35" s="135">
        <v>4200</v>
      </c>
      <c r="AO35" s="135">
        <v>544</v>
      </c>
      <c r="AP35" s="134">
        <v>0.54</v>
      </c>
      <c r="AQ35" s="134">
        <v>24</v>
      </c>
      <c r="AR35">
        <f t="shared" si="4"/>
        <v>8865</v>
      </c>
    </row>
    <row r="36" spans="1:44" ht="36">
      <c r="A36" s="134" t="s">
        <v>461</v>
      </c>
      <c r="B36" s="134" t="s">
        <v>441</v>
      </c>
      <c r="C36" s="135">
        <v>1930</v>
      </c>
      <c r="D36" s="134">
        <v>20</v>
      </c>
      <c r="E36" s="135">
        <v>4200</v>
      </c>
      <c r="F36" s="135">
        <v>544</v>
      </c>
      <c r="G36" s="134">
        <v>0.54</v>
      </c>
      <c r="H36" s="134">
        <v>24</v>
      </c>
      <c r="I36" s="135">
        <v>0</v>
      </c>
      <c r="J36">
        <f t="shared" si="0"/>
        <v>8720</v>
      </c>
      <c r="W36" s="134" t="s">
        <v>461</v>
      </c>
      <c r="X36" s="134" t="s">
        <v>441</v>
      </c>
      <c r="Y36" s="135">
        <v>1930</v>
      </c>
      <c r="Z36" s="134">
        <v>20</v>
      </c>
      <c r="AA36" s="134">
        <f t="shared" si="1"/>
        <v>1910</v>
      </c>
      <c r="AB36" s="135">
        <v>4200</v>
      </c>
      <c r="AC36" s="135">
        <v>544</v>
      </c>
      <c r="AD36" s="134">
        <v>0.54</v>
      </c>
      <c r="AE36" s="134">
        <v>24</v>
      </c>
      <c r="AF36">
        <f t="shared" si="2"/>
        <v>8615</v>
      </c>
      <c r="AI36" s="134" t="s">
        <v>462</v>
      </c>
      <c r="AJ36" s="134" t="s">
        <v>463</v>
      </c>
      <c r="AK36" s="135">
        <v>1975</v>
      </c>
      <c r="AL36" s="134">
        <v>10</v>
      </c>
      <c r="AM36" s="134">
        <f t="shared" si="3"/>
        <v>1985</v>
      </c>
      <c r="AN36" s="135">
        <v>2740</v>
      </c>
      <c r="AO36" s="135">
        <v>600</v>
      </c>
      <c r="AP36" s="134">
        <v>0.73</v>
      </c>
      <c r="AQ36" s="134">
        <v>30</v>
      </c>
      <c r="AR36">
        <f t="shared" si="4"/>
        <v>8321</v>
      </c>
    </row>
    <row r="37" spans="1:44" ht="36">
      <c r="A37" s="134" t="s">
        <v>464</v>
      </c>
      <c r="B37" s="134" t="s">
        <v>465</v>
      </c>
      <c r="C37" s="135">
        <v>1975</v>
      </c>
      <c r="D37" s="134">
        <v>20</v>
      </c>
      <c r="E37" s="135">
        <v>1050</v>
      </c>
      <c r="F37" s="135">
        <v>628</v>
      </c>
      <c r="G37" s="134">
        <v>0.63</v>
      </c>
      <c r="H37" s="134">
        <v>95</v>
      </c>
      <c r="I37" s="135">
        <v>210</v>
      </c>
      <c r="J37">
        <f t="shared" si="0"/>
        <v>8176</v>
      </c>
      <c r="W37" s="134" t="s">
        <v>464</v>
      </c>
      <c r="X37" s="134" t="s">
        <v>465</v>
      </c>
      <c r="Y37" s="135">
        <v>1975</v>
      </c>
      <c r="Z37" s="134">
        <v>20</v>
      </c>
      <c r="AA37" s="134">
        <f t="shared" si="1"/>
        <v>1955</v>
      </c>
      <c r="AB37" s="135">
        <v>1050</v>
      </c>
      <c r="AC37" s="135">
        <v>628</v>
      </c>
      <c r="AD37" s="134">
        <v>0.63</v>
      </c>
      <c r="AE37" s="134">
        <v>95</v>
      </c>
      <c r="AF37">
        <f t="shared" si="2"/>
        <v>8071</v>
      </c>
      <c r="AI37" s="134" t="s">
        <v>464</v>
      </c>
      <c r="AJ37" s="134" t="s">
        <v>465</v>
      </c>
      <c r="AK37" s="135">
        <v>1975</v>
      </c>
      <c r="AL37" s="134">
        <v>20</v>
      </c>
      <c r="AM37" s="134">
        <f t="shared" si="3"/>
        <v>1995</v>
      </c>
      <c r="AN37" s="135">
        <v>1050</v>
      </c>
      <c r="AO37" s="135">
        <v>628</v>
      </c>
      <c r="AP37" s="134">
        <v>0.63</v>
      </c>
      <c r="AQ37" s="134">
        <v>95</v>
      </c>
      <c r="AR37">
        <f t="shared" si="4"/>
        <v>7721</v>
      </c>
    </row>
    <row r="38" spans="1:44" ht="36">
      <c r="A38" s="134" t="s">
        <v>462</v>
      </c>
      <c r="B38" s="134" t="s">
        <v>463</v>
      </c>
      <c r="C38" s="135">
        <v>1975</v>
      </c>
      <c r="D38" s="134">
        <v>10</v>
      </c>
      <c r="E38" s="135">
        <v>2740</v>
      </c>
      <c r="F38" s="135">
        <v>600</v>
      </c>
      <c r="G38" s="134">
        <v>0.73</v>
      </c>
      <c r="H38" s="134">
        <v>30</v>
      </c>
      <c r="I38" s="135">
        <v>50</v>
      </c>
      <c r="J38">
        <f t="shared" si="0"/>
        <v>7548</v>
      </c>
      <c r="W38" s="134" t="s">
        <v>466</v>
      </c>
      <c r="X38" s="134" t="s">
        <v>467</v>
      </c>
      <c r="Y38" s="135">
        <v>2000</v>
      </c>
      <c r="Z38" s="134">
        <v>40</v>
      </c>
      <c r="AA38" s="134">
        <f t="shared" si="1"/>
        <v>1960</v>
      </c>
      <c r="AB38" s="135">
        <v>2100</v>
      </c>
      <c r="AC38" s="135">
        <v>158</v>
      </c>
      <c r="AD38" s="134">
        <v>0.3</v>
      </c>
      <c r="AE38" s="134">
        <v>25</v>
      </c>
      <c r="AF38">
        <f t="shared" si="2"/>
        <v>7443</v>
      </c>
      <c r="AI38" s="134" t="s">
        <v>448</v>
      </c>
      <c r="AJ38" s="134" t="s">
        <v>449</v>
      </c>
      <c r="AK38" s="135">
        <v>1900</v>
      </c>
      <c r="AL38" s="134">
        <v>100</v>
      </c>
      <c r="AM38" s="134">
        <f t="shared" si="3"/>
        <v>2000</v>
      </c>
      <c r="AN38" s="135">
        <v>1250</v>
      </c>
      <c r="AO38" s="135">
        <v>250</v>
      </c>
      <c r="AP38" s="134">
        <v>0.4</v>
      </c>
      <c r="AQ38" s="134">
        <v>50</v>
      </c>
      <c r="AR38">
        <f t="shared" si="4"/>
        <v>7093</v>
      </c>
    </row>
    <row r="39" spans="1:44" ht="36">
      <c r="A39" s="134" t="s">
        <v>468</v>
      </c>
      <c r="B39" s="134" t="s">
        <v>465</v>
      </c>
      <c r="C39" s="135">
        <v>1995</v>
      </c>
      <c r="D39" s="134">
        <v>25</v>
      </c>
      <c r="E39" s="135">
        <v>5300</v>
      </c>
      <c r="F39" s="135">
        <v>1993</v>
      </c>
      <c r="G39" s="134">
        <v>0.8</v>
      </c>
      <c r="H39" s="134">
        <v>47</v>
      </c>
      <c r="I39" s="135">
        <v>0</v>
      </c>
      <c r="J39">
        <f t="shared" si="0"/>
        <v>6948</v>
      </c>
      <c r="W39" s="134" t="s">
        <v>462</v>
      </c>
      <c r="X39" s="134" t="s">
        <v>463</v>
      </c>
      <c r="Y39" s="135">
        <v>1975</v>
      </c>
      <c r="Z39" s="134">
        <v>10</v>
      </c>
      <c r="AA39" s="134">
        <f t="shared" si="1"/>
        <v>1965</v>
      </c>
      <c r="AB39" s="135">
        <v>2740</v>
      </c>
      <c r="AC39" s="135">
        <v>600</v>
      </c>
      <c r="AD39" s="134">
        <v>0.73</v>
      </c>
      <c r="AE39" s="134">
        <v>30</v>
      </c>
      <c r="AF39">
        <f t="shared" si="2"/>
        <v>7285</v>
      </c>
      <c r="AI39" s="134" t="s">
        <v>468</v>
      </c>
      <c r="AJ39" s="134" t="s">
        <v>465</v>
      </c>
      <c r="AK39" s="135">
        <v>1995</v>
      </c>
      <c r="AL39" s="134">
        <v>25</v>
      </c>
      <c r="AM39" s="134">
        <f t="shared" si="3"/>
        <v>2020</v>
      </c>
      <c r="AN39" s="135">
        <v>5300</v>
      </c>
      <c r="AO39" s="135">
        <v>1993</v>
      </c>
      <c r="AP39" s="134">
        <v>0.8</v>
      </c>
      <c r="AQ39" s="134">
        <v>47</v>
      </c>
      <c r="AR39">
        <f t="shared" si="4"/>
        <v>6843</v>
      </c>
    </row>
    <row r="40" spans="1:44" ht="36">
      <c r="A40" s="134" t="s">
        <v>469</v>
      </c>
      <c r="B40" s="134" t="s">
        <v>443</v>
      </c>
      <c r="C40" s="135">
        <v>2000</v>
      </c>
      <c r="D40" s="134">
        <v>30</v>
      </c>
      <c r="E40" s="135">
        <v>4300</v>
      </c>
      <c r="F40" s="135">
        <v>495</v>
      </c>
      <c r="G40" s="134">
        <v>0.5</v>
      </c>
      <c r="H40" s="134">
        <v>23</v>
      </c>
      <c r="I40" s="135">
        <v>374</v>
      </c>
      <c r="J40">
        <f t="shared" si="0"/>
        <v>4955</v>
      </c>
      <c r="W40" s="134" t="s">
        <v>468</v>
      </c>
      <c r="X40" s="134" t="s">
        <v>465</v>
      </c>
      <c r="Y40" s="135">
        <v>1995</v>
      </c>
      <c r="Z40" s="134">
        <v>25</v>
      </c>
      <c r="AA40" s="134">
        <f t="shared" si="1"/>
        <v>1970</v>
      </c>
      <c r="AB40" s="135">
        <v>5300</v>
      </c>
      <c r="AC40" s="135">
        <v>1993</v>
      </c>
      <c r="AD40" s="134">
        <v>0.8</v>
      </c>
      <c r="AE40" s="134">
        <v>47</v>
      </c>
      <c r="AF40">
        <f t="shared" si="2"/>
        <v>6685</v>
      </c>
      <c r="AI40" s="134" t="s">
        <v>469</v>
      </c>
      <c r="AJ40" s="134" t="s">
        <v>443</v>
      </c>
      <c r="AK40" s="135">
        <v>2000</v>
      </c>
      <c r="AL40" s="134">
        <v>30</v>
      </c>
      <c r="AM40" s="134">
        <f t="shared" si="3"/>
        <v>2030</v>
      </c>
      <c r="AN40" s="135">
        <v>4300</v>
      </c>
      <c r="AO40" s="135">
        <v>495</v>
      </c>
      <c r="AP40" s="134">
        <v>0.5</v>
      </c>
      <c r="AQ40" s="134">
        <v>23</v>
      </c>
      <c r="AR40">
        <f t="shared" si="4"/>
        <v>4850</v>
      </c>
    </row>
    <row r="41" spans="1:44" ht="36">
      <c r="A41" s="134" t="s">
        <v>466</v>
      </c>
      <c r="B41" s="134" t="s">
        <v>467</v>
      </c>
      <c r="C41" s="135">
        <v>2000</v>
      </c>
      <c r="D41" s="134">
        <v>40</v>
      </c>
      <c r="E41" s="135">
        <v>2100</v>
      </c>
      <c r="F41" s="135">
        <v>158</v>
      </c>
      <c r="G41" s="134">
        <v>0.3</v>
      </c>
      <c r="H41" s="134">
        <v>25</v>
      </c>
      <c r="I41" s="135">
        <v>54</v>
      </c>
      <c r="J41">
        <f t="shared" si="0"/>
        <v>4460</v>
      </c>
      <c r="W41" s="134" t="s">
        <v>469</v>
      </c>
      <c r="X41" s="134" t="s">
        <v>443</v>
      </c>
      <c r="Y41" s="135">
        <v>2000</v>
      </c>
      <c r="Z41" s="134">
        <v>30</v>
      </c>
      <c r="AA41" s="134">
        <f t="shared" si="1"/>
        <v>1970</v>
      </c>
      <c r="AB41" s="135">
        <v>4300</v>
      </c>
      <c r="AC41" s="135">
        <v>495</v>
      </c>
      <c r="AD41" s="134">
        <v>0.5</v>
      </c>
      <c r="AE41" s="134">
        <v>23</v>
      </c>
      <c r="AF41">
        <f t="shared" si="2"/>
        <v>4692</v>
      </c>
      <c r="AI41" s="134" t="s">
        <v>466</v>
      </c>
      <c r="AJ41" s="134" t="s">
        <v>467</v>
      </c>
      <c r="AK41" s="135">
        <v>2000</v>
      </c>
      <c r="AL41" s="134">
        <v>40</v>
      </c>
      <c r="AM41" s="134">
        <f t="shared" si="3"/>
        <v>2040</v>
      </c>
      <c r="AN41" s="135">
        <v>2100</v>
      </c>
      <c r="AO41" s="135">
        <v>158</v>
      </c>
      <c r="AP41" s="134">
        <v>0.3</v>
      </c>
      <c r="AQ41" s="134">
        <v>25</v>
      </c>
      <c r="AR41">
        <f t="shared" si="4"/>
        <v>4355</v>
      </c>
    </row>
    <row r="42" spans="1:44" ht="36">
      <c r="A42" s="134" t="s">
        <v>470</v>
      </c>
      <c r="B42" s="134" t="s">
        <v>449</v>
      </c>
      <c r="C42" s="135">
        <v>2100</v>
      </c>
      <c r="D42" s="134">
        <v>120</v>
      </c>
      <c r="E42" s="135">
        <v>3800</v>
      </c>
      <c r="F42" s="135">
        <v>665</v>
      </c>
      <c r="G42" s="134">
        <v>0.35</v>
      </c>
      <c r="H42" s="134">
        <v>50</v>
      </c>
      <c r="I42" s="135">
        <v>950</v>
      </c>
      <c r="J42">
        <f t="shared" si="0"/>
        <v>4302</v>
      </c>
      <c r="W42" s="134" t="s">
        <v>470</v>
      </c>
      <c r="X42" s="134" t="s">
        <v>449</v>
      </c>
      <c r="Y42" s="135">
        <v>2100</v>
      </c>
      <c r="Z42" s="134">
        <v>120</v>
      </c>
      <c r="AA42" s="134">
        <f t="shared" si="1"/>
        <v>1980</v>
      </c>
      <c r="AB42" s="135">
        <v>3800</v>
      </c>
      <c r="AC42" s="135">
        <v>665</v>
      </c>
      <c r="AD42" s="134">
        <v>0.35</v>
      </c>
      <c r="AE42" s="134">
        <v>50</v>
      </c>
      <c r="AF42">
        <f t="shared" si="2"/>
        <v>4197</v>
      </c>
      <c r="AI42" s="134" t="s">
        <v>471</v>
      </c>
      <c r="AJ42" s="134" t="s">
        <v>467</v>
      </c>
      <c r="AK42" s="135">
        <v>2100</v>
      </c>
      <c r="AL42" s="134">
        <v>60</v>
      </c>
      <c r="AM42" s="134">
        <f t="shared" si="3"/>
        <v>2160</v>
      </c>
      <c r="AN42" s="135">
        <v>1200</v>
      </c>
      <c r="AO42" s="135">
        <v>120</v>
      </c>
      <c r="AP42" s="134">
        <v>0.4</v>
      </c>
      <c r="AQ42" s="134">
        <v>25</v>
      </c>
      <c r="AR42">
        <f t="shared" si="4"/>
        <v>4197</v>
      </c>
    </row>
    <row r="43" spans="1:44" ht="36">
      <c r="A43" s="134" t="s">
        <v>472</v>
      </c>
      <c r="B43" s="134" t="s">
        <v>449</v>
      </c>
      <c r="C43" s="135">
        <v>2100</v>
      </c>
      <c r="D43" s="134">
        <v>120</v>
      </c>
      <c r="E43" s="135">
        <v>2200</v>
      </c>
      <c r="F43" s="135">
        <v>370</v>
      </c>
      <c r="G43" s="134">
        <v>0.6</v>
      </c>
      <c r="H43" s="134">
        <v>28</v>
      </c>
      <c r="I43" s="135">
        <v>396</v>
      </c>
      <c r="J43">
        <f t="shared" si="0"/>
        <v>3637</v>
      </c>
      <c r="W43" s="134" t="s">
        <v>472</v>
      </c>
      <c r="X43" s="134" t="s">
        <v>449</v>
      </c>
      <c r="Y43" s="135">
        <v>2100</v>
      </c>
      <c r="Z43" s="134">
        <v>120</v>
      </c>
      <c r="AA43" s="134">
        <f t="shared" si="1"/>
        <v>1980</v>
      </c>
      <c r="AB43" s="135">
        <v>2200</v>
      </c>
      <c r="AC43" s="135">
        <v>370</v>
      </c>
      <c r="AD43" s="134">
        <v>0.6</v>
      </c>
      <c r="AE43" s="134">
        <v>28</v>
      </c>
      <c r="AF43">
        <f t="shared" si="2"/>
        <v>3532</v>
      </c>
      <c r="AI43" s="134" t="s">
        <v>473</v>
      </c>
      <c r="AJ43" s="134" t="s">
        <v>474</v>
      </c>
      <c r="AK43" s="135">
        <v>2150</v>
      </c>
      <c r="AL43" s="135">
        <v>50</v>
      </c>
      <c r="AM43" s="134">
        <f t="shared" si="3"/>
        <v>2200</v>
      </c>
      <c r="AN43" s="135">
        <v>1200</v>
      </c>
      <c r="AO43" s="135">
        <v>255</v>
      </c>
      <c r="AP43" s="134">
        <v>0.25</v>
      </c>
      <c r="AQ43" s="134">
        <v>85</v>
      </c>
      <c r="AR43">
        <f t="shared" si="4"/>
        <v>4077</v>
      </c>
    </row>
    <row r="44" spans="1:44" ht="36">
      <c r="A44" s="134" t="s">
        <v>471</v>
      </c>
      <c r="B44" s="134" t="s">
        <v>467</v>
      </c>
      <c r="C44" s="135">
        <v>2100</v>
      </c>
      <c r="D44" s="134">
        <v>60</v>
      </c>
      <c r="E44" s="135">
        <v>1200</v>
      </c>
      <c r="F44" s="135">
        <v>120</v>
      </c>
      <c r="G44" s="134">
        <v>0.4</v>
      </c>
      <c r="H44" s="134">
        <v>25</v>
      </c>
      <c r="I44" s="135">
        <v>213</v>
      </c>
      <c r="J44">
        <f t="shared" si="0"/>
        <v>3267</v>
      </c>
      <c r="W44" s="134" t="s">
        <v>471</v>
      </c>
      <c r="X44" s="134" t="s">
        <v>467</v>
      </c>
      <c r="Y44" s="135">
        <v>2100</v>
      </c>
      <c r="Z44" s="134">
        <v>60</v>
      </c>
      <c r="AA44" s="134">
        <f t="shared" si="1"/>
        <v>2040</v>
      </c>
      <c r="AB44" s="135">
        <v>1200</v>
      </c>
      <c r="AC44" s="135">
        <v>120</v>
      </c>
      <c r="AD44" s="134">
        <v>0.4</v>
      </c>
      <c r="AE44" s="134">
        <v>25</v>
      </c>
      <c r="AF44">
        <f t="shared" si="2"/>
        <v>3162</v>
      </c>
      <c r="AI44" s="134" t="s">
        <v>470</v>
      </c>
      <c r="AJ44" s="134" t="s">
        <v>449</v>
      </c>
      <c r="AK44" s="135">
        <v>2100</v>
      </c>
      <c r="AL44" s="134">
        <v>120</v>
      </c>
      <c r="AM44" s="134">
        <f t="shared" si="3"/>
        <v>2220</v>
      </c>
      <c r="AN44" s="135">
        <v>3800</v>
      </c>
      <c r="AO44" s="135">
        <v>665</v>
      </c>
      <c r="AP44" s="134">
        <v>0.35</v>
      </c>
      <c r="AQ44" s="134">
        <v>50</v>
      </c>
      <c r="AR44">
        <f t="shared" si="4"/>
        <v>3822</v>
      </c>
    </row>
    <row r="45" spans="1:44" ht="36">
      <c r="A45" s="134" t="s">
        <v>473</v>
      </c>
      <c r="B45" s="134" t="s">
        <v>474</v>
      </c>
      <c r="C45" s="135">
        <v>2150</v>
      </c>
      <c r="D45" s="135">
        <v>50</v>
      </c>
      <c r="E45" s="135">
        <v>1200</v>
      </c>
      <c r="F45" s="135">
        <v>255</v>
      </c>
      <c r="G45" s="134">
        <v>0.25</v>
      </c>
      <c r="H45" s="134">
        <v>85</v>
      </c>
      <c r="I45" s="135">
        <v>0</v>
      </c>
      <c r="J45">
        <f t="shared" si="0"/>
        <v>3147</v>
      </c>
      <c r="W45" s="134" t="s">
        <v>473</v>
      </c>
      <c r="X45" s="134" t="s">
        <v>474</v>
      </c>
      <c r="Y45" s="135">
        <v>2150</v>
      </c>
      <c r="Z45" s="135">
        <v>50</v>
      </c>
      <c r="AA45" s="134">
        <f t="shared" si="1"/>
        <v>2100</v>
      </c>
      <c r="AB45" s="135">
        <v>1200</v>
      </c>
      <c r="AC45" s="135">
        <v>255</v>
      </c>
      <c r="AD45" s="134">
        <v>0.25</v>
      </c>
      <c r="AE45" s="134">
        <v>85</v>
      </c>
      <c r="AF45">
        <f t="shared" si="2"/>
        <v>3042</v>
      </c>
      <c r="AI45" s="134" t="s">
        <v>472</v>
      </c>
      <c r="AJ45" s="134" t="s">
        <v>449</v>
      </c>
      <c r="AK45" s="135">
        <v>2100</v>
      </c>
      <c r="AL45" s="134">
        <v>120</v>
      </c>
      <c r="AM45" s="134">
        <f t="shared" si="3"/>
        <v>2220</v>
      </c>
      <c r="AN45" s="135">
        <v>2200</v>
      </c>
      <c r="AO45" s="135">
        <v>370</v>
      </c>
      <c r="AP45" s="134">
        <v>0.6</v>
      </c>
      <c r="AQ45" s="134">
        <v>28</v>
      </c>
      <c r="AR45">
        <f t="shared" si="4"/>
        <v>3157</v>
      </c>
    </row>
    <row r="46" spans="1:44" ht="36">
      <c r="A46" s="134" t="s">
        <v>475</v>
      </c>
      <c r="B46" s="134" t="s">
        <v>476</v>
      </c>
      <c r="C46" s="135">
        <v>2350</v>
      </c>
      <c r="D46" s="135">
        <v>50</v>
      </c>
      <c r="E46" s="135">
        <v>5000</v>
      </c>
      <c r="F46" s="135">
        <v>350</v>
      </c>
      <c r="G46" s="134">
        <v>0.1</v>
      </c>
      <c r="H46" s="134">
        <v>70</v>
      </c>
      <c r="I46" s="135">
        <v>0</v>
      </c>
      <c r="J46">
        <f t="shared" si="0"/>
        <v>2892</v>
      </c>
      <c r="W46" s="134" t="s">
        <v>477</v>
      </c>
      <c r="X46" s="134" t="s">
        <v>478</v>
      </c>
      <c r="Y46" s="135">
        <v>2350</v>
      </c>
      <c r="Z46" s="134">
        <v>100</v>
      </c>
      <c r="AA46" s="134">
        <f t="shared" si="1"/>
        <v>2250</v>
      </c>
      <c r="AB46" s="135">
        <v>11000</v>
      </c>
      <c r="AC46" s="135">
        <v>330</v>
      </c>
      <c r="AD46" s="134">
        <v>0.2</v>
      </c>
      <c r="AE46" s="134">
        <v>15</v>
      </c>
      <c r="AF46">
        <f t="shared" si="2"/>
        <v>2787</v>
      </c>
      <c r="AI46" s="134" t="s">
        <v>475</v>
      </c>
      <c r="AJ46" s="134" t="s">
        <v>476</v>
      </c>
      <c r="AK46" s="135">
        <v>2350</v>
      </c>
      <c r="AL46" s="135">
        <v>50</v>
      </c>
      <c r="AM46" s="134">
        <f t="shared" si="3"/>
        <v>2400</v>
      </c>
      <c r="AN46" s="135">
        <v>5000</v>
      </c>
      <c r="AO46" s="135">
        <v>350</v>
      </c>
      <c r="AP46" s="134">
        <v>0.1</v>
      </c>
      <c r="AQ46" s="134">
        <v>70</v>
      </c>
      <c r="AR46">
        <f t="shared" si="4"/>
        <v>2787</v>
      </c>
    </row>
    <row r="47" spans="1:44" ht="48">
      <c r="A47" s="134" t="s">
        <v>477</v>
      </c>
      <c r="B47" s="134" t="s">
        <v>478</v>
      </c>
      <c r="C47" s="135">
        <v>2350</v>
      </c>
      <c r="D47" s="134">
        <v>100</v>
      </c>
      <c r="E47" s="135">
        <v>11000</v>
      </c>
      <c r="F47" s="135">
        <v>330</v>
      </c>
      <c r="G47" s="134">
        <v>0.2</v>
      </c>
      <c r="H47" s="134">
        <v>15</v>
      </c>
      <c r="I47" s="135">
        <v>385</v>
      </c>
      <c r="J47">
        <f t="shared" si="0"/>
        <v>2542</v>
      </c>
      <c r="W47" s="136" t="s">
        <v>479</v>
      </c>
      <c r="X47" s="134" t="s">
        <v>480</v>
      </c>
      <c r="Y47" s="135">
        <v>2350</v>
      </c>
      <c r="Z47" s="134">
        <v>100</v>
      </c>
      <c r="AA47" s="134">
        <f t="shared" si="1"/>
        <v>2250</v>
      </c>
      <c r="AB47" s="135">
        <v>10000</v>
      </c>
      <c r="AC47" s="135">
        <v>575</v>
      </c>
      <c r="AD47" s="134">
        <v>0.25</v>
      </c>
      <c r="AE47" s="134">
        <v>23</v>
      </c>
      <c r="AF47">
        <f t="shared" si="2"/>
        <v>2457</v>
      </c>
      <c r="AI47" s="134" t="s">
        <v>477</v>
      </c>
      <c r="AJ47" s="134" t="s">
        <v>478</v>
      </c>
      <c r="AK47" s="135">
        <v>2350</v>
      </c>
      <c r="AL47" s="134">
        <v>100</v>
      </c>
      <c r="AM47" s="134">
        <f t="shared" si="3"/>
        <v>2450</v>
      </c>
      <c r="AN47" s="135">
        <v>11000</v>
      </c>
      <c r="AO47" s="135">
        <v>330</v>
      </c>
      <c r="AP47" s="134">
        <v>0.2</v>
      </c>
      <c r="AQ47" s="134">
        <v>15</v>
      </c>
      <c r="AR47">
        <f t="shared" si="4"/>
        <v>2437</v>
      </c>
    </row>
    <row r="48" spans="1:44" ht="48">
      <c r="A48" s="136" t="s">
        <v>479</v>
      </c>
      <c r="B48" s="134" t="s">
        <v>480</v>
      </c>
      <c r="C48" s="135">
        <v>2350</v>
      </c>
      <c r="D48" s="134">
        <v>100</v>
      </c>
      <c r="E48" s="135">
        <v>10000</v>
      </c>
      <c r="F48" s="135">
        <v>575</v>
      </c>
      <c r="G48" s="134">
        <v>0.25</v>
      </c>
      <c r="H48" s="134">
        <v>23</v>
      </c>
      <c r="I48" s="135">
        <v>1190</v>
      </c>
      <c r="J48">
        <f t="shared" si="0"/>
        <v>2212</v>
      </c>
      <c r="W48" s="134" t="s">
        <v>475</v>
      </c>
      <c r="X48" s="134" t="s">
        <v>476</v>
      </c>
      <c r="Y48" s="135">
        <v>2350</v>
      </c>
      <c r="Z48" s="135">
        <v>50</v>
      </c>
      <c r="AA48" s="134">
        <f t="shared" si="1"/>
        <v>2300</v>
      </c>
      <c r="AB48" s="135">
        <v>5000</v>
      </c>
      <c r="AC48" s="135">
        <v>350</v>
      </c>
      <c r="AD48" s="134">
        <v>0.1</v>
      </c>
      <c r="AE48" s="134">
        <v>70</v>
      </c>
      <c r="AF48">
        <f t="shared" si="2"/>
        <v>1882</v>
      </c>
      <c r="AI48" s="136" t="s">
        <v>479</v>
      </c>
      <c r="AJ48" s="134" t="s">
        <v>480</v>
      </c>
      <c r="AK48" s="135">
        <v>2350</v>
      </c>
      <c r="AL48" s="134">
        <v>100</v>
      </c>
      <c r="AM48" s="134">
        <f t="shared" si="3"/>
        <v>2450</v>
      </c>
      <c r="AN48" s="135">
        <v>10000</v>
      </c>
      <c r="AO48" s="135">
        <v>575</v>
      </c>
      <c r="AP48" s="134">
        <v>0.25</v>
      </c>
      <c r="AQ48" s="134">
        <v>23</v>
      </c>
      <c r="AR48">
        <f t="shared" si="4"/>
        <v>2107</v>
      </c>
    </row>
    <row r="49" spans="1:44" ht="48">
      <c r="A49" s="134" t="s">
        <v>481</v>
      </c>
      <c r="B49" s="134" t="s">
        <v>482</v>
      </c>
      <c r="C49" s="135">
        <v>2460</v>
      </c>
      <c r="D49" s="135">
        <v>10</v>
      </c>
      <c r="E49" s="135">
        <v>3000</v>
      </c>
      <c r="F49" s="135">
        <v>435</v>
      </c>
      <c r="G49" s="134">
        <v>0.5</v>
      </c>
      <c r="H49" s="134">
        <v>29</v>
      </c>
      <c r="I49" s="135">
        <v>750</v>
      </c>
      <c r="J49">
        <f t="shared" si="0"/>
        <v>1637</v>
      </c>
      <c r="W49" s="134" t="s">
        <v>481</v>
      </c>
      <c r="X49" s="134" t="s">
        <v>482</v>
      </c>
      <c r="Y49" s="135">
        <v>2460</v>
      </c>
      <c r="Z49" s="135">
        <v>10</v>
      </c>
      <c r="AA49" s="134">
        <f t="shared" si="1"/>
        <v>2450</v>
      </c>
      <c r="AB49" s="135">
        <v>3000</v>
      </c>
      <c r="AC49" s="135">
        <v>435</v>
      </c>
      <c r="AD49" s="134">
        <v>0.5</v>
      </c>
      <c r="AE49" s="134">
        <v>29</v>
      </c>
      <c r="AF49">
        <f t="shared" si="2"/>
        <v>1532</v>
      </c>
      <c r="AI49" s="134" t="s">
        <v>481</v>
      </c>
      <c r="AJ49" s="134" t="s">
        <v>482</v>
      </c>
      <c r="AK49" s="135">
        <v>2460</v>
      </c>
      <c r="AL49" s="135">
        <v>10</v>
      </c>
      <c r="AM49" s="134">
        <f t="shared" si="3"/>
        <v>2470</v>
      </c>
      <c r="AN49" s="135">
        <v>3000</v>
      </c>
      <c r="AO49" s="135">
        <v>435</v>
      </c>
      <c r="AP49" s="134">
        <v>0.5</v>
      </c>
      <c r="AQ49" s="134">
        <v>29</v>
      </c>
      <c r="AR49">
        <f t="shared" si="4"/>
        <v>1532</v>
      </c>
    </row>
    <row r="50" spans="1:44" ht="48">
      <c r="A50" s="134" t="s">
        <v>483</v>
      </c>
      <c r="B50" s="134" t="s">
        <v>484</v>
      </c>
      <c r="C50" s="135">
        <v>2530</v>
      </c>
      <c r="D50" s="134">
        <v>20</v>
      </c>
      <c r="E50" s="135">
        <v>3000</v>
      </c>
      <c r="F50" s="135">
        <v>449</v>
      </c>
      <c r="G50" s="134">
        <v>0.65</v>
      </c>
      <c r="H50" s="136">
        <v>23</v>
      </c>
      <c r="I50" s="135">
        <v>1950</v>
      </c>
      <c r="J50">
        <f t="shared" si="0"/>
        <v>1202</v>
      </c>
      <c r="W50" s="134" t="s">
        <v>483</v>
      </c>
      <c r="X50" s="134" t="s">
        <v>484</v>
      </c>
      <c r="Y50" s="135">
        <v>2530</v>
      </c>
      <c r="Z50" s="134">
        <v>20</v>
      </c>
      <c r="AA50" s="134">
        <f t="shared" si="1"/>
        <v>2510</v>
      </c>
      <c r="AB50" s="135">
        <v>3000</v>
      </c>
      <c r="AC50" s="135">
        <v>449</v>
      </c>
      <c r="AD50" s="134">
        <v>0.65</v>
      </c>
      <c r="AE50" s="136">
        <v>23</v>
      </c>
      <c r="AF50">
        <f t="shared" si="2"/>
        <v>1097</v>
      </c>
      <c r="AI50" s="134" t="s">
        <v>483</v>
      </c>
      <c r="AJ50" s="134" t="s">
        <v>484</v>
      </c>
      <c r="AK50" s="135">
        <v>2530</v>
      </c>
      <c r="AL50" s="134">
        <v>20</v>
      </c>
      <c r="AM50" s="134">
        <f t="shared" si="3"/>
        <v>2550</v>
      </c>
      <c r="AN50" s="135">
        <v>3000</v>
      </c>
      <c r="AO50" s="135">
        <v>449</v>
      </c>
      <c r="AP50" s="134">
        <v>0.65</v>
      </c>
      <c r="AQ50" s="136">
        <v>23</v>
      </c>
      <c r="AR50">
        <f t="shared" si="4"/>
        <v>1097</v>
      </c>
    </row>
    <row r="51" spans="1:44" ht="48">
      <c r="A51" s="134" t="s">
        <v>485</v>
      </c>
      <c r="B51" s="134" t="s">
        <v>484</v>
      </c>
      <c r="C51" s="135">
        <v>2630</v>
      </c>
      <c r="D51" s="134">
        <v>20</v>
      </c>
      <c r="E51" s="135">
        <v>1600</v>
      </c>
      <c r="F51" s="135">
        <v>648</v>
      </c>
      <c r="G51" s="134">
        <v>0.9</v>
      </c>
      <c r="H51" s="136">
        <v>45</v>
      </c>
      <c r="I51" s="135">
        <v>640</v>
      </c>
      <c r="J51">
        <f>F51+J52</f>
        <v>753</v>
      </c>
      <c r="W51" s="134" t="s">
        <v>485</v>
      </c>
      <c r="X51" s="134" t="s">
        <v>484</v>
      </c>
      <c r="Y51" s="135">
        <v>2630</v>
      </c>
      <c r="Z51" s="134">
        <v>20</v>
      </c>
      <c r="AA51" s="134">
        <f t="shared" si="1"/>
        <v>2610</v>
      </c>
      <c r="AB51" s="135">
        <v>1600</v>
      </c>
      <c r="AC51" s="135">
        <v>648</v>
      </c>
      <c r="AD51" s="134">
        <v>0.9</v>
      </c>
      <c r="AE51" s="136">
        <v>45</v>
      </c>
      <c r="AF51">
        <f>AC51</f>
        <v>648</v>
      </c>
      <c r="AI51" s="134" t="s">
        <v>485</v>
      </c>
      <c r="AJ51" s="134" t="s">
        <v>484</v>
      </c>
      <c r="AK51" s="135">
        <v>2630</v>
      </c>
      <c r="AL51" s="134">
        <v>20</v>
      </c>
      <c r="AM51" s="134">
        <f t="shared" si="3"/>
        <v>2650</v>
      </c>
      <c r="AN51" s="135">
        <v>1600</v>
      </c>
      <c r="AO51" s="135">
        <v>648</v>
      </c>
      <c r="AP51" s="134">
        <v>0.9</v>
      </c>
      <c r="AQ51" s="136">
        <v>45</v>
      </c>
      <c r="AR51">
        <f>AO51</f>
        <v>648</v>
      </c>
    </row>
    <row r="52" spans="1:44" ht="36">
      <c r="A52" s="134" t="s">
        <v>486</v>
      </c>
      <c r="B52" s="134" t="s">
        <v>487</v>
      </c>
      <c r="C52" s="135">
        <v>2700</v>
      </c>
      <c r="D52" s="138"/>
      <c r="E52" s="135">
        <v>1000</v>
      </c>
      <c r="F52" s="135">
        <v>105</v>
      </c>
      <c r="G52" s="134">
        <v>0.7</v>
      </c>
      <c r="H52" s="134">
        <v>15</v>
      </c>
      <c r="I52" s="135">
        <v>10</v>
      </c>
      <c r="J52">
        <f>F52</f>
        <v>105</v>
      </c>
      <c r="W52" s="134" t="s">
        <v>486</v>
      </c>
      <c r="X52" s="134" t="s">
        <v>487</v>
      </c>
      <c r="Y52" s="135">
        <v>2700</v>
      </c>
      <c r="Z52" s="138"/>
      <c r="AA52" s="138"/>
      <c r="AB52" s="135">
        <v>1000</v>
      </c>
      <c r="AC52" s="135">
        <v>105</v>
      </c>
      <c r="AD52" s="134">
        <v>0.7</v>
      </c>
      <c r="AE52" s="134">
        <v>15</v>
      </c>
      <c r="AF52">
        <f>AC52</f>
        <v>105</v>
      </c>
      <c r="AI52" s="134" t="s">
        <v>486</v>
      </c>
      <c r="AJ52" s="134" t="s">
        <v>487</v>
      </c>
      <c r="AK52" s="135">
        <v>2700</v>
      </c>
      <c r="AL52" s="138"/>
      <c r="AM52" s="138"/>
      <c r="AN52" s="135">
        <v>1000</v>
      </c>
      <c r="AO52" s="135">
        <v>105</v>
      </c>
      <c r="AP52" s="134">
        <v>0.7</v>
      </c>
      <c r="AQ52" s="134">
        <v>15</v>
      </c>
    </row>
    <row r="53" spans="1:44" ht="36">
      <c r="A53" s="134" t="s">
        <v>488</v>
      </c>
      <c r="B53" s="134" t="s">
        <v>410</v>
      </c>
      <c r="C53" s="134" t="s">
        <v>489</v>
      </c>
      <c r="D53" s="139"/>
      <c r="E53" s="135">
        <v>4500</v>
      </c>
      <c r="F53" s="135">
        <v>720</v>
      </c>
      <c r="G53" s="134">
        <v>0.4</v>
      </c>
      <c r="H53" s="134">
        <v>40</v>
      </c>
      <c r="I53" s="135">
        <v>0</v>
      </c>
    </row>
    <row r="54" spans="1:44">
      <c r="A54" s="134"/>
      <c r="B54" s="140"/>
      <c r="C54" s="140"/>
      <c r="D54" s="140"/>
      <c r="E54" s="140"/>
      <c r="F54" s="140"/>
      <c r="G54" s="140"/>
      <c r="H54" s="140"/>
      <c r="I54" s="140"/>
    </row>
    <row r="55" spans="1:44">
      <c r="A55" s="14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Fig 3a-Revised Post-GOE IF</vt:lpstr>
      <vt:lpstr>Fig 3b-LIPs July 22</vt:lpstr>
      <vt:lpstr>Fig 3c. Condie- crust June 22</vt:lpstr>
      <vt:lpstr>Raw LIP Ernst 2021 compilation</vt:lpstr>
      <vt:lpstr>IF wo dep. rate</vt:lpstr>
      <vt:lpstr> accretionary lengths</vt:lpstr>
      <vt:lpstr>collisional lengths</vt:lpstr>
      <vt:lpstr> Blk Shales w.o dep 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Eyster, Athena</cp:lastModifiedBy>
  <dcterms:created xsi:type="dcterms:W3CDTF">2021-10-05T17:59:23Z</dcterms:created>
  <dcterms:modified xsi:type="dcterms:W3CDTF">2024-01-11T18:21:48Z</dcterms:modified>
</cp:coreProperties>
</file>