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\Desktop\SORBOLA BUONA\Pronte\"/>
    </mc:Choice>
  </mc:AlternateContent>
  <xr:revisionPtr revIDLastSave="0" documentId="13_ncr:1_{133E9E00-AC51-4155-B837-592C262BE007}" xr6:coauthVersionLast="47" xr6:coauthVersionMax="47" xr10:uidLastSave="{00000000-0000-0000-0000-000000000000}"/>
  <bookViews>
    <workbookView xWindow="-108" yWindow="-108" windowWidth="23256" windowHeight="12456" xr2:uid="{73755EA2-3222-4BA8-A854-71170D1B975D}"/>
  </bookViews>
  <sheets>
    <sheet name="SupplementaryFile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0" i="1" l="1"/>
  <c r="H80" i="1" s="1"/>
  <c r="I80" i="1" s="1"/>
  <c r="J80" i="1" s="1"/>
  <c r="G76" i="1"/>
  <c r="H76" i="1" s="1"/>
  <c r="I76" i="1" s="1"/>
  <c r="J76" i="1" s="1"/>
  <c r="G74" i="1"/>
  <c r="H74" i="1" s="1"/>
  <c r="I74" i="1" s="1"/>
  <c r="J74" i="1" s="1"/>
  <c r="G71" i="1"/>
  <c r="H71" i="1" s="1"/>
  <c r="I71" i="1" s="1"/>
  <c r="J71" i="1" s="1"/>
  <c r="H70" i="1"/>
  <c r="I70" i="1" s="1"/>
  <c r="J70" i="1" s="1"/>
  <c r="G70" i="1"/>
  <c r="G69" i="1"/>
  <c r="H69" i="1" s="1"/>
  <c r="I69" i="1" s="1"/>
  <c r="J69" i="1" s="1"/>
  <c r="G68" i="1"/>
  <c r="H68" i="1" s="1"/>
  <c r="I68" i="1" s="1"/>
  <c r="J68" i="1" s="1"/>
  <c r="G67" i="1"/>
  <c r="H67" i="1" s="1"/>
  <c r="I67" i="1" s="1"/>
  <c r="J67" i="1" s="1"/>
  <c r="G66" i="1"/>
  <c r="H66" i="1" s="1"/>
  <c r="I66" i="1" s="1"/>
  <c r="J66" i="1" s="1"/>
  <c r="H65" i="1"/>
  <c r="I65" i="1" s="1"/>
  <c r="J65" i="1" s="1"/>
  <c r="G65" i="1"/>
  <c r="G64" i="1"/>
  <c r="H64" i="1" s="1"/>
  <c r="I64" i="1" s="1"/>
  <c r="J64" i="1" s="1"/>
  <c r="G63" i="1"/>
  <c r="H63" i="1" s="1"/>
  <c r="I63" i="1" s="1"/>
  <c r="J63" i="1" s="1"/>
  <c r="G61" i="1"/>
  <c r="H61" i="1" s="1"/>
  <c r="I61" i="1" s="1"/>
  <c r="J61" i="1" s="1"/>
  <c r="G60" i="1"/>
  <c r="H60" i="1" s="1"/>
  <c r="I60" i="1" s="1"/>
  <c r="J60" i="1" s="1"/>
  <c r="G59" i="1"/>
  <c r="H59" i="1" s="1"/>
  <c r="I59" i="1" s="1"/>
  <c r="J59" i="1" s="1"/>
  <c r="H58" i="1"/>
  <c r="I58" i="1" s="1"/>
  <c r="J58" i="1" s="1"/>
  <c r="G58" i="1"/>
  <c r="G57" i="1"/>
  <c r="H57" i="1" s="1"/>
  <c r="I57" i="1" s="1"/>
  <c r="J57" i="1" s="1"/>
  <c r="G56" i="1"/>
  <c r="H56" i="1" s="1"/>
  <c r="I56" i="1" s="1"/>
  <c r="J56" i="1" s="1"/>
  <c r="G55" i="1"/>
  <c r="G75" i="1" s="1"/>
  <c r="H75" i="1" s="1"/>
  <c r="I75" i="1" s="1"/>
  <c r="J75" i="1" s="1"/>
  <c r="G54" i="1"/>
  <c r="H54" i="1" s="1"/>
  <c r="I54" i="1" s="1"/>
  <c r="J54" i="1" s="1"/>
  <c r="G53" i="1"/>
  <c r="H53" i="1" s="1"/>
  <c r="I53" i="1" s="1"/>
  <c r="J53" i="1" s="1"/>
  <c r="E51" i="1"/>
  <c r="F51" i="1" s="1"/>
  <c r="G51" i="1" s="1"/>
  <c r="H51" i="1" s="1"/>
  <c r="E50" i="1"/>
  <c r="F50" i="1" s="1"/>
  <c r="G50" i="1" s="1"/>
  <c r="H50" i="1" s="1"/>
  <c r="K49" i="1"/>
  <c r="L49" i="1" s="1"/>
  <c r="J49" i="1"/>
  <c r="E49" i="1"/>
  <c r="F49" i="1" s="1"/>
  <c r="G49" i="1" s="1"/>
  <c r="H49" i="1" s="1"/>
  <c r="E48" i="1"/>
  <c r="F48" i="1" s="1"/>
  <c r="G48" i="1" s="1"/>
  <c r="H48" i="1" s="1"/>
  <c r="E47" i="1"/>
  <c r="F47" i="1" s="1"/>
  <c r="G47" i="1" s="1"/>
  <c r="H47" i="1" s="1"/>
  <c r="K46" i="1"/>
  <c r="L46" i="1" s="1"/>
  <c r="J46" i="1"/>
  <c r="E46" i="1"/>
  <c r="F46" i="1" s="1"/>
  <c r="G46" i="1" s="1"/>
  <c r="H46" i="1" s="1"/>
  <c r="E45" i="1"/>
  <c r="F45" i="1" s="1"/>
  <c r="G45" i="1" s="1"/>
  <c r="H45" i="1" s="1"/>
  <c r="E44" i="1"/>
  <c r="F44" i="1" s="1"/>
  <c r="G44" i="1" s="1"/>
  <c r="H44" i="1" s="1"/>
  <c r="K43" i="1"/>
  <c r="L43" i="1" s="1"/>
  <c r="J43" i="1"/>
  <c r="E43" i="1"/>
  <c r="F43" i="1" s="1"/>
  <c r="G43" i="1" s="1"/>
  <c r="H43" i="1" s="1"/>
  <c r="E41" i="1"/>
  <c r="F41" i="1" s="1"/>
  <c r="G41" i="1" s="1"/>
  <c r="H41" i="1" s="1"/>
  <c r="I41" i="1" s="1"/>
  <c r="J41" i="1" s="1"/>
  <c r="E40" i="1"/>
  <c r="F40" i="1" s="1"/>
  <c r="G40" i="1" s="1"/>
  <c r="H40" i="1" s="1"/>
  <c r="I40" i="1" s="1"/>
  <c r="J40" i="1" s="1"/>
  <c r="E39" i="1"/>
  <c r="F39" i="1" s="1"/>
  <c r="G39" i="1" s="1"/>
  <c r="H39" i="1" s="1"/>
  <c r="I39" i="1" s="1"/>
  <c r="E38" i="1"/>
  <c r="F38" i="1" s="1"/>
  <c r="G38" i="1" s="1"/>
  <c r="H38" i="1" s="1"/>
  <c r="I38" i="1" s="1"/>
  <c r="J38" i="1" s="1"/>
  <c r="F37" i="1"/>
  <c r="G37" i="1" s="1"/>
  <c r="H37" i="1" s="1"/>
  <c r="I37" i="1" s="1"/>
  <c r="J37" i="1" s="1"/>
  <c r="E37" i="1"/>
  <c r="E36" i="1"/>
  <c r="F36" i="1" s="1"/>
  <c r="G36" i="1" s="1"/>
  <c r="H36" i="1" s="1"/>
  <c r="I36" i="1" s="1"/>
  <c r="E35" i="1"/>
  <c r="F35" i="1" s="1"/>
  <c r="G35" i="1" s="1"/>
  <c r="H35" i="1" s="1"/>
  <c r="I35" i="1" s="1"/>
  <c r="J35" i="1" s="1"/>
  <c r="E34" i="1"/>
  <c r="F34" i="1" s="1"/>
  <c r="G34" i="1" s="1"/>
  <c r="H34" i="1" s="1"/>
  <c r="I34" i="1" s="1"/>
  <c r="J34" i="1" s="1"/>
  <c r="E33" i="1"/>
  <c r="F33" i="1" s="1"/>
  <c r="G33" i="1" s="1"/>
  <c r="H33" i="1" s="1"/>
  <c r="I33" i="1" s="1"/>
  <c r="E31" i="1"/>
  <c r="F31" i="1" s="1"/>
  <c r="G31" i="1" s="1"/>
  <c r="H31" i="1" s="1"/>
  <c r="I31" i="1" s="1"/>
  <c r="J31" i="1" s="1"/>
  <c r="K31" i="1" s="1"/>
  <c r="L31" i="1" s="1"/>
  <c r="M31" i="1" s="1"/>
  <c r="F30" i="1"/>
  <c r="G30" i="1" s="1"/>
  <c r="H30" i="1" s="1"/>
  <c r="I30" i="1" s="1"/>
  <c r="J30" i="1" s="1"/>
  <c r="K30" i="1" s="1"/>
  <c r="L30" i="1" s="1"/>
  <c r="M30" i="1" s="1"/>
  <c r="E30" i="1"/>
  <c r="E29" i="1"/>
  <c r="F29" i="1" s="1"/>
  <c r="G29" i="1" s="1"/>
  <c r="H29" i="1" s="1"/>
  <c r="I29" i="1" s="1"/>
  <c r="J29" i="1" s="1"/>
  <c r="K29" i="1" s="1"/>
  <c r="L29" i="1" s="1"/>
  <c r="M29" i="1" s="1"/>
  <c r="E28" i="1"/>
  <c r="F28" i="1" s="1"/>
  <c r="G28" i="1" s="1"/>
  <c r="H28" i="1" s="1"/>
  <c r="I28" i="1" s="1"/>
  <c r="J28" i="1" s="1"/>
  <c r="K28" i="1" s="1"/>
  <c r="L28" i="1" s="1"/>
  <c r="M28" i="1" s="1"/>
  <c r="E27" i="1"/>
  <c r="F27" i="1" s="1"/>
  <c r="G27" i="1" s="1"/>
  <c r="H27" i="1" s="1"/>
  <c r="I27" i="1" s="1"/>
  <c r="J27" i="1" s="1"/>
  <c r="K27" i="1" s="1"/>
  <c r="L27" i="1" s="1"/>
  <c r="M27" i="1" s="1"/>
  <c r="E26" i="1"/>
  <c r="F26" i="1" s="1"/>
  <c r="G26" i="1" s="1"/>
  <c r="H26" i="1" s="1"/>
  <c r="I26" i="1" s="1"/>
  <c r="J26" i="1" s="1"/>
  <c r="K26" i="1" s="1"/>
  <c r="L26" i="1" s="1"/>
  <c r="M26" i="1" s="1"/>
  <c r="E25" i="1"/>
  <c r="F25" i="1" s="1"/>
  <c r="G25" i="1" s="1"/>
  <c r="H25" i="1" s="1"/>
  <c r="I25" i="1" s="1"/>
  <c r="J25" i="1" s="1"/>
  <c r="K25" i="1" s="1"/>
  <c r="L25" i="1" s="1"/>
  <c r="M25" i="1" s="1"/>
  <c r="E24" i="1"/>
  <c r="F24" i="1" s="1"/>
  <c r="G24" i="1" s="1"/>
  <c r="H24" i="1" s="1"/>
  <c r="I24" i="1" s="1"/>
  <c r="J24" i="1" s="1"/>
  <c r="K24" i="1" s="1"/>
  <c r="L24" i="1" s="1"/>
  <c r="M24" i="1" s="1"/>
  <c r="E23" i="1"/>
  <c r="F23" i="1" s="1"/>
  <c r="G23" i="1" s="1"/>
  <c r="H23" i="1" s="1"/>
  <c r="I23" i="1" s="1"/>
  <c r="J23" i="1" s="1"/>
  <c r="K23" i="1" s="1"/>
  <c r="L23" i="1" s="1"/>
  <c r="M23" i="1" s="1"/>
  <c r="E21" i="1"/>
  <c r="F21" i="1" s="1"/>
  <c r="G21" i="1" s="1"/>
  <c r="H21" i="1" s="1"/>
  <c r="I21" i="1" s="1"/>
  <c r="J21" i="1" s="1"/>
  <c r="E20" i="1"/>
  <c r="F20" i="1" s="1"/>
  <c r="G20" i="1" s="1"/>
  <c r="H20" i="1" s="1"/>
  <c r="I20" i="1" s="1"/>
  <c r="J20" i="1" s="1"/>
  <c r="E19" i="1"/>
  <c r="F19" i="1" s="1"/>
  <c r="G19" i="1" s="1"/>
  <c r="H19" i="1" s="1"/>
  <c r="I19" i="1" s="1"/>
  <c r="E18" i="1"/>
  <c r="F18" i="1" s="1"/>
  <c r="G18" i="1" s="1"/>
  <c r="H18" i="1" s="1"/>
  <c r="I18" i="1" s="1"/>
  <c r="J18" i="1" s="1"/>
  <c r="E17" i="1"/>
  <c r="F17" i="1" s="1"/>
  <c r="G17" i="1" s="1"/>
  <c r="H17" i="1" s="1"/>
  <c r="I17" i="1" s="1"/>
  <c r="J17" i="1" s="1"/>
  <c r="E16" i="1"/>
  <c r="F16" i="1" s="1"/>
  <c r="G16" i="1" s="1"/>
  <c r="H16" i="1" s="1"/>
  <c r="I16" i="1" s="1"/>
  <c r="E15" i="1"/>
  <c r="F15" i="1" s="1"/>
  <c r="G15" i="1" s="1"/>
  <c r="H15" i="1" s="1"/>
  <c r="I15" i="1" s="1"/>
  <c r="J15" i="1" s="1"/>
  <c r="E14" i="1"/>
  <c r="F14" i="1" s="1"/>
  <c r="G14" i="1" s="1"/>
  <c r="H14" i="1" s="1"/>
  <c r="I14" i="1" s="1"/>
  <c r="J14" i="1" s="1"/>
  <c r="E13" i="1"/>
  <c r="F13" i="1" s="1"/>
  <c r="G13" i="1" s="1"/>
  <c r="H13" i="1" s="1"/>
  <c r="I13" i="1" s="1"/>
  <c r="E11" i="1"/>
  <c r="F11" i="1" s="1"/>
  <c r="G11" i="1" s="1"/>
  <c r="H11" i="1" s="1"/>
  <c r="I11" i="1" s="1"/>
  <c r="J11" i="1" s="1"/>
  <c r="E10" i="1"/>
  <c r="F10" i="1" s="1"/>
  <c r="G10" i="1" s="1"/>
  <c r="H10" i="1" s="1"/>
  <c r="I10" i="1" s="1"/>
  <c r="J10" i="1" s="1"/>
  <c r="E9" i="1"/>
  <c r="F9" i="1" s="1"/>
  <c r="G9" i="1" s="1"/>
  <c r="H9" i="1" s="1"/>
  <c r="I9" i="1" s="1"/>
  <c r="E8" i="1"/>
  <c r="F8" i="1" s="1"/>
  <c r="G8" i="1" s="1"/>
  <c r="H8" i="1" s="1"/>
  <c r="I8" i="1" s="1"/>
  <c r="J8" i="1" s="1"/>
  <c r="E7" i="1"/>
  <c r="F7" i="1" s="1"/>
  <c r="G7" i="1" s="1"/>
  <c r="H7" i="1" s="1"/>
  <c r="I7" i="1" s="1"/>
  <c r="J7" i="1" s="1"/>
  <c r="E6" i="1"/>
  <c r="F6" i="1" s="1"/>
  <c r="G6" i="1" s="1"/>
  <c r="H6" i="1" s="1"/>
  <c r="I6" i="1" s="1"/>
  <c r="E5" i="1"/>
  <c r="F5" i="1" s="1"/>
  <c r="G5" i="1" s="1"/>
  <c r="H5" i="1" s="1"/>
  <c r="I5" i="1" s="1"/>
  <c r="J5" i="1" s="1"/>
  <c r="E4" i="1"/>
  <c r="F4" i="1" s="1"/>
  <c r="G4" i="1" s="1"/>
  <c r="H4" i="1" s="1"/>
  <c r="I4" i="1" s="1"/>
  <c r="J4" i="1" s="1"/>
  <c r="F3" i="1"/>
  <c r="G3" i="1" s="1"/>
  <c r="H3" i="1" s="1"/>
  <c r="I3" i="1" s="1"/>
  <c r="E3" i="1"/>
  <c r="G78" i="1" l="1"/>
  <c r="H78" i="1" s="1"/>
  <c r="I78" i="1" s="1"/>
  <c r="J78" i="1" s="1"/>
  <c r="O29" i="1"/>
  <c r="P29" i="1" s="1"/>
  <c r="N29" i="1"/>
  <c r="K33" i="1"/>
  <c r="J33" i="1"/>
  <c r="L33" i="1"/>
  <c r="M33" i="1" s="1"/>
  <c r="L39" i="1"/>
  <c r="M39" i="1" s="1"/>
  <c r="K39" i="1"/>
  <c r="J39" i="1"/>
  <c r="L9" i="1"/>
  <c r="M9" i="1" s="1"/>
  <c r="K9" i="1"/>
  <c r="J9" i="1"/>
  <c r="L69" i="1"/>
  <c r="M69" i="1" s="1"/>
  <c r="K69" i="1"/>
  <c r="L36" i="1"/>
  <c r="M36" i="1" s="1"/>
  <c r="K36" i="1"/>
  <c r="J36" i="1"/>
  <c r="L6" i="1"/>
  <c r="M6" i="1" s="1"/>
  <c r="K6" i="1"/>
  <c r="J6" i="1"/>
  <c r="L13" i="1"/>
  <c r="M13" i="1" s="1"/>
  <c r="K13" i="1"/>
  <c r="J13" i="1"/>
  <c r="K73" i="1"/>
  <c r="L73" i="1"/>
  <c r="M73" i="1" s="1"/>
  <c r="O23" i="1"/>
  <c r="P23" i="1" s="1"/>
  <c r="N23" i="1"/>
  <c r="K59" i="1"/>
  <c r="L59" i="1"/>
  <c r="M59" i="1" s="1"/>
  <c r="L66" i="1"/>
  <c r="M66" i="1" s="1"/>
  <c r="K66" i="1"/>
  <c r="J19" i="1"/>
  <c r="K19" i="1"/>
  <c r="L19" i="1"/>
  <c r="M19" i="1" s="1"/>
  <c r="L63" i="1"/>
  <c r="M63" i="1" s="1"/>
  <c r="K63" i="1"/>
  <c r="K3" i="1"/>
  <c r="J3" i="1"/>
  <c r="L3" i="1"/>
  <c r="M3" i="1" s="1"/>
  <c r="L16" i="1"/>
  <c r="M16" i="1" s="1"/>
  <c r="K16" i="1"/>
  <c r="J16" i="1"/>
  <c r="O26" i="1"/>
  <c r="P26" i="1" s="1"/>
  <c r="N26" i="1"/>
  <c r="L56" i="1"/>
  <c r="M56" i="1" s="1"/>
  <c r="K56" i="1"/>
  <c r="H55" i="1"/>
  <c r="I55" i="1" s="1"/>
  <c r="J55" i="1" s="1"/>
  <c r="L53" i="1" s="1"/>
  <c r="M53" i="1" s="1"/>
  <c r="G77" i="1"/>
  <c r="H77" i="1" s="1"/>
  <c r="I77" i="1" s="1"/>
  <c r="J77" i="1" s="1"/>
  <c r="K76" i="1" s="1"/>
  <c r="G79" i="1"/>
  <c r="H79" i="1" s="1"/>
  <c r="I79" i="1" s="1"/>
  <c r="J79" i="1" s="1"/>
  <c r="G81" i="1"/>
  <c r="H81" i="1" s="1"/>
  <c r="I81" i="1" s="1"/>
  <c r="J81" i="1" s="1"/>
  <c r="L76" i="1" l="1"/>
  <c r="M76" i="1" s="1"/>
  <c r="L79" i="1"/>
  <c r="M79" i="1" s="1"/>
  <c r="K79" i="1"/>
  <c r="K53" i="1"/>
</calcChain>
</file>

<file path=xl/sharedStrings.xml><?xml version="1.0" encoding="utf-8"?>
<sst xmlns="http://schemas.openxmlformats.org/spreadsheetml/2006/main" count="195" uniqueCount="49">
  <si>
    <t>Starch</t>
  </si>
  <si>
    <t>Sample Weight (mg)</t>
  </si>
  <si>
    <t>Abs (625 nm)</t>
  </si>
  <si>
    <t>Abs - blank</t>
  </si>
  <si>
    <t>DF*10</t>
  </si>
  <si>
    <t>mg/mL</t>
  </si>
  <si>
    <t>μg</t>
  </si>
  <si>
    <t>μg/mg DW</t>
  </si>
  <si>
    <t>mg/g</t>
  </si>
  <si>
    <t xml:space="preserve">mean </t>
  </si>
  <si>
    <t>sd</t>
  </si>
  <si>
    <t>se</t>
  </si>
  <si>
    <t>T0</t>
  </si>
  <si>
    <t>T0_1</t>
  </si>
  <si>
    <t>T0_2</t>
  </si>
  <si>
    <t>T0_3</t>
  </si>
  <si>
    <t>T1</t>
  </si>
  <si>
    <t>T1_1</t>
  </si>
  <si>
    <t>T1_2</t>
  </si>
  <si>
    <t>T1_3</t>
  </si>
  <si>
    <t>T2</t>
  </si>
  <si>
    <t>T2_1</t>
  </si>
  <si>
    <t>T2_2</t>
  </si>
  <si>
    <t>T2_3</t>
  </si>
  <si>
    <t>Sugars</t>
  </si>
  <si>
    <t>Phenolics</t>
  </si>
  <si>
    <t>Abs (720 nm)</t>
  </si>
  <si>
    <t>DF*20</t>
  </si>
  <si>
    <t xml:space="preserve">mM </t>
  </si>
  <si>
    <t>M (mol/L)</t>
  </si>
  <si>
    <t>g/L</t>
  </si>
  <si>
    <t>μg/mg</t>
  </si>
  <si>
    <t>Free Aminoacids</t>
  </si>
  <si>
    <t>Abs (570 nm)</t>
  </si>
  <si>
    <t>Flavonoids</t>
  </si>
  <si>
    <t>Abs (415 nm)</t>
  </si>
  <si>
    <t>Chl a</t>
  </si>
  <si>
    <t>Abs (664 nm)</t>
  </si>
  <si>
    <t>Abs (470 nm)</t>
  </si>
  <si>
    <t>Chla μg/mL</t>
  </si>
  <si>
    <t>FD *2</t>
  </si>
  <si>
    <t>volumen* (µg)</t>
  </si>
  <si>
    <t>µg/mg DW</t>
  </si>
  <si>
    <t>Chl b</t>
  </si>
  <si>
    <t>Abs (649 nm)</t>
  </si>
  <si>
    <t>Chlb μg/mL</t>
  </si>
  <si>
    <t>Carotenoids</t>
  </si>
  <si>
    <t>CAR μg/mL</t>
  </si>
  <si>
    <r>
      <t>Supplementary File 3. Content analysis of Sterch, Sugars, Phenolics, Free Amino Acids, Flavonoids, photosynthetic pigments (Chlorophyll a, Chlorophyll b and Carotenoids) in</t>
    </r>
    <r>
      <rPr>
        <i/>
        <sz val="12"/>
        <color theme="1"/>
        <rFont val="Times New Roman"/>
        <family val="1"/>
      </rPr>
      <t xml:space="preserve"> C. domestica</t>
    </r>
    <r>
      <rPr>
        <sz val="12"/>
        <color theme="1"/>
        <rFont val="Times New Roman"/>
        <family val="1"/>
      </rPr>
      <t xml:space="preserve"> fruits at T0: harvest time, T1: habitual consumption time 2 weeks, T2 4 weeks after harvest time.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</si>
</sst>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2"/>
      <color rgb="FF3F3F3F"/>
      <name val="Times New Roman"/>
      <family val="1"/>
    </font>
    <font>
      <b/>
      <sz val="11"/>
      <color rgb="FF3F3F3F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5">
    <xf numFmtId="0" fontId="0" fillId="0" borderId="0" xfId="0"/>
    <xf numFmtId="0" fontId="2" fillId="0" borderId="2" xfId="1" applyFont="1" applyFill="1" applyBorder="1" applyAlignment="1"/>
    <xf numFmtId="0" fontId="3" fillId="0" borderId="3" xfId="1" applyFont="1" applyFill="1" applyBorder="1" applyAlignment="1"/>
    <xf numFmtId="0" fontId="3" fillId="0" borderId="3" xfId="1" applyFont="1" applyFill="1" applyBorder="1" applyAlignment="1">
      <alignment vertical="center"/>
    </xf>
    <xf numFmtId="0" fontId="3" fillId="0" borderId="4" xfId="1" applyFont="1" applyFill="1" applyBorder="1" applyAlignment="1">
      <alignment vertical="center"/>
    </xf>
    <xf numFmtId="0" fontId="4" fillId="0" borderId="0" xfId="0" applyFont="1"/>
    <xf numFmtId="0" fontId="4" fillId="0" borderId="6" xfId="0" applyFont="1" applyBorder="1" applyAlignment="1">
      <alignment vertical="center"/>
    </xf>
    <xf numFmtId="0" fontId="4" fillId="0" borderId="6" xfId="0" applyFont="1" applyBorder="1"/>
    <xf numFmtId="0" fontId="6" fillId="0" borderId="6" xfId="0" applyFont="1" applyBorder="1" applyAlignment="1">
      <alignment vertical="center" wrapText="1"/>
    </xf>
    <xf numFmtId="164" fontId="4" fillId="0" borderId="6" xfId="0" applyNumberFormat="1" applyFont="1" applyBorder="1"/>
    <xf numFmtId="0" fontId="4" fillId="0" borderId="9" xfId="0" applyFont="1" applyBorder="1" applyAlignment="1">
      <alignment vertical="center"/>
    </xf>
    <xf numFmtId="0" fontId="4" fillId="0" borderId="9" xfId="0" applyFont="1" applyBorder="1"/>
    <xf numFmtId="0" fontId="6" fillId="0" borderId="9" xfId="0" applyFont="1" applyBorder="1" applyAlignment="1">
      <alignment vertical="center" wrapText="1"/>
    </xf>
    <xf numFmtId="164" fontId="4" fillId="0" borderId="9" xfId="0" applyNumberFormat="1" applyFont="1" applyBorder="1"/>
    <xf numFmtId="0" fontId="7" fillId="0" borderId="3" xfId="0" applyFont="1" applyBorder="1"/>
    <xf numFmtId="0" fontId="7" fillId="0" borderId="4" xfId="0" applyFont="1" applyBorder="1"/>
    <xf numFmtId="0" fontId="4" fillId="0" borderId="11" xfId="0" applyFont="1" applyBorder="1"/>
    <xf numFmtId="0" fontId="5" fillId="0" borderId="2" xfId="0" applyFont="1" applyBorder="1"/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0" xfId="0" applyFont="1"/>
    <xf numFmtId="0" fontId="5" fillId="0" borderId="8" xfId="0" applyFont="1" applyBorder="1"/>
    <xf numFmtId="0" fontId="5" fillId="0" borderId="14" xfId="0" applyFont="1" applyBorder="1"/>
    <xf numFmtId="0" fontId="5" fillId="0" borderId="15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16" xfId="0" applyFont="1" applyBorder="1"/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0" borderId="5" xfId="0" applyFont="1" applyBorder="1"/>
    <xf numFmtId="0" fontId="5" fillId="0" borderId="13" xfId="0" applyFont="1" applyBorder="1"/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6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12" xfId="0" applyFont="1" applyBorder="1"/>
    <xf numFmtId="0" fontId="5" fillId="0" borderId="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4" fillId="0" borderId="11" xfId="0" applyFont="1" applyBorder="1"/>
    <xf numFmtId="0" fontId="4" fillId="0" borderId="10" xfId="0" applyFont="1" applyBorder="1"/>
    <xf numFmtId="164" fontId="4" fillId="0" borderId="6" xfId="0" applyNumberFormat="1" applyFont="1" applyBorder="1" applyAlignment="1">
      <alignment vertical="center"/>
    </xf>
    <xf numFmtId="164" fontId="4" fillId="0" borderId="9" xfId="0" applyNumberFormat="1" applyFont="1" applyBorder="1" applyAlignment="1">
      <alignment vertical="center"/>
    </xf>
    <xf numFmtId="164" fontId="4" fillId="0" borderId="7" xfId="0" applyNumberFormat="1" applyFont="1" applyBorder="1" applyAlignment="1">
      <alignment vertical="center"/>
    </xf>
    <xf numFmtId="164" fontId="4" fillId="0" borderId="10" xfId="0" applyNumberFormat="1" applyFont="1" applyBorder="1" applyAlignment="1">
      <alignment vertical="center"/>
    </xf>
  </cellXfs>
  <cellStyles count="2">
    <cellStyle name="Normale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4D343-E5F4-4425-9242-D9D5526AB596}">
  <dimension ref="A1:P85"/>
  <sheetViews>
    <sheetView tabSelected="1" workbookViewId="0"/>
  </sheetViews>
  <sheetFormatPr defaultColWidth="10.6640625" defaultRowHeight="15.6" x14ac:dyDescent="0.3"/>
  <cols>
    <col min="1" max="1" width="10.6640625" style="20"/>
    <col min="2" max="2" width="5.6640625" style="5" customWidth="1"/>
    <col min="3" max="16384" width="10.6640625" style="5"/>
  </cols>
  <sheetData>
    <row r="1" spans="1:13" ht="16.2" thickBot="1" x14ac:dyDescent="0.35">
      <c r="A1" s="20" t="s">
        <v>48</v>
      </c>
    </row>
    <row r="2" spans="1:13" ht="16.2" customHeight="1" x14ac:dyDescent="0.3">
      <c r="A2" s="1" t="s">
        <v>0</v>
      </c>
      <c r="B2" s="2"/>
      <c r="C2" s="2" t="s">
        <v>1</v>
      </c>
      <c r="D2" s="3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3" t="s">
        <v>8</v>
      </c>
      <c r="K2" s="3" t="s">
        <v>9</v>
      </c>
      <c r="L2" s="3" t="s">
        <v>10</v>
      </c>
      <c r="M2" s="4" t="s">
        <v>11</v>
      </c>
    </row>
    <row r="3" spans="1:13" ht="16.2" customHeight="1" x14ac:dyDescent="0.25">
      <c r="A3" s="37" t="s">
        <v>12</v>
      </c>
      <c r="B3" s="6" t="s">
        <v>13</v>
      </c>
      <c r="C3" s="7">
        <v>36.5</v>
      </c>
      <c r="D3" s="8">
        <v>1.0229999999999999</v>
      </c>
      <c r="E3" s="7">
        <f>D3-0.068</f>
        <v>0.95499999999999985</v>
      </c>
      <c r="F3" s="7">
        <f>E3*10</f>
        <v>9.5499999999999989</v>
      </c>
      <c r="G3" s="9">
        <f>F3/1.2076</f>
        <v>7.9082477641603175</v>
      </c>
      <c r="H3" s="9">
        <f>G3*1200</f>
        <v>9489.8973169923811</v>
      </c>
      <c r="I3" s="9">
        <f>H3/C3</f>
        <v>259.99718676691452</v>
      </c>
      <c r="J3" s="9">
        <f>I3</f>
        <v>259.99718676691452</v>
      </c>
      <c r="K3" s="41">
        <f>AVERAGE(I3:I5)</f>
        <v>267.52118522393812</v>
      </c>
      <c r="L3" s="41">
        <f>STDEV(I3:I5)</f>
        <v>11.61699337595878</v>
      </c>
      <c r="M3" s="43">
        <f>L3/SQRT(3)</f>
        <v>6.7070742527839009</v>
      </c>
    </row>
    <row r="4" spans="1:13" ht="16.2" customHeight="1" x14ac:dyDescent="0.25">
      <c r="A4" s="37"/>
      <c r="B4" s="6" t="s">
        <v>14</v>
      </c>
      <c r="C4" s="7">
        <v>30.6</v>
      </c>
      <c r="D4" s="8">
        <v>0.93300000000000005</v>
      </c>
      <c r="E4" s="7">
        <f t="shared" ref="E4:E11" si="0">D4-0.068</f>
        <v>0.86499999999999999</v>
      </c>
      <c r="F4" s="7">
        <f t="shared" ref="F4:F11" si="1">E4*10</f>
        <v>8.65</v>
      </c>
      <c r="G4" s="9">
        <f t="shared" ref="G4:G11" si="2">F4/1.2076</f>
        <v>7.1629678701556809</v>
      </c>
      <c r="H4" s="9">
        <f t="shared" ref="H4:H11" si="3">G4*1200</f>
        <v>8595.5614441868165</v>
      </c>
      <c r="I4" s="9">
        <f t="shared" ref="I4:I11" si="4">H4/C4</f>
        <v>280.90070079041885</v>
      </c>
      <c r="J4" s="9">
        <f t="shared" ref="J4:J11" si="5">I4</f>
        <v>280.90070079041885</v>
      </c>
      <c r="K4" s="41"/>
      <c r="L4" s="41"/>
      <c r="M4" s="43"/>
    </row>
    <row r="5" spans="1:13" ht="16.2" customHeight="1" x14ac:dyDescent="0.25">
      <c r="A5" s="37"/>
      <c r="B5" s="6" t="s">
        <v>15</v>
      </c>
      <c r="C5" s="7">
        <v>31.9</v>
      </c>
      <c r="D5" s="8">
        <v>0.90800000000000003</v>
      </c>
      <c r="E5" s="7">
        <f t="shared" si="0"/>
        <v>0.84000000000000008</v>
      </c>
      <c r="F5" s="7">
        <f t="shared" si="1"/>
        <v>8.4</v>
      </c>
      <c r="G5" s="9">
        <f t="shared" si="2"/>
        <v>6.9559456773766151</v>
      </c>
      <c r="H5" s="9">
        <f t="shared" si="3"/>
        <v>8347.1348128519385</v>
      </c>
      <c r="I5" s="9">
        <f t="shared" si="4"/>
        <v>261.66566811448087</v>
      </c>
      <c r="J5" s="9">
        <f t="shared" si="5"/>
        <v>261.66566811448087</v>
      </c>
      <c r="K5" s="41"/>
      <c r="L5" s="41"/>
      <c r="M5" s="43"/>
    </row>
    <row r="6" spans="1:13" ht="16.2" customHeight="1" x14ac:dyDescent="0.25">
      <c r="A6" s="37" t="s">
        <v>16</v>
      </c>
      <c r="B6" s="6" t="s">
        <v>17</v>
      </c>
      <c r="C6" s="7">
        <v>30.1</v>
      </c>
      <c r="D6" s="8">
        <v>0.46300000000000002</v>
      </c>
      <c r="E6" s="7">
        <f t="shared" si="0"/>
        <v>0.39500000000000002</v>
      </c>
      <c r="F6" s="7">
        <f t="shared" si="1"/>
        <v>3.95</v>
      </c>
      <c r="G6" s="9">
        <f t="shared" si="2"/>
        <v>3.2709506459092417</v>
      </c>
      <c r="H6" s="9">
        <f t="shared" si="3"/>
        <v>3925.1407750910898</v>
      </c>
      <c r="I6" s="9">
        <f t="shared" si="4"/>
        <v>130.40334800967076</v>
      </c>
      <c r="J6" s="9">
        <f t="shared" si="5"/>
        <v>130.40334800967076</v>
      </c>
      <c r="K6" s="41">
        <f>AVERAGE(I6:I8)</f>
        <v>118.82254944261014</v>
      </c>
      <c r="L6" s="41">
        <f>STDEV(I6:I8)</f>
        <v>14.427246594768921</v>
      </c>
      <c r="M6" s="43">
        <f>L6/SQRT(3)</f>
        <v>8.3295747051549487</v>
      </c>
    </row>
    <row r="7" spans="1:13" ht="16.2" customHeight="1" x14ac:dyDescent="0.25">
      <c r="A7" s="37"/>
      <c r="B7" s="6" t="s">
        <v>18</v>
      </c>
      <c r="C7" s="7">
        <v>36.799999999999997</v>
      </c>
      <c r="D7" s="8">
        <v>0.52500000000000002</v>
      </c>
      <c r="E7" s="7">
        <f t="shared" si="0"/>
        <v>0.45700000000000002</v>
      </c>
      <c r="F7" s="7">
        <f t="shared" si="1"/>
        <v>4.57</v>
      </c>
      <c r="G7" s="9">
        <f t="shared" si="2"/>
        <v>3.7843656840013251</v>
      </c>
      <c r="H7" s="9">
        <f t="shared" si="3"/>
        <v>4541.23882080159</v>
      </c>
      <c r="I7" s="9">
        <f t="shared" si="4"/>
        <v>123.40322882613017</v>
      </c>
      <c r="J7" s="9">
        <f t="shared" si="5"/>
        <v>123.40322882613017</v>
      </c>
      <c r="K7" s="41"/>
      <c r="L7" s="41"/>
      <c r="M7" s="43"/>
    </row>
    <row r="8" spans="1:13" ht="16.2" customHeight="1" x14ac:dyDescent="0.25">
      <c r="A8" s="37"/>
      <c r="B8" s="6" t="s">
        <v>19</v>
      </c>
      <c r="C8" s="7">
        <v>30.2</v>
      </c>
      <c r="D8" s="8">
        <v>0.38</v>
      </c>
      <c r="E8" s="7">
        <f t="shared" si="0"/>
        <v>0.312</v>
      </c>
      <c r="F8" s="7">
        <f t="shared" si="1"/>
        <v>3.12</v>
      </c>
      <c r="G8" s="9">
        <f t="shared" si="2"/>
        <v>2.5836369658827425</v>
      </c>
      <c r="H8" s="9">
        <f t="shared" si="3"/>
        <v>3100.364359059291</v>
      </c>
      <c r="I8" s="9">
        <f t="shared" si="4"/>
        <v>102.66107149202951</v>
      </c>
      <c r="J8" s="9">
        <f t="shared" si="5"/>
        <v>102.66107149202951</v>
      </c>
      <c r="K8" s="41"/>
      <c r="L8" s="41"/>
      <c r="M8" s="43"/>
    </row>
    <row r="9" spans="1:13" ht="16.2" customHeight="1" x14ac:dyDescent="0.25">
      <c r="A9" s="37" t="s">
        <v>20</v>
      </c>
      <c r="B9" s="6" t="s">
        <v>21</v>
      </c>
      <c r="C9" s="7">
        <v>32.9</v>
      </c>
      <c r="D9" s="8">
        <v>0.27900000000000003</v>
      </c>
      <c r="E9" s="7">
        <f t="shared" si="0"/>
        <v>0.21100000000000002</v>
      </c>
      <c r="F9" s="7">
        <f t="shared" si="1"/>
        <v>2.1100000000000003</v>
      </c>
      <c r="G9" s="9">
        <f t="shared" si="2"/>
        <v>1.7472673070553166</v>
      </c>
      <c r="H9" s="9">
        <f t="shared" si="3"/>
        <v>2096.7207684663799</v>
      </c>
      <c r="I9" s="9">
        <f>H9/C9</f>
        <v>63.730114543051066</v>
      </c>
      <c r="J9" s="9">
        <f t="shared" si="5"/>
        <v>63.730114543051066</v>
      </c>
      <c r="K9" s="41">
        <f>AVERAGE(I9:I11)</f>
        <v>48.203920271747329</v>
      </c>
      <c r="L9" s="41">
        <f>STDEV(I9:I11)</f>
        <v>15.21434069104691</v>
      </c>
      <c r="M9" s="43">
        <f>L9/SQRT(3)</f>
        <v>8.7840036935186117</v>
      </c>
    </row>
    <row r="10" spans="1:13" ht="16.2" customHeight="1" x14ac:dyDescent="0.25">
      <c r="A10" s="37"/>
      <c r="B10" s="6" t="s">
        <v>22</v>
      </c>
      <c r="C10" s="7">
        <v>33.4</v>
      </c>
      <c r="D10" s="8">
        <v>0.18</v>
      </c>
      <c r="E10" s="7">
        <f t="shared" si="0"/>
        <v>0.11199999999999999</v>
      </c>
      <c r="F10" s="7">
        <f t="shared" si="1"/>
        <v>1.1199999999999999</v>
      </c>
      <c r="G10" s="9">
        <f t="shared" si="2"/>
        <v>0.92745942365021516</v>
      </c>
      <c r="H10" s="9">
        <f t="shared" si="3"/>
        <v>1112.9513083802583</v>
      </c>
      <c r="I10" s="9">
        <f t="shared" si="4"/>
        <v>33.321895460486779</v>
      </c>
      <c r="J10" s="9">
        <f t="shared" si="5"/>
        <v>33.321895460486779</v>
      </c>
      <c r="K10" s="41"/>
      <c r="L10" s="41"/>
      <c r="M10" s="43"/>
    </row>
    <row r="11" spans="1:13" ht="16.2" customHeight="1" thickBot="1" x14ac:dyDescent="0.3">
      <c r="A11" s="38"/>
      <c r="B11" s="10" t="s">
        <v>23</v>
      </c>
      <c r="C11" s="11">
        <v>37.4</v>
      </c>
      <c r="D11" s="12">
        <v>0.247</v>
      </c>
      <c r="E11" s="11">
        <f t="shared" si="0"/>
        <v>0.17899999999999999</v>
      </c>
      <c r="F11" s="11">
        <f t="shared" si="1"/>
        <v>1.79</v>
      </c>
      <c r="G11" s="13">
        <f t="shared" si="2"/>
        <v>1.482278900298112</v>
      </c>
      <c r="H11" s="13">
        <f t="shared" si="3"/>
        <v>1778.7346803577345</v>
      </c>
      <c r="I11" s="13">
        <f t="shared" si="4"/>
        <v>47.559750811704134</v>
      </c>
      <c r="J11" s="13">
        <f t="shared" si="5"/>
        <v>47.559750811704134</v>
      </c>
      <c r="K11" s="42"/>
      <c r="L11" s="42"/>
      <c r="M11" s="44"/>
    </row>
    <row r="12" spans="1:13" ht="16.2" customHeight="1" x14ac:dyDescent="0.3">
      <c r="A12" s="1" t="s">
        <v>24</v>
      </c>
      <c r="B12" s="2"/>
      <c r="C12" s="14" t="s">
        <v>1</v>
      </c>
      <c r="D12" s="14" t="s">
        <v>2</v>
      </c>
      <c r="E12" s="14" t="s">
        <v>3</v>
      </c>
      <c r="F12" s="14" t="s">
        <v>4</v>
      </c>
      <c r="G12" s="14" t="s">
        <v>5</v>
      </c>
      <c r="H12" s="14" t="s">
        <v>6</v>
      </c>
      <c r="I12" s="14" t="s">
        <v>7</v>
      </c>
      <c r="J12" s="14" t="s">
        <v>8</v>
      </c>
      <c r="K12" s="14" t="s">
        <v>9</v>
      </c>
      <c r="L12" s="14" t="s">
        <v>10</v>
      </c>
      <c r="M12" s="15" t="s">
        <v>11</v>
      </c>
    </row>
    <row r="13" spans="1:13" ht="16.2" customHeight="1" x14ac:dyDescent="0.25">
      <c r="A13" s="37" t="s">
        <v>12</v>
      </c>
      <c r="B13" s="6" t="s">
        <v>13</v>
      </c>
      <c r="C13" s="7">
        <v>32.9</v>
      </c>
      <c r="D13" s="8">
        <v>0.27</v>
      </c>
      <c r="E13" s="7">
        <f t="shared" ref="E13:E21" si="6">D13-0.071</f>
        <v>0.19900000000000001</v>
      </c>
      <c r="F13" s="7">
        <f t="shared" ref="F13:F21" si="7">E13*10</f>
        <v>1.9900000000000002</v>
      </c>
      <c r="G13" s="7">
        <f t="shared" ref="G13:G21" si="8">F13/1.3474</f>
        <v>1.4769185097224287</v>
      </c>
      <c r="H13" s="7">
        <f t="shared" ref="H13:H21" si="9">G13*1200</f>
        <v>1772.3022116669144</v>
      </c>
      <c r="I13" s="7">
        <f t="shared" ref="I13:I21" si="10">H13/C13</f>
        <v>53.869368135772476</v>
      </c>
      <c r="J13" s="7">
        <f t="shared" ref="J13:J21" si="11">I13</f>
        <v>53.869368135772476</v>
      </c>
      <c r="K13" s="33">
        <f>AVERAGE(I13:I15)</f>
        <v>50.373430990137543</v>
      </c>
      <c r="L13" s="33">
        <f>STDEV(I13:I15)</f>
        <v>3.2707935558219257</v>
      </c>
      <c r="M13" s="34">
        <f>L13/SQRT(3)</f>
        <v>1.888393539917482</v>
      </c>
    </row>
    <row r="14" spans="1:13" ht="16.2" customHeight="1" x14ac:dyDescent="0.25">
      <c r="A14" s="37"/>
      <c r="B14" s="6" t="s">
        <v>14</v>
      </c>
      <c r="C14" s="7">
        <v>33.4</v>
      </c>
      <c r="D14" s="8">
        <v>0.25800000000000001</v>
      </c>
      <c r="E14" s="7">
        <f t="shared" si="6"/>
        <v>0.187</v>
      </c>
      <c r="F14" s="7">
        <f t="shared" si="7"/>
        <v>1.87</v>
      </c>
      <c r="G14" s="7">
        <f t="shared" si="8"/>
        <v>1.3878580970758498</v>
      </c>
      <c r="H14" s="7">
        <f t="shared" si="9"/>
        <v>1665.4297164910199</v>
      </c>
      <c r="I14" s="7">
        <f t="shared" si="10"/>
        <v>49.863165164401799</v>
      </c>
      <c r="J14" s="7">
        <f t="shared" si="11"/>
        <v>49.863165164401799</v>
      </c>
      <c r="K14" s="33"/>
      <c r="L14" s="33"/>
      <c r="M14" s="34"/>
    </row>
    <row r="15" spans="1:13" ht="16.2" customHeight="1" x14ac:dyDescent="0.25">
      <c r="A15" s="37"/>
      <c r="B15" s="6" t="s">
        <v>15</v>
      </c>
      <c r="C15" s="7">
        <v>37.4</v>
      </c>
      <c r="D15" s="8">
        <v>0.27</v>
      </c>
      <c r="E15" s="7">
        <f t="shared" si="6"/>
        <v>0.19900000000000001</v>
      </c>
      <c r="F15" s="7">
        <f t="shared" si="7"/>
        <v>1.9900000000000002</v>
      </c>
      <c r="G15" s="7">
        <f t="shared" si="8"/>
        <v>1.4769185097224287</v>
      </c>
      <c r="H15" s="7">
        <f t="shared" si="9"/>
        <v>1772.3022116669144</v>
      </c>
      <c r="I15" s="7">
        <f t="shared" si="10"/>
        <v>47.387759670238353</v>
      </c>
      <c r="J15" s="7">
        <f t="shared" si="11"/>
        <v>47.387759670238353</v>
      </c>
      <c r="K15" s="33"/>
      <c r="L15" s="33"/>
      <c r="M15" s="34"/>
    </row>
    <row r="16" spans="1:13" ht="16.2" customHeight="1" x14ac:dyDescent="0.25">
      <c r="A16" s="37" t="s">
        <v>16</v>
      </c>
      <c r="B16" s="6" t="s">
        <v>17</v>
      </c>
      <c r="C16" s="7">
        <v>30.1</v>
      </c>
      <c r="D16" s="8">
        <v>0.58399999999999996</v>
      </c>
      <c r="E16" s="7">
        <f t="shared" si="6"/>
        <v>0.51300000000000001</v>
      </c>
      <c r="F16" s="7">
        <f t="shared" si="7"/>
        <v>5.13</v>
      </c>
      <c r="G16" s="7">
        <f t="shared" si="8"/>
        <v>3.8073326406412349</v>
      </c>
      <c r="H16" s="7">
        <f t="shared" si="9"/>
        <v>4568.7991687694821</v>
      </c>
      <c r="I16" s="7">
        <f t="shared" si="10"/>
        <v>151.78734779965055</v>
      </c>
      <c r="J16" s="7">
        <f t="shared" si="11"/>
        <v>151.78734779965055</v>
      </c>
      <c r="K16" s="33">
        <f>AVERAGE(I16:I18)</f>
        <v>125.65208858612546</v>
      </c>
      <c r="L16" s="33">
        <f>STDEV(I16:I18)</f>
        <v>30.390331699369163</v>
      </c>
      <c r="M16" s="34">
        <f>L16/SQRT(3)</f>
        <v>17.545866187392804</v>
      </c>
    </row>
    <row r="17" spans="1:16" ht="16.2" customHeight="1" x14ac:dyDescent="0.25">
      <c r="A17" s="37"/>
      <c r="B17" s="6" t="s">
        <v>18</v>
      </c>
      <c r="C17" s="7">
        <v>36.799999999999997</v>
      </c>
      <c r="D17" s="8">
        <v>0.62</v>
      </c>
      <c r="E17" s="7">
        <f t="shared" si="6"/>
        <v>0.54900000000000004</v>
      </c>
      <c r="F17" s="7">
        <f t="shared" si="7"/>
        <v>5.49</v>
      </c>
      <c r="G17" s="7">
        <f t="shared" si="8"/>
        <v>4.0745138785809711</v>
      </c>
      <c r="H17" s="7">
        <f t="shared" si="9"/>
        <v>4889.4166542971652</v>
      </c>
      <c r="I17" s="7">
        <f t="shared" si="10"/>
        <v>132.86458299720559</v>
      </c>
      <c r="J17" s="7">
        <f t="shared" si="11"/>
        <v>132.86458299720559</v>
      </c>
      <c r="K17" s="33"/>
      <c r="L17" s="33"/>
      <c r="M17" s="34"/>
    </row>
    <row r="18" spans="1:16" ht="16.2" customHeight="1" x14ac:dyDescent="0.25">
      <c r="A18" s="37"/>
      <c r="B18" s="6" t="s">
        <v>19</v>
      </c>
      <c r="C18" s="7">
        <v>30.2</v>
      </c>
      <c r="D18" s="8">
        <v>0.38400000000000001</v>
      </c>
      <c r="E18" s="7">
        <f t="shared" si="6"/>
        <v>0.313</v>
      </c>
      <c r="F18" s="7">
        <f t="shared" si="7"/>
        <v>3.13</v>
      </c>
      <c r="G18" s="7">
        <f t="shared" si="8"/>
        <v>2.3229924298649252</v>
      </c>
      <c r="H18" s="7">
        <f t="shared" si="9"/>
        <v>2787.59091583791</v>
      </c>
      <c r="I18" s="7">
        <f t="shared" si="10"/>
        <v>92.304334961520198</v>
      </c>
      <c r="J18" s="7">
        <f t="shared" si="11"/>
        <v>92.304334961520198</v>
      </c>
      <c r="K18" s="33"/>
      <c r="L18" s="33"/>
      <c r="M18" s="34"/>
    </row>
    <row r="19" spans="1:16" ht="16.2" customHeight="1" x14ac:dyDescent="0.25">
      <c r="A19" s="37" t="s">
        <v>20</v>
      </c>
      <c r="B19" s="6" t="s">
        <v>21</v>
      </c>
      <c r="C19" s="7">
        <v>36.5</v>
      </c>
      <c r="D19" s="8">
        <v>1.131</v>
      </c>
      <c r="E19" s="7">
        <f t="shared" si="6"/>
        <v>1.06</v>
      </c>
      <c r="F19" s="7">
        <f t="shared" si="7"/>
        <v>10.600000000000001</v>
      </c>
      <c r="G19" s="7">
        <f t="shared" si="8"/>
        <v>7.8670031171144439</v>
      </c>
      <c r="H19" s="7">
        <f t="shared" si="9"/>
        <v>9440.4037405373329</v>
      </c>
      <c r="I19" s="7">
        <f t="shared" si="10"/>
        <v>258.64119837088583</v>
      </c>
      <c r="J19" s="7">
        <f t="shared" si="11"/>
        <v>258.64119837088583</v>
      </c>
      <c r="K19" s="33">
        <f>AVERAGE(I19:I21)</f>
        <v>248.34856041114196</v>
      </c>
      <c r="L19" s="33">
        <f>STDEV(I19:I21)</f>
        <v>17.969979773265568</v>
      </c>
      <c r="M19" s="34">
        <f>L19/SQRT(3)</f>
        <v>10.374972659427007</v>
      </c>
    </row>
    <row r="20" spans="1:16" ht="16.2" customHeight="1" x14ac:dyDescent="0.25">
      <c r="A20" s="37"/>
      <c r="B20" s="6" t="s">
        <v>22</v>
      </c>
      <c r="C20" s="7">
        <v>30.6</v>
      </c>
      <c r="D20" s="8">
        <v>0.85299999999999998</v>
      </c>
      <c r="E20" s="7">
        <f t="shared" si="6"/>
        <v>0.78200000000000003</v>
      </c>
      <c r="F20" s="7">
        <f t="shared" si="7"/>
        <v>7.82</v>
      </c>
      <c r="G20" s="7">
        <f t="shared" si="8"/>
        <v>5.8037702241353726</v>
      </c>
      <c r="H20" s="7">
        <f t="shared" si="9"/>
        <v>6964.5242689624474</v>
      </c>
      <c r="I20" s="7">
        <f t="shared" si="10"/>
        <v>227.59883231903422</v>
      </c>
      <c r="J20" s="7">
        <f t="shared" si="11"/>
        <v>227.59883231903422</v>
      </c>
      <c r="K20" s="33"/>
      <c r="L20" s="33"/>
      <c r="M20" s="34"/>
    </row>
    <row r="21" spans="1:16" ht="16.2" customHeight="1" thickBot="1" x14ac:dyDescent="0.3">
      <c r="A21" s="38"/>
      <c r="B21" s="10" t="s">
        <v>23</v>
      </c>
      <c r="C21" s="11">
        <v>31.9</v>
      </c>
      <c r="D21" s="12">
        <v>0.998</v>
      </c>
      <c r="E21" s="11">
        <f t="shared" si="6"/>
        <v>0.92700000000000005</v>
      </c>
      <c r="F21" s="11">
        <f t="shared" si="7"/>
        <v>9.27</v>
      </c>
      <c r="G21" s="11">
        <f t="shared" si="8"/>
        <v>6.8799168769481964</v>
      </c>
      <c r="H21" s="11">
        <f t="shared" si="9"/>
        <v>8255.9002523378349</v>
      </c>
      <c r="I21" s="11">
        <f t="shared" si="10"/>
        <v>258.80565054350581</v>
      </c>
      <c r="J21" s="11">
        <f t="shared" si="11"/>
        <v>258.80565054350581</v>
      </c>
      <c r="K21" s="35"/>
      <c r="L21" s="35"/>
      <c r="M21" s="40"/>
    </row>
    <row r="22" spans="1:16" ht="16.2" customHeight="1" x14ac:dyDescent="0.3">
      <c r="A22" s="1" t="s">
        <v>25</v>
      </c>
      <c r="B22" s="2"/>
      <c r="C22" s="14" t="s">
        <v>1</v>
      </c>
      <c r="D22" s="14" t="s">
        <v>26</v>
      </c>
      <c r="E22" s="14" t="s">
        <v>3</v>
      </c>
      <c r="F22" s="14" t="s">
        <v>27</v>
      </c>
      <c r="G22" s="14" t="s">
        <v>28</v>
      </c>
      <c r="H22" s="14" t="s">
        <v>29</v>
      </c>
      <c r="I22" s="14" t="s">
        <v>30</v>
      </c>
      <c r="J22" s="14" t="s">
        <v>5</v>
      </c>
      <c r="K22" s="14" t="s">
        <v>6</v>
      </c>
      <c r="L22" s="14" t="s">
        <v>31</v>
      </c>
      <c r="M22" s="14" t="s">
        <v>8</v>
      </c>
      <c r="N22" s="14" t="s">
        <v>9</v>
      </c>
      <c r="O22" s="14" t="s">
        <v>10</v>
      </c>
      <c r="P22" s="15" t="s">
        <v>11</v>
      </c>
    </row>
    <row r="23" spans="1:16" ht="16.2" customHeight="1" x14ac:dyDescent="0.25">
      <c r="A23" s="37" t="s">
        <v>12</v>
      </c>
      <c r="B23" s="6" t="s">
        <v>13</v>
      </c>
      <c r="C23" s="7">
        <v>36.5</v>
      </c>
      <c r="D23" s="8">
        <v>0.46200000000000002</v>
      </c>
      <c r="E23" s="7">
        <f>D23-0.042</f>
        <v>0.42000000000000004</v>
      </c>
      <c r="F23" s="7">
        <f>E23*20</f>
        <v>8.4</v>
      </c>
      <c r="G23" s="7">
        <f>F23/0.7827</f>
        <v>10.732081257186662</v>
      </c>
      <c r="H23" s="7">
        <f>G23/1000</f>
        <v>1.0732081257186662E-2</v>
      </c>
      <c r="I23" s="7">
        <f>H23*170.12</f>
        <v>1.8257416634725949</v>
      </c>
      <c r="J23" s="7">
        <f>I23</f>
        <v>1.8257416634725949</v>
      </c>
      <c r="K23" s="7">
        <f>J23*1200</f>
        <v>2190.8899961671141</v>
      </c>
      <c r="L23" s="7">
        <f>K23/C23</f>
        <v>60.024383456633259</v>
      </c>
      <c r="M23" s="7">
        <f>L23</f>
        <v>60.024383456633259</v>
      </c>
      <c r="N23" s="33">
        <f>AVERAGE(M23:M25)</f>
        <v>76.762772558946651</v>
      </c>
      <c r="O23" s="33">
        <f>STDEV(M23:M25)</f>
        <v>15.04409165209686</v>
      </c>
      <c r="P23" s="34">
        <f>O23/SQRT(3)</f>
        <v>8.6857103650515253</v>
      </c>
    </row>
    <row r="24" spans="1:16" ht="16.2" customHeight="1" x14ac:dyDescent="0.25">
      <c r="A24" s="37"/>
      <c r="B24" s="6" t="s">
        <v>14</v>
      </c>
      <c r="C24" s="7">
        <v>30.6</v>
      </c>
      <c r="D24" s="8">
        <v>0.56499999999999995</v>
      </c>
      <c r="E24" s="7">
        <f t="shared" ref="E24:E31" si="12">D24-0.042</f>
        <v>0.52299999999999991</v>
      </c>
      <c r="F24" s="7">
        <f t="shared" ref="F24:F31" si="13">E24*20</f>
        <v>10.459999999999997</v>
      </c>
      <c r="G24" s="7">
        <f t="shared" ref="G24:G31" si="14">F24/0.7827</f>
        <v>13.363996422639579</v>
      </c>
      <c r="H24" s="7">
        <f t="shared" ref="H24:H31" si="15">G24/1000</f>
        <v>1.3363996422639579E-2</v>
      </c>
      <c r="I24" s="7">
        <f t="shared" ref="I24:I31" si="16">H24*170.12</f>
        <v>2.2734830714194452</v>
      </c>
      <c r="J24" s="7">
        <f t="shared" ref="J24:J31" si="17">I24</f>
        <v>2.2734830714194452</v>
      </c>
      <c r="K24" s="7">
        <f t="shared" ref="K24:K31" si="18">J24*1200</f>
        <v>2728.1796857033341</v>
      </c>
      <c r="L24" s="7">
        <f t="shared" ref="L24:L31" si="19">K24/C24</f>
        <v>89.156198879193923</v>
      </c>
      <c r="M24" s="7">
        <f t="shared" ref="M24:M31" si="20">L24</f>
        <v>89.156198879193923</v>
      </c>
      <c r="N24" s="33"/>
      <c r="O24" s="33"/>
      <c r="P24" s="34"/>
    </row>
    <row r="25" spans="1:16" ht="16.2" customHeight="1" x14ac:dyDescent="0.25">
      <c r="A25" s="37"/>
      <c r="B25" s="6" t="s">
        <v>15</v>
      </c>
      <c r="C25" s="7">
        <v>31.9</v>
      </c>
      <c r="D25" s="8">
        <v>0.53800000000000003</v>
      </c>
      <c r="E25" s="7">
        <f t="shared" si="12"/>
        <v>0.49600000000000005</v>
      </c>
      <c r="F25" s="7">
        <f t="shared" si="13"/>
        <v>9.9200000000000017</v>
      </c>
      <c r="G25" s="7">
        <f t="shared" si="14"/>
        <v>12.674076913249014</v>
      </c>
      <c r="H25" s="7">
        <f t="shared" si="15"/>
        <v>1.2674076913249014E-2</v>
      </c>
      <c r="I25" s="7">
        <f t="shared" si="16"/>
        <v>2.1561139644819223</v>
      </c>
      <c r="J25" s="7">
        <f t="shared" si="17"/>
        <v>2.1561139644819223</v>
      </c>
      <c r="K25" s="7">
        <f t="shared" si="18"/>
        <v>2587.3367573783066</v>
      </c>
      <c r="L25" s="7">
        <f t="shared" si="19"/>
        <v>81.107735341012756</v>
      </c>
      <c r="M25" s="7">
        <f t="shared" si="20"/>
        <v>81.107735341012756</v>
      </c>
      <c r="N25" s="33"/>
      <c r="O25" s="33"/>
      <c r="P25" s="34"/>
    </row>
    <row r="26" spans="1:16" ht="16.2" customHeight="1" x14ac:dyDescent="0.25">
      <c r="A26" s="37" t="s">
        <v>16</v>
      </c>
      <c r="B26" s="6" t="s">
        <v>17</v>
      </c>
      <c r="C26" s="7">
        <v>30.1</v>
      </c>
      <c r="D26" s="8">
        <v>0.14799999999999999</v>
      </c>
      <c r="E26" s="7">
        <f t="shared" si="12"/>
        <v>0.10599999999999998</v>
      </c>
      <c r="F26" s="7">
        <f t="shared" si="13"/>
        <v>2.1199999999999997</v>
      </c>
      <c r="G26" s="7">
        <f t="shared" si="14"/>
        <v>2.7085728887185381</v>
      </c>
      <c r="H26" s="7">
        <f t="shared" si="15"/>
        <v>2.7085728887185382E-3</v>
      </c>
      <c r="I26" s="7">
        <f t="shared" si="16"/>
        <v>0.46078241982879775</v>
      </c>
      <c r="J26" s="7">
        <f t="shared" si="17"/>
        <v>0.46078241982879775</v>
      </c>
      <c r="K26" s="7">
        <f t="shared" si="18"/>
        <v>552.93890379455729</v>
      </c>
      <c r="L26" s="7">
        <f t="shared" si="19"/>
        <v>18.370063248988615</v>
      </c>
      <c r="M26" s="7">
        <f t="shared" si="20"/>
        <v>18.370063248988615</v>
      </c>
      <c r="N26" s="33">
        <f>AVERAGE(M26:M28)</f>
        <v>14.057919592702817</v>
      </c>
      <c r="O26" s="33">
        <f>STDEV(M26:M28)</f>
        <v>4.9607337354844336</v>
      </c>
      <c r="P26" s="34">
        <f>O26/SQRT(3)</f>
        <v>2.8640809575599957</v>
      </c>
    </row>
    <row r="27" spans="1:16" ht="16.2" customHeight="1" x14ac:dyDescent="0.25">
      <c r="A27" s="37"/>
      <c r="B27" s="6" t="s">
        <v>18</v>
      </c>
      <c r="C27" s="7">
        <v>36.799999999999997</v>
      </c>
      <c r="D27" s="8">
        <v>0.14899999999999999</v>
      </c>
      <c r="E27" s="7">
        <f t="shared" si="12"/>
        <v>0.10699999999999998</v>
      </c>
      <c r="F27" s="7">
        <f t="shared" si="13"/>
        <v>2.1399999999999997</v>
      </c>
      <c r="G27" s="7">
        <f t="shared" si="14"/>
        <v>2.734125463140411</v>
      </c>
      <c r="H27" s="7">
        <f t="shared" si="15"/>
        <v>2.734125463140411E-3</v>
      </c>
      <c r="I27" s="7">
        <f t="shared" si="16"/>
        <v>0.46512942378944672</v>
      </c>
      <c r="J27" s="7">
        <f t="shared" si="17"/>
        <v>0.46512942378944672</v>
      </c>
      <c r="K27" s="7">
        <f t="shared" si="18"/>
        <v>558.15530854733606</v>
      </c>
      <c r="L27" s="7">
        <f t="shared" si="19"/>
        <v>15.167263819221089</v>
      </c>
      <c r="M27" s="7">
        <f t="shared" si="20"/>
        <v>15.167263819221089</v>
      </c>
      <c r="N27" s="33"/>
      <c r="O27" s="33"/>
      <c r="P27" s="34"/>
    </row>
    <row r="28" spans="1:16" ht="16.2" customHeight="1" x14ac:dyDescent="0.25">
      <c r="A28" s="37"/>
      <c r="B28" s="6" t="s">
        <v>19</v>
      </c>
      <c r="C28" s="7">
        <v>30.2</v>
      </c>
      <c r="D28" s="8">
        <v>9.1999999999999998E-2</v>
      </c>
      <c r="E28" s="7">
        <f t="shared" si="12"/>
        <v>4.9999999999999996E-2</v>
      </c>
      <c r="F28" s="7">
        <f t="shared" si="13"/>
        <v>0.99999999999999989</v>
      </c>
      <c r="G28" s="7">
        <f t="shared" si="14"/>
        <v>1.2776287210936501</v>
      </c>
      <c r="H28" s="7">
        <f t="shared" si="15"/>
        <v>1.2776287210936501E-3</v>
      </c>
      <c r="I28" s="7">
        <f t="shared" si="16"/>
        <v>0.21735019803245176</v>
      </c>
      <c r="J28" s="7">
        <f t="shared" si="17"/>
        <v>0.21735019803245176</v>
      </c>
      <c r="K28" s="7">
        <f t="shared" si="18"/>
        <v>260.8202376389421</v>
      </c>
      <c r="L28" s="7">
        <f t="shared" si="19"/>
        <v>8.636431709898746</v>
      </c>
      <c r="M28" s="7">
        <f t="shared" si="20"/>
        <v>8.636431709898746</v>
      </c>
      <c r="N28" s="33"/>
      <c r="O28" s="33"/>
      <c r="P28" s="34"/>
    </row>
    <row r="29" spans="1:16" ht="16.2" customHeight="1" x14ac:dyDescent="0.25">
      <c r="A29" s="37" t="s">
        <v>20</v>
      </c>
      <c r="B29" s="6" t="s">
        <v>21</v>
      </c>
      <c r="C29" s="7">
        <v>32.9</v>
      </c>
      <c r="D29" s="8">
        <v>0.27400000000000002</v>
      </c>
      <c r="E29" s="7">
        <f t="shared" si="12"/>
        <v>0.23200000000000001</v>
      </c>
      <c r="F29" s="7">
        <f t="shared" si="13"/>
        <v>4.6400000000000006</v>
      </c>
      <c r="G29" s="7">
        <f t="shared" si="14"/>
        <v>5.9281972658745383</v>
      </c>
      <c r="H29" s="7">
        <f t="shared" si="15"/>
        <v>5.9281972658745382E-3</v>
      </c>
      <c r="I29" s="7">
        <f t="shared" si="16"/>
        <v>1.0085049188705764</v>
      </c>
      <c r="J29" s="7">
        <f t="shared" si="17"/>
        <v>1.0085049188705764</v>
      </c>
      <c r="K29" s="7">
        <f t="shared" si="18"/>
        <v>1210.2059026446916</v>
      </c>
      <c r="L29" s="7">
        <f t="shared" si="19"/>
        <v>36.784373940568138</v>
      </c>
      <c r="M29" s="7">
        <f t="shared" si="20"/>
        <v>36.784373940568138</v>
      </c>
      <c r="N29" s="33">
        <f>AVERAGE(M29:M31)</f>
        <v>34.403630961086691</v>
      </c>
      <c r="O29" s="33">
        <f>STDEV(M29:M31)</f>
        <v>7.8261342817515116</v>
      </c>
      <c r="P29" s="34">
        <f>O29/SQRT(3)</f>
        <v>4.518420734283394</v>
      </c>
    </row>
    <row r="30" spans="1:16" ht="16.2" customHeight="1" x14ac:dyDescent="0.25">
      <c r="A30" s="37"/>
      <c r="B30" s="6" t="s">
        <v>22</v>
      </c>
      <c r="C30" s="7">
        <v>33.4</v>
      </c>
      <c r="D30" s="8">
        <v>0.30299999999999999</v>
      </c>
      <c r="E30" s="7">
        <f t="shared" si="12"/>
        <v>0.26100000000000001</v>
      </c>
      <c r="F30" s="7">
        <f t="shared" si="13"/>
        <v>5.2200000000000006</v>
      </c>
      <c r="G30" s="7">
        <f t="shared" si="14"/>
        <v>6.6692219241088555</v>
      </c>
      <c r="H30" s="7">
        <f t="shared" si="15"/>
        <v>6.6692219241088558E-3</v>
      </c>
      <c r="I30" s="7">
        <f t="shared" si="16"/>
        <v>1.1345680337293986</v>
      </c>
      <c r="J30" s="7">
        <f t="shared" si="17"/>
        <v>1.1345680337293986</v>
      </c>
      <c r="K30" s="7">
        <f t="shared" si="18"/>
        <v>1361.4816404752783</v>
      </c>
      <c r="L30" s="7">
        <f t="shared" si="19"/>
        <v>40.7629233675233</v>
      </c>
      <c r="M30" s="7">
        <f t="shared" si="20"/>
        <v>40.7629233675233</v>
      </c>
      <c r="N30" s="33"/>
      <c r="O30" s="33"/>
      <c r="P30" s="34"/>
    </row>
    <row r="31" spans="1:16" ht="16.2" customHeight="1" thickBot="1" x14ac:dyDescent="0.3">
      <c r="A31" s="38"/>
      <c r="B31" s="10" t="s">
        <v>23</v>
      </c>
      <c r="C31" s="11">
        <v>37.4</v>
      </c>
      <c r="D31" s="12">
        <v>0.22600000000000001</v>
      </c>
      <c r="E31" s="11">
        <f t="shared" si="12"/>
        <v>0.184</v>
      </c>
      <c r="F31" s="11">
        <f t="shared" si="13"/>
        <v>3.6799999999999997</v>
      </c>
      <c r="G31" s="11">
        <f t="shared" si="14"/>
        <v>4.7016736936246328</v>
      </c>
      <c r="H31" s="11">
        <f t="shared" si="15"/>
        <v>4.7016736936246325E-3</v>
      </c>
      <c r="I31" s="11">
        <f t="shared" si="16"/>
        <v>0.79984872875942248</v>
      </c>
      <c r="J31" s="11">
        <f t="shared" si="17"/>
        <v>0.79984872875942248</v>
      </c>
      <c r="K31" s="11">
        <f t="shared" si="18"/>
        <v>959.81847451130693</v>
      </c>
      <c r="L31" s="11">
        <f t="shared" si="19"/>
        <v>25.663595575168635</v>
      </c>
      <c r="M31" s="11">
        <f t="shared" si="20"/>
        <v>25.663595575168635</v>
      </c>
      <c r="N31" s="39"/>
      <c r="O31" s="39"/>
      <c r="P31" s="36"/>
    </row>
    <row r="32" spans="1:16" ht="16.2" customHeight="1" x14ac:dyDescent="0.3">
      <c r="A32" s="17" t="s">
        <v>32</v>
      </c>
      <c r="B32" s="14"/>
      <c r="C32" s="14" t="s">
        <v>1</v>
      </c>
      <c r="D32" s="14" t="s">
        <v>33</v>
      </c>
      <c r="E32" s="14" t="s">
        <v>3</v>
      </c>
      <c r="F32" s="14" t="s">
        <v>4</v>
      </c>
      <c r="G32" s="14" t="s">
        <v>5</v>
      </c>
      <c r="H32" s="14" t="s">
        <v>6</v>
      </c>
      <c r="I32" s="14" t="s">
        <v>7</v>
      </c>
      <c r="J32" s="14" t="s">
        <v>8</v>
      </c>
      <c r="K32" s="14" t="s">
        <v>9</v>
      </c>
      <c r="L32" s="14" t="s">
        <v>10</v>
      </c>
      <c r="M32" s="15" t="s">
        <v>11</v>
      </c>
    </row>
    <row r="33" spans="1:13" ht="16.2" customHeight="1" x14ac:dyDescent="0.25">
      <c r="A33" s="29" t="s">
        <v>12</v>
      </c>
      <c r="B33" s="7" t="s">
        <v>13</v>
      </c>
      <c r="C33" s="7">
        <v>36.5</v>
      </c>
      <c r="D33" s="8">
        <v>0.80400000000000005</v>
      </c>
      <c r="E33" s="7">
        <f>D33-0.175</f>
        <v>0.629</v>
      </c>
      <c r="F33" s="7">
        <f>E33*10</f>
        <v>6.29</v>
      </c>
      <c r="G33" s="7">
        <f>F33/9.3119</f>
        <v>0.6754797624544937</v>
      </c>
      <c r="H33" s="7">
        <f>G33*1200</f>
        <v>810.57571494539241</v>
      </c>
      <c r="I33" s="7">
        <f t="shared" ref="I33:I41" si="21">H33/C33</f>
        <v>22.20755383412034</v>
      </c>
      <c r="J33" s="7">
        <f>I33</f>
        <v>22.20755383412034</v>
      </c>
      <c r="K33" s="33">
        <f>AVERAGE(I33:I35)</f>
        <v>22.836660013948819</v>
      </c>
      <c r="L33" s="33">
        <f>STDEV(I33:I35)</f>
        <v>1.28878025018428</v>
      </c>
      <c r="M33" s="34">
        <f>L33/SQRT(3)</f>
        <v>0.74407762437016733</v>
      </c>
    </row>
    <row r="34" spans="1:13" ht="16.2" customHeight="1" x14ac:dyDescent="0.25">
      <c r="A34" s="29"/>
      <c r="B34" s="7" t="s">
        <v>14</v>
      </c>
      <c r="C34" s="7">
        <v>30.6</v>
      </c>
      <c r="D34" s="8">
        <v>0.69699999999999995</v>
      </c>
      <c r="E34" s="7">
        <f t="shared" ref="E34:E41" si="22">D34-0.175</f>
        <v>0.52200000000000002</v>
      </c>
      <c r="F34" s="7">
        <f t="shared" ref="F34:F41" si="23">E34*10</f>
        <v>5.2200000000000006</v>
      </c>
      <c r="G34" s="7">
        <f t="shared" ref="G34:G41" si="24">F34/9.3119</f>
        <v>0.56057303020865779</v>
      </c>
      <c r="H34" s="7">
        <f t="shared" ref="H34:H41" si="25">G34*1200</f>
        <v>672.68763625038935</v>
      </c>
      <c r="I34" s="7">
        <f t="shared" si="21"/>
        <v>21.983256086614031</v>
      </c>
      <c r="J34" s="7">
        <f t="shared" ref="J34:J41" si="26">I34</f>
        <v>21.983256086614031</v>
      </c>
      <c r="K34" s="33"/>
      <c r="L34" s="33"/>
      <c r="M34" s="34"/>
    </row>
    <row r="35" spans="1:13" ht="16.2" customHeight="1" x14ac:dyDescent="0.25">
      <c r="A35" s="29"/>
      <c r="B35" s="7" t="s">
        <v>15</v>
      </c>
      <c r="C35" s="7">
        <v>31.9</v>
      </c>
      <c r="D35" s="8">
        <v>0.77700000000000002</v>
      </c>
      <c r="E35" s="7">
        <f t="shared" si="22"/>
        <v>0.60200000000000009</v>
      </c>
      <c r="F35" s="7">
        <f t="shared" si="23"/>
        <v>6.0200000000000014</v>
      </c>
      <c r="G35" s="7">
        <f t="shared" si="24"/>
        <v>0.64648460571956334</v>
      </c>
      <c r="H35" s="7">
        <f t="shared" si="25"/>
        <v>775.78152686347596</v>
      </c>
      <c r="I35" s="7">
        <f t="shared" si="21"/>
        <v>24.319170121112101</v>
      </c>
      <c r="J35" s="7">
        <f t="shared" si="26"/>
        <v>24.319170121112101</v>
      </c>
      <c r="K35" s="33"/>
      <c r="L35" s="33"/>
      <c r="M35" s="34"/>
    </row>
    <row r="36" spans="1:13" ht="16.2" customHeight="1" x14ac:dyDescent="0.25">
      <c r="A36" s="29" t="s">
        <v>16</v>
      </c>
      <c r="B36" s="7" t="s">
        <v>17</v>
      </c>
      <c r="C36" s="7">
        <v>30.1</v>
      </c>
      <c r="D36" s="8">
        <v>0.41599999999999998</v>
      </c>
      <c r="E36" s="7">
        <f t="shared" si="22"/>
        <v>0.24099999999999999</v>
      </c>
      <c r="F36" s="7">
        <f t="shared" si="23"/>
        <v>2.41</v>
      </c>
      <c r="G36" s="7">
        <f t="shared" si="24"/>
        <v>0.25880862122660253</v>
      </c>
      <c r="H36" s="7">
        <f t="shared" si="25"/>
        <v>310.57034547192302</v>
      </c>
      <c r="I36" s="7">
        <f t="shared" si="21"/>
        <v>10.317951676808073</v>
      </c>
      <c r="J36" s="7">
        <f t="shared" si="26"/>
        <v>10.317951676808073</v>
      </c>
      <c r="K36" s="33">
        <f>AVERAGE(I36:I38)</f>
        <v>6.1223532920730568</v>
      </c>
      <c r="L36" s="33">
        <f>STDEV(I36:I38)</f>
        <v>3.6415831750172525</v>
      </c>
      <c r="M36" s="34">
        <f>L36/SQRT(3)</f>
        <v>2.1024690263726229</v>
      </c>
    </row>
    <row r="37" spans="1:13" ht="16.2" customHeight="1" x14ac:dyDescent="0.25">
      <c r="A37" s="29"/>
      <c r="B37" s="7" t="s">
        <v>18</v>
      </c>
      <c r="C37" s="7">
        <v>36.799999999999997</v>
      </c>
      <c r="D37" s="8">
        <v>0.28299999999999997</v>
      </c>
      <c r="E37" s="7">
        <f t="shared" si="22"/>
        <v>0.10799999999999998</v>
      </c>
      <c r="F37" s="7">
        <f t="shared" si="23"/>
        <v>1.0799999999999998</v>
      </c>
      <c r="G37" s="7">
        <f t="shared" si="24"/>
        <v>0.11598062693972228</v>
      </c>
      <c r="H37" s="7">
        <f t="shared" si="25"/>
        <v>139.17675232766672</v>
      </c>
      <c r="I37" s="7">
        <f t="shared" si="21"/>
        <v>3.7819769654257263</v>
      </c>
      <c r="J37" s="7">
        <f t="shared" si="26"/>
        <v>3.7819769654257263</v>
      </c>
      <c r="K37" s="33"/>
      <c r="L37" s="33"/>
      <c r="M37" s="34"/>
    </row>
    <row r="38" spans="1:13" ht="16.2" customHeight="1" x14ac:dyDescent="0.25">
      <c r="A38" s="29"/>
      <c r="B38" s="7" t="s">
        <v>19</v>
      </c>
      <c r="C38" s="7">
        <v>30.2</v>
      </c>
      <c r="D38" s="8">
        <v>0.27500000000000002</v>
      </c>
      <c r="E38" s="7">
        <f t="shared" si="22"/>
        <v>0.10000000000000003</v>
      </c>
      <c r="F38" s="7">
        <f t="shared" si="23"/>
        <v>1.0000000000000004</v>
      </c>
      <c r="G38" s="7">
        <f t="shared" si="24"/>
        <v>0.10738946938863181</v>
      </c>
      <c r="H38" s="7">
        <f t="shared" si="25"/>
        <v>128.86736326635818</v>
      </c>
      <c r="I38" s="7">
        <f t="shared" si="21"/>
        <v>4.2671312339853706</v>
      </c>
      <c r="J38" s="7">
        <f t="shared" si="26"/>
        <v>4.2671312339853706</v>
      </c>
      <c r="K38" s="33"/>
      <c r="L38" s="33"/>
      <c r="M38" s="34"/>
    </row>
    <row r="39" spans="1:13" ht="16.2" customHeight="1" x14ac:dyDescent="0.25">
      <c r="A39" s="29" t="s">
        <v>20</v>
      </c>
      <c r="B39" s="7" t="s">
        <v>21</v>
      </c>
      <c r="C39" s="7">
        <v>32.9</v>
      </c>
      <c r="D39" s="8">
        <v>0.33600000000000002</v>
      </c>
      <c r="E39" s="7">
        <f t="shared" si="22"/>
        <v>0.16100000000000003</v>
      </c>
      <c r="F39" s="7">
        <f t="shared" si="23"/>
        <v>1.6100000000000003</v>
      </c>
      <c r="G39" s="7">
        <f t="shared" si="24"/>
        <v>0.17289704571569717</v>
      </c>
      <c r="H39" s="7">
        <f t="shared" si="25"/>
        <v>207.4764548588366</v>
      </c>
      <c r="I39" s="7">
        <f t="shared" si="21"/>
        <v>6.306275223672845</v>
      </c>
      <c r="J39" s="7">
        <f t="shared" si="26"/>
        <v>6.306275223672845</v>
      </c>
      <c r="K39" s="33">
        <f>AVERAGE(I39:I41)</f>
        <v>5.7842620326828333</v>
      </c>
      <c r="L39" s="33">
        <f>STDEV(I39:I41)</f>
        <v>4.3891081036221236</v>
      </c>
      <c r="M39" s="34">
        <f>L39/SQRT(3)</f>
        <v>2.534052745128601</v>
      </c>
    </row>
    <row r="40" spans="1:13" ht="16.2" customHeight="1" x14ac:dyDescent="0.25">
      <c r="A40" s="29"/>
      <c r="B40" s="7" t="s">
        <v>22</v>
      </c>
      <c r="C40" s="7">
        <v>33.4</v>
      </c>
      <c r="D40" s="8">
        <v>0.20499999999999999</v>
      </c>
      <c r="E40" s="7">
        <f t="shared" si="22"/>
        <v>0.03</v>
      </c>
      <c r="F40" s="7">
        <f t="shared" si="23"/>
        <v>0.3</v>
      </c>
      <c r="G40" s="7">
        <f t="shared" si="24"/>
        <v>3.2216840816589529E-2</v>
      </c>
      <c r="H40" s="7">
        <f t="shared" si="25"/>
        <v>38.660208979907438</v>
      </c>
      <c r="I40" s="7">
        <f t="shared" si="21"/>
        <v>1.157491286823576</v>
      </c>
      <c r="J40" s="7">
        <f t="shared" si="26"/>
        <v>1.157491286823576</v>
      </c>
      <c r="K40" s="33"/>
      <c r="L40" s="33"/>
      <c r="M40" s="34"/>
    </row>
    <row r="41" spans="1:13" ht="16.2" customHeight="1" thickBot="1" x14ac:dyDescent="0.3">
      <c r="A41" s="21"/>
      <c r="B41" s="11" t="s">
        <v>23</v>
      </c>
      <c r="C41" s="11">
        <v>37.4</v>
      </c>
      <c r="D41" s="12">
        <v>0.46200000000000002</v>
      </c>
      <c r="E41" s="11">
        <f t="shared" si="22"/>
        <v>0.28700000000000003</v>
      </c>
      <c r="F41" s="11">
        <f t="shared" si="23"/>
        <v>2.87</v>
      </c>
      <c r="G41" s="11">
        <f t="shared" si="24"/>
        <v>0.30820777714537317</v>
      </c>
      <c r="H41" s="11">
        <f t="shared" si="25"/>
        <v>369.84933257444783</v>
      </c>
      <c r="I41" s="11">
        <f t="shared" si="21"/>
        <v>9.889019587552081</v>
      </c>
      <c r="J41" s="11">
        <f t="shared" si="26"/>
        <v>9.889019587552081</v>
      </c>
      <c r="K41" s="35"/>
      <c r="L41" s="35"/>
      <c r="M41" s="36"/>
    </row>
    <row r="42" spans="1:13" ht="16.2" customHeight="1" x14ac:dyDescent="0.3">
      <c r="A42" s="17" t="s">
        <v>34</v>
      </c>
      <c r="B42" s="14"/>
      <c r="C42" s="14" t="s">
        <v>1</v>
      </c>
      <c r="D42" s="14" t="s">
        <v>35</v>
      </c>
      <c r="E42" s="14" t="s">
        <v>3</v>
      </c>
      <c r="F42" s="14" t="s">
        <v>5</v>
      </c>
      <c r="G42" s="14" t="s">
        <v>6</v>
      </c>
      <c r="H42" s="14" t="s">
        <v>7</v>
      </c>
      <c r="I42" s="14" t="s">
        <v>8</v>
      </c>
      <c r="J42" s="14" t="s">
        <v>9</v>
      </c>
      <c r="K42" s="14" t="s">
        <v>10</v>
      </c>
      <c r="L42" s="15" t="s">
        <v>11</v>
      </c>
    </row>
    <row r="43" spans="1:13" ht="16.2" customHeight="1" x14ac:dyDescent="0.25">
      <c r="A43" s="29" t="s">
        <v>12</v>
      </c>
      <c r="B43" s="7" t="s">
        <v>13</v>
      </c>
      <c r="C43" s="7">
        <v>36.5</v>
      </c>
      <c r="D43" s="18">
        <v>0.14299999999999999</v>
      </c>
      <c r="E43" s="7">
        <f>D43-0.035</f>
        <v>0.10799999999999998</v>
      </c>
      <c r="F43" s="7">
        <f>E43/3.7674</f>
        <v>2.8666985188724316E-2</v>
      </c>
      <c r="G43" s="7">
        <f>F43*1200</f>
        <v>34.400382226469176</v>
      </c>
      <c r="H43" s="7">
        <f t="shared" ref="H43:H51" si="27">G43/C43</f>
        <v>0.94247622538271714</v>
      </c>
      <c r="I43" s="7">
        <v>9.616816314710313</v>
      </c>
      <c r="J43" s="24">
        <f>AVERAGE(I43:I45)</f>
        <v>5.7599615008975711</v>
      </c>
      <c r="K43" s="24">
        <f>STDEV(I43:I45)</f>
        <v>3.3446382505033188</v>
      </c>
      <c r="L43" s="25">
        <f>K43/SQRT(3)</f>
        <v>1.9310277942700103</v>
      </c>
    </row>
    <row r="44" spans="1:13" ht="16.2" customHeight="1" x14ac:dyDescent="0.25">
      <c r="A44" s="29"/>
      <c r="B44" s="7" t="s">
        <v>14</v>
      </c>
      <c r="C44" s="7">
        <v>30.6</v>
      </c>
      <c r="D44" s="18">
        <v>0.152</v>
      </c>
      <c r="E44" s="7">
        <f t="shared" ref="E44:E51" si="28">D44-0.035</f>
        <v>0.11699999999999999</v>
      </c>
      <c r="F44" s="7">
        <f t="shared" ref="F44:F51" si="29">E44/3.7674</f>
        <v>3.1055900621118012E-2</v>
      </c>
      <c r="G44" s="7">
        <f t="shared" ref="G44:G51" si="30">F44*1200</f>
        <v>37.267080745341616</v>
      </c>
      <c r="H44" s="7">
        <f t="shared" si="27"/>
        <v>1.2178784557301181</v>
      </c>
      <c r="I44" s="7">
        <v>3.6580168452606521</v>
      </c>
      <c r="J44" s="24"/>
      <c r="K44" s="24"/>
      <c r="L44" s="25"/>
    </row>
    <row r="45" spans="1:13" ht="16.2" customHeight="1" x14ac:dyDescent="0.25">
      <c r="A45" s="29"/>
      <c r="B45" s="7" t="s">
        <v>15</v>
      </c>
      <c r="C45" s="7">
        <v>31.9</v>
      </c>
      <c r="D45" s="18">
        <v>0.11700000000000001</v>
      </c>
      <c r="E45" s="7">
        <f t="shared" si="28"/>
        <v>8.2000000000000003E-2</v>
      </c>
      <c r="F45" s="7">
        <f t="shared" si="29"/>
        <v>2.1765673939586984E-2</v>
      </c>
      <c r="G45" s="7">
        <f t="shared" si="30"/>
        <v>26.11880872750438</v>
      </c>
      <c r="H45" s="7">
        <f t="shared" si="27"/>
        <v>0.81877143346408721</v>
      </c>
      <c r="I45" s="7">
        <v>4.0050513427217469</v>
      </c>
      <c r="J45" s="24"/>
      <c r="K45" s="24"/>
      <c r="L45" s="25"/>
    </row>
    <row r="46" spans="1:13" ht="16.2" customHeight="1" x14ac:dyDescent="0.25">
      <c r="A46" s="29" t="s">
        <v>16</v>
      </c>
      <c r="B46" s="7" t="s">
        <v>17</v>
      </c>
      <c r="C46" s="7">
        <v>30.1</v>
      </c>
      <c r="D46" s="18">
        <v>0.123</v>
      </c>
      <c r="E46" s="7">
        <f t="shared" si="28"/>
        <v>8.7999999999999995E-2</v>
      </c>
      <c r="F46" s="7">
        <f t="shared" si="29"/>
        <v>2.3358284227849444E-2</v>
      </c>
      <c r="G46" s="7">
        <f t="shared" si="30"/>
        <v>28.029941073419334</v>
      </c>
      <c r="H46" s="7">
        <f t="shared" si="27"/>
        <v>0.93122727818668882</v>
      </c>
      <c r="I46" s="7">
        <v>3.2674585633034208</v>
      </c>
      <c r="J46" s="24">
        <f>AVERAGE(I46:I48)</f>
        <v>4.8544950518450838</v>
      </c>
      <c r="K46" s="24">
        <f>STDEV(I46:I48)</f>
        <v>2.6001976529693405</v>
      </c>
      <c r="L46" s="25">
        <f>K46/SQRT(3)</f>
        <v>1.501224814888082</v>
      </c>
    </row>
    <row r="47" spans="1:13" ht="16.2" customHeight="1" x14ac:dyDescent="0.25">
      <c r="A47" s="29"/>
      <c r="B47" s="7" t="s">
        <v>18</v>
      </c>
      <c r="C47" s="7">
        <v>36.799999999999997</v>
      </c>
      <c r="D47" s="18">
        <v>0.123</v>
      </c>
      <c r="E47" s="7">
        <f t="shared" si="28"/>
        <v>8.7999999999999995E-2</v>
      </c>
      <c r="F47" s="7">
        <f t="shared" si="29"/>
        <v>2.3358284227849444E-2</v>
      </c>
      <c r="G47" s="7">
        <f t="shared" si="30"/>
        <v>28.029941073419334</v>
      </c>
      <c r="H47" s="7">
        <f t="shared" si="27"/>
        <v>0.76168318134291668</v>
      </c>
      <c r="I47" s="7">
        <v>3.4407493285453663</v>
      </c>
      <c r="J47" s="24"/>
      <c r="K47" s="24"/>
      <c r="L47" s="25"/>
    </row>
    <row r="48" spans="1:13" ht="16.2" customHeight="1" x14ac:dyDescent="0.25">
      <c r="A48" s="29"/>
      <c r="B48" s="7" t="s">
        <v>19</v>
      </c>
      <c r="C48" s="7">
        <v>30.2</v>
      </c>
      <c r="D48" s="18">
        <v>0.111</v>
      </c>
      <c r="E48" s="7">
        <f t="shared" si="28"/>
        <v>7.5999999999999998E-2</v>
      </c>
      <c r="F48" s="7">
        <f t="shared" si="29"/>
        <v>2.017306365132452E-2</v>
      </c>
      <c r="G48" s="7">
        <f t="shared" si="30"/>
        <v>24.207676381589422</v>
      </c>
      <c r="H48" s="7">
        <f t="shared" si="27"/>
        <v>0.80157868813210009</v>
      </c>
      <c r="I48" s="7">
        <v>7.8552772636864638</v>
      </c>
      <c r="J48" s="24"/>
      <c r="K48" s="24"/>
      <c r="L48" s="25"/>
    </row>
    <row r="49" spans="1:13" ht="16.2" customHeight="1" x14ac:dyDescent="0.25">
      <c r="A49" s="29" t="s">
        <v>20</v>
      </c>
      <c r="B49" s="7" t="s">
        <v>21</v>
      </c>
      <c r="C49" s="7">
        <v>32.9</v>
      </c>
      <c r="D49" s="18">
        <v>0.104</v>
      </c>
      <c r="E49" s="7">
        <f t="shared" si="28"/>
        <v>6.8999999999999992E-2</v>
      </c>
      <c r="F49" s="7">
        <f t="shared" si="29"/>
        <v>1.8315018315018312E-2</v>
      </c>
      <c r="G49" s="7">
        <f t="shared" si="30"/>
        <v>21.978021978021975</v>
      </c>
      <c r="H49" s="7">
        <f t="shared" si="27"/>
        <v>0.66802498413440659</v>
      </c>
      <c r="I49" s="7">
        <v>10.383351511223747</v>
      </c>
      <c r="J49" s="24">
        <f>AVERAGE(I49:I51)</f>
        <v>7.954197334219848</v>
      </c>
      <c r="K49" s="24">
        <f>STDEV(I49:I51)</f>
        <v>4.1225348830344428</v>
      </c>
      <c r="L49" s="25">
        <f>K49/SQRT(3)</f>
        <v>2.3801466244635581</v>
      </c>
    </row>
    <row r="50" spans="1:13" ht="16.2" customHeight="1" x14ac:dyDescent="0.25">
      <c r="A50" s="29"/>
      <c r="B50" s="7" t="s">
        <v>22</v>
      </c>
      <c r="C50" s="7">
        <v>33.4</v>
      </c>
      <c r="D50" s="18">
        <v>0.106</v>
      </c>
      <c r="E50" s="7">
        <f t="shared" si="28"/>
        <v>7.0999999999999994E-2</v>
      </c>
      <c r="F50" s="7">
        <f t="shared" si="29"/>
        <v>1.88458884111058E-2</v>
      </c>
      <c r="G50" s="7">
        <f t="shared" si="30"/>
        <v>22.615066093326959</v>
      </c>
      <c r="H50" s="7">
        <f t="shared" si="27"/>
        <v>0.67709778722535807</v>
      </c>
      <c r="I50" s="7">
        <v>3.1942427834306777</v>
      </c>
      <c r="J50" s="24"/>
      <c r="K50" s="24"/>
      <c r="L50" s="25"/>
    </row>
    <row r="51" spans="1:13" ht="16.2" customHeight="1" thickBot="1" x14ac:dyDescent="0.3">
      <c r="A51" s="21"/>
      <c r="B51" s="11" t="s">
        <v>23</v>
      </c>
      <c r="C51" s="11">
        <v>37.4</v>
      </c>
      <c r="D51" s="19">
        <v>0.10299999999999999</v>
      </c>
      <c r="E51" s="11">
        <f t="shared" si="28"/>
        <v>6.7999999999999991E-2</v>
      </c>
      <c r="F51" s="11">
        <f t="shared" si="29"/>
        <v>1.8049583266974568E-2</v>
      </c>
      <c r="G51" s="11">
        <f t="shared" si="30"/>
        <v>21.65949992036948</v>
      </c>
      <c r="H51" s="11">
        <f t="shared" si="27"/>
        <v>0.57913101391362254</v>
      </c>
      <c r="I51" s="11">
        <v>10.284997708005118</v>
      </c>
      <c r="J51" s="31"/>
      <c r="K51" s="31"/>
      <c r="L51" s="32"/>
    </row>
    <row r="52" spans="1:13" ht="16.2" customHeight="1" x14ac:dyDescent="0.3">
      <c r="A52" s="17" t="s">
        <v>36</v>
      </c>
      <c r="B52" s="14"/>
      <c r="C52" s="14" t="s">
        <v>1</v>
      </c>
      <c r="D52" s="14" t="s">
        <v>37</v>
      </c>
      <c r="E52" s="14" t="s">
        <v>3</v>
      </c>
      <c r="F52" s="14" t="s">
        <v>38</v>
      </c>
      <c r="G52" s="14" t="s">
        <v>39</v>
      </c>
      <c r="H52" s="14" t="s">
        <v>40</v>
      </c>
      <c r="I52" s="14" t="s">
        <v>41</v>
      </c>
      <c r="J52" s="14" t="s">
        <v>42</v>
      </c>
      <c r="K52" s="14" t="s">
        <v>9</v>
      </c>
      <c r="L52" s="14" t="s">
        <v>10</v>
      </c>
      <c r="M52" s="15" t="s">
        <v>11</v>
      </c>
    </row>
    <row r="53" spans="1:13" ht="16.2" customHeight="1" x14ac:dyDescent="0.25">
      <c r="A53" s="29" t="s">
        <v>12</v>
      </c>
      <c r="B53" s="7" t="s">
        <v>13</v>
      </c>
      <c r="C53" s="7">
        <v>36.5</v>
      </c>
      <c r="D53" s="18">
        <v>3.9E-2</v>
      </c>
      <c r="E53" s="18">
        <v>3.6999999999999998E-2</v>
      </c>
      <c r="F53" s="18">
        <v>0.61</v>
      </c>
      <c r="G53" s="7">
        <f>(13.23*D53)-(5.19*E53)</f>
        <v>0.32394000000000001</v>
      </c>
      <c r="H53" s="7">
        <f>G53*2</f>
        <v>0.64788000000000001</v>
      </c>
      <c r="I53" s="7">
        <f>H53*1.2</f>
        <v>0.77745600000000004</v>
      </c>
      <c r="J53" s="7">
        <f>I53/C53</f>
        <v>2.1300164383561644E-2</v>
      </c>
      <c r="K53" s="24">
        <f>AVERAGE(J53:J55)</f>
        <v>2.3482765471267736E-2</v>
      </c>
      <c r="L53" s="24">
        <f>STDEV(J53:J55)</f>
        <v>1.9009940142618871E-3</v>
      </c>
      <c r="M53" s="25">
        <f>L53/SQRT(3)</f>
        <v>1.0975394058619678E-3</v>
      </c>
    </row>
    <row r="54" spans="1:13" ht="16.2" customHeight="1" x14ac:dyDescent="0.25">
      <c r="A54" s="29"/>
      <c r="B54" s="7" t="s">
        <v>14</v>
      </c>
      <c r="C54" s="7">
        <v>30.6</v>
      </c>
      <c r="D54" s="18">
        <v>3.7999999999999999E-2</v>
      </c>
      <c r="E54" s="18">
        <v>3.5999999999999997E-2</v>
      </c>
      <c r="F54" s="18">
        <v>0.59</v>
      </c>
      <c r="G54" s="7">
        <f t="shared" ref="G54:G61" si="31">(13.23*D54)-(5.19*E54)</f>
        <v>0.31589999999999996</v>
      </c>
      <c r="H54" s="7">
        <f t="shared" ref="H54:H61" si="32">G54*2</f>
        <v>0.63179999999999992</v>
      </c>
      <c r="I54" s="7">
        <f t="shared" ref="I54:I61" si="33">H54*1.2</f>
        <v>0.75815999999999983</v>
      </c>
      <c r="J54" s="7">
        <f t="shared" ref="J54:J61" si="34">I54/C54</f>
        <v>2.4776470588235289E-2</v>
      </c>
      <c r="K54" s="24"/>
      <c r="L54" s="24"/>
      <c r="M54" s="25"/>
    </row>
    <row r="55" spans="1:13" ht="16.2" customHeight="1" x14ac:dyDescent="0.25">
      <c r="A55" s="29"/>
      <c r="B55" s="7" t="s">
        <v>15</v>
      </c>
      <c r="C55" s="7">
        <v>31.9</v>
      </c>
      <c r="D55" s="18">
        <v>3.9E-2</v>
      </c>
      <c r="E55" s="18">
        <v>3.6999999999999998E-2</v>
      </c>
      <c r="F55" s="18">
        <v>0.61</v>
      </c>
      <c r="G55" s="7">
        <f t="shared" si="31"/>
        <v>0.32394000000000001</v>
      </c>
      <c r="H55" s="7">
        <f t="shared" si="32"/>
        <v>0.64788000000000001</v>
      </c>
      <c r="I55" s="7">
        <f t="shared" si="33"/>
        <v>0.77745600000000004</v>
      </c>
      <c r="J55" s="7">
        <f t="shared" si="34"/>
        <v>2.4371661442006271E-2</v>
      </c>
      <c r="K55" s="24"/>
      <c r="L55" s="24"/>
      <c r="M55" s="25"/>
    </row>
    <row r="56" spans="1:13" ht="16.2" customHeight="1" x14ac:dyDescent="0.25">
      <c r="A56" s="29" t="s">
        <v>16</v>
      </c>
      <c r="B56" s="7" t="s">
        <v>17</v>
      </c>
      <c r="C56" s="7">
        <v>30.1</v>
      </c>
      <c r="D56" s="18">
        <v>4.1000000000000002E-2</v>
      </c>
      <c r="E56" s="18">
        <v>0.04</v>
      </c>
      <c r="F56" s="18">
        <v>0.54</v>
      </c>
      <c r="G56" s="7">
        <f t="shared" si="31"/>
        <v>0.33483000000000007</v>
      </c>
      <c r="H56" s="7">
        <f t="shared" si="32"/>
        <v>0.66966000000000014</v>
      </c>
      <c r="I56" s="7">
        <f t="shared" si="33"/>
        <v>0.8035920000000002</v>
      </c>
      <c r="J56" s="7">
        <f t="shared" si="34"/>
        <v>2.669740863787376E-2</v>
      </c>
      <c r="K56" s="24">
        <f>AVERAGE(J56:J58)</f>
        <v>2.2570118072687929E-2</v>
      </c>
      <c r="L56" s="24">
        <f>STDEV(J56:J58)</f>
        <v>3.9284393829667925E-3</v>
      </c>
      <c r="M56" s="25">
        <f>L56/SQRT(3)</f>
        <v>2.268085535251005E-3</v>
      </c>
    </row>
    <row r="57" spans="1:13" ht="16.2" customHeight="1" x14ac:dyDescent="0.25">
      <c r="A57" s="29"/>
      <c r="B57" s="7" t="s">
        <v>18</v>
      </c>
      <c r="C57" s="7">
        <v>36.799999999999997</v>
      </c>
      <c r="D57" s="18">
        <v>3.5999999999999997E-2</v>
      </c>
      <c r="E57" s="18">
        <v>3.5999999999999997E-2</v>
      </c>
      <c r="F57" s="18">
        <v>0.48</v>
      </c>
      <c r="G57" s="7">
        <f t="shared" si="31"/>
        <v>0.28943999999999998</v>
      </c>
      <c r="H57" s="7">
        <f t="shared" si="32"/>
        <v>0.57887999999999995</v>
      </c>
      <c r="I57" s="7">
        <f t="shared" si="33"/>
        <v>0.69465599999999994</v>
      </c>
      <c r="J57" s="7">
        <f t="shared" si="34"/>
        <v>1.8876521739130434E-2</v>
      </c>
      <c r="K57" s="24"/>
      <c r="L57" s="24"/>
      <c r="M57" s="25"/>
    </row>
    <row r="58" spans="1:13" ht="16.2" customHeight="1" x14ac:dyDescent="0.25">
      <c r="A58" s="29"/>
      <c r="B58" s="7" t="s">
        <v>19</v>
      </c>
      <c r="C58" s="7">
        <v>30.2</v>
      </c>
      <c r="D58" s="18">
        <v>3.4000000000000002E-2</v>
      </c>
      <c r="E58" s="18">
        <v>3.3000000000000002E-2</v>
      </c>
      <c r="F58" s="18">
        <v>0.43</v>
      </c>
      <c r="G58" s="7">
        <f t="shared" si="31"/>
        <v>0.27855000000000002</v>
      </c>
      <c r="H58" s="7">
        <f t="shared" si="32"/>
        <v>0.55710000000000004</v>
      </c>
      <c r="I58" s="7">
        <f t="shared" si="33"/>
        <v>0.66852</v>
      </c>
      <c r="J58" s="7">
        <f t="shared" si="34"/>
        <v>2.2136423841059603E-2</v>
      </c>
      <c r="K58" s="24"/>
      <c r="L58" s="24"/>
      <c r="M58" s="25"/>
    </row>
    <row r="59" spans="1:13" ht="16.2" customHeight="1" x14ac:dyDescent="0.25">
      <c r="A59" s="29" t="s">
        <v>20</v>
      </c>
      <c r="B59" s="7" t="s">
        <v>21</v>
      </c>
      <c r="C59" s="7">
        <v>32.9</v>
      </c>
      <c r="D59" s="18">
        <v>3.4000000000000002E-2</v>
      </c>
      <c r="E59" s="18">
        <v>3.4000000000000002E-2</v>
      </c>
      <c r="F59" s="18">
        <v>0.49</v>
      </c>
      <c r="G59" s="7">
        <f t="shared" si="31"/>
        <v>0.27336000000000005</v>
      </c>
      <c r="H59" s="7">
        <f t="shared" si="32"/>
        <v>0.54672000000000009</v>
      </c>
      <c r="I59" s="7">
        <f t="shared" si="33"/>
        <v>0.65606400000000009</v>
      </c>
      <c r="J59" s="7">
        <f t="shared" si="34"/>
        <v>1.9941155015197571E-2</v>
      </c>
      <c r="K59" s="24">
        <f>AVERAGE(J59:J61)</f>
        <v>1.8525933480307885E-2</v>
      </c>
      <c r="L59" s="24">
        <f>STDEV(J59:J61)</f>
        <v>2.197783731955508E-3</v>
      </c>
      <c r="M59" s="25">
        <f>L59/SQRT(3)</f>
        <v>1.2688910292650928E-3</v>
      </c>
    </row>
    <row r="60" spans="1:13" ht="16.2" customHeight="1" x14ac:dyDescent="0.25">
      <c r="A60" s="29"/>
      <c r="B60" s="7" t="s">
        <v>22</v>
      </c>
      <c r="C60" s="7">
        <v>33.4</v>
      </c>
      <c r="D60" s="18">
        <v>3.4000000000000002E-2</v>
      </c>
      <c r="E60" s="18">
        <v>3.4000000000000002E-2</v>
      </c>
      <c r="F60" s="18">
        <v>0.51</v>
      </c>
      <c r="G60" s="7">
        <f t="shared" si="31"/>
        <v>0.27336000000000005</v>
      </c>
      <c r="H60" s="7">
        <f t="shared" si="32"/>
        <v>0.54672000000000009</v>
      </c>
      <c r="I60" s="7">
        <f t="shared" si="33"/>
        <v>0.65606400000000009</v>
      </c>
      <c r="J60" s="7">
        <f t="shared" si="34"/>
        <v>1.9642634730538927E-2</v>
      </c>
      <c r="K60" s="24"/>
      <c r="L60" s="24"/>
      <c r="M60" s="25"/>
    </row>
    <row r="61" spans="1:13" ht="16.2" customHeight="1" thickBot="1" x14ac:dyDescent="0.3">
      <c r="A61" s="21"/>
      <c r="B61" s="11" t="s">
        <v>23</v>
      </c>
      <c r="C61" s="11">
        <v>37.4</v>
      </c>
      <c r="D61" s="19">
        <v>3.1E-2</v>
      </c>
      <c r="E61" s="19">
        <v>3.1E-2</v>
      </c>
      <c r="F61" s="19">
        <v>0.32</v>
      </c>
      <c r="G61" s="11">
        <f t="shared" si="31"/>
        <v>0.24923999999999999</v>
      </c>
      <c r="H61" s="11">
        <f t="shared" si="32"/>
        <v>0.49847999999999998</v>
      </c>
      <c r="I61" s="11">
        <f t="shared" si="33"/>
        <v>0.59817599999999993</v>
      </c>
      <c r="J61" s="11">
        <f t="shared" si="34"/>
        <v>1.5994010695187164E-2</v>
      </c>
      <c r="K61" s="31"/>
      <c r="L61" s="31"/>
      <c r="M61" s="32"/>
    </row>
    <row r="62" spans="1:13" ht="16.2" customHeight="1" x14ac:dyDescent="0.3">
      <c r="A62" s="17" t="s">
        <v>43</v>
      </c>
      <c r="B62" s="14"/>
      <c r="C62" s="14" t="s">
        <v>1</v>
      </c>
      <c r="D62" s="14" t="s">
        <v>37</v>
      </c>
      <c r="E62" s="14" t="s">
        <v>44</v>
      </c>
      <c r="F62" s="14" t="s">
        <v>38</v>
      </c>
      <c r="G62" s="14" t="s">
        <v>45</v>
      </c>
      <c r="H62" s="14" t="s">
        <v>40</v>
      </c>
      <c r="I62" s="14" t="s">
        <v>41</v>
      </c>
      <c r="J62" s="14" t="s">
        <v>42</v>
      </c>
      <c r="K62" s="14" t="s">
        <v>9</v>
      </c>
      <c r="L62" s="14" t="s">
        <v>10</v>
      </c>
      <c r="M62" s="15" t="s">
        <v>11</v>
      </c>
    </row>
    <row r="63" spans="1:13" ht="16.2" customHeight="1" x14ac:dyDescent="0.25">
      <c r="A63" s="29" t="s">
        <v>12</v>
      </c>
      <c r="B63" s="7" t="s">
        <v>13</v>
      </c>
      <c r="C63" s="7">
        <v>36.5</v>
      </c>
      <c r="D63" s="7">
        <v>3.9E-2</v>
      </c>
      <c r="E63" s="7">
        <v>3.6999999999999998E-2</v>
      </c>
      <c r="F63" s="7">
        <v>6.0999999999999999E-2</v>
      </c>
      <c r="G63" s="7">
        <f t="shared" ref="G63:G71" si="35">(27.43*E53)-(8.12*D53)</f>
        <v>0.69823000000000002</v>
      </c>
      <c r="H63" s="7">
        <f>G63*2</f>
        <v>1.39646</v>
      </c>
      <c r="I63" s="7">
        <f>H63*1.2</f>
        <v>1.6757519999999999</v>
      </c>
      <c r="J63" s="7">
        <f>I63/C63</f>
        <v>4.5911013698630133E-2</v>
      </c>
      <c r="K63" s="24">
        <f>AVERAGE(J63:J65)</f>
        <v>5.0563683935972575E-2</v>
      </c>
      <c r="L63" s="24">
        <f>STDEV(J63:J65)</f>
        <v>4.0452571284174564E-3</v>
      </c>
      <c r="M63" s="25">
        <f>L63/SQRT(3)</f>
        <v>2.3355302920330711E-3</v>
      </c>
    </row>
    <row r="64" spans="1:13" ht="16.2" customHeight="1" x14ac:dyDescent="0.25">
      <c r="A64" s="29"/>
      <c r="B64" s="7" t="s">
        <v>14</v>
      </c>
      <c r="C64" s="7">
        <v>30.6</v>
      </c>
      <c r="D64" s="7">
        <v>3.7999999999999999E-2</v>
      </c>
      <c r="E64" s="7">
        <v>3.5999999999999997E-2</v>
      </c>
      <c r="F64" s="7">
        <v>5.8999999999999997E-2</v>
      </c>
      <c r="G64" s="7">
        <f t="shared" si="35"/>
        <v>0.67891999999999997</v>
      </c>
      <c r="H64" s="7">
        <f t="shared" ref="H64:H71" si="36">G64*2</f>
        <v>1.3578399999999999</v>
      </c>
      <c r="I64" s="7">
        <f t="shared" ref="I64:I71" si="37">H64*1.2</f>
        <v>1.629408</v>
      </c>
      <c r="J64" s="7">
        <f t="shared" ref="J64:J71" si="38">I64/C64</f>
        <v>5.3248627450980392E-2</v>
      </c>
      <c r="K64" s="24"/>
      <c r="L64" s="24"/>
      <c r="M64" s="25"/>
    </row>
    <row r="65" spans="1:13" ht="16.2" customHeight="1" x14ac:dyDescent="0.25">
      <c r="A65" s="29"/>
      <c r="B65" s="7" t="s">
        <v>15</v>
      </c>
      <c r="C65" s="7">
        <v>31.9</v>
      </c>
      <c r="D65" s="7">
        <v>3.9E-2</v>
      </c>
      <c r="E65" s="7">
        <v>3.6999999999999998E-2</v>
      </c>
      <c r="F65" s="7">
        <v>6.0999999999999999E-2</v>
      </c>
      <c r="G65" s="7">
        <f t="shared" si="35"/>
        <v>0.69823000000000002</v>
      </c>
      <c r="H65" s="7">
        <f t="shared" si="36"/>
        <v>1.39646</v>
      </c>
      <c r="I65" s="7">
        <f t="shared" si="37"/>
        <v>1.6757519999999999</v>
      </c>
      <c r="J65" s="7">
        <f t="shared" si="38"/>
        <v>5.2531410658307208E-2</v>
      </c>
      <c r="K65" s="24"/>
      <c r="L65" s="24"/>
      <c r="M65" s="25"/>
    </row>
    <row r="66" spans="1:13" ht="16.2" customHeight="1" x14ac:dyDescent="0.25">
      <c r="A66" s="29" t="s">
        <v>16</v>
      </c>
      <c r="B66" s="7" t="s">
        <v>17</v>
      </c>
      <c r="C66" s="7">
        <v>30.1</v>
      </c>
      <c r="D66" s="7">
        <v>4.1000000000000002E-2</v>
      </c>
      <c r="E66" s="7">
        <v>0.04</v>
      </c>
      <c r="F66" s="7">
        <v>5.3999999999999999E-2</v>
      </c>
      <c r="G66" s="7">
        <f t="shared" si="35"/>
        <v>0.76427999999999996</v>
      </c>
      <c r="H66" s="7">
        <f t="shared" si="36"/>
        <v>1.5285599999999999</v>
      </c>
      <c r="I66" s="7">
        <f t="shared" si="37"/>
        <v>1.8342719999999999</v>
      </c>
      <c r="J66" s="7">
        <f t="shared" si="38"/>
        <v>6.093926910299003E-2</v>
      </c>
      <c r="K66" s="24">
        <f>AVERAGE(J66:J68)</f>
        <v>5.2090429176954063E-2</v>
      </c>
      <c r="L66" s="24">
        <f>STDEV(J66:J68)</f>
        <v>8.0095560378045886E-3</v>
      </c>
      <c r="M66" s="25">
        <f>L66/SQRT(3)</f>
        <v>4.6243193345158716E-3</v>
      </c>
    </row>
    <row r="67" spans="1:13" ht="16.2" customHeight="1" x14ac:dyDescent="0.25">
      <c r="A67" s="29"/>
      <c r="B67" s="7" t="s">
        <v>18</v>
      </c>
      <c r="C67" s="7">
        <v>36.799999999999997</v>
      </c>
      <c r="D67" s="7">
        <v>3.5999999999999997E-2</v>
      </c>
      <c r="E67" s="7">
        <v>3.5999999999999997E-2</v>
      </c>
      <c r="F67" s="7">
        <v>4.8000000000000001E-2</v>
      </c>
      <c r="G67" s="7">
        <f t="shared" si="35"/>
        <v>0.69516</v>
      </c>
      <c r="H67" s="7">
        <f t="shared" si="36"/>
        <v>1.39032</v>
      </c>
      <c r="I67" s="7">
        <f t="shared" si="37"/>
        <v>1.6683839999999999</v>
      </c>
      <c r="J67" s="7">
        <f t="shared" si="38"/>
        <v>4.5336521739130435E-2</v>
      </c>
      <c r="K67" s="24"/>
      <c r="L67" s="24"/>
      <c r="M67" s="25"/>
    </row>
    <row r="68" spans="1:13" ht="16.2" customHeight="1" x14ac:dyDescent="0.25">
      <c r="A68" s="29"/>
      <c r="B68" s="7" t="s">
        <v>19</v>
      </c>
      <c r="C68" s="7">
        <v>30.2</v>
      </c>
      <c r="D68" s="7">
        <v>3.4000000000000002E-2</v>
      </c>
      <c r="E68" s="7">
        <v>3.3000000000000002E-2</v>
      </c>
      <c r="F68" s="7">
        <v>4.2999999999999997E-2</v>
      </c>
      <c r="G68" s="7">
        <f t="shared" si="35"/>
        <v>0.62911000000000006</v>
      </c>
      <c r="H68" s="7">
        <f t="shared" si="36"/>
        <v>1.2582200000000001</v>
      </c>
      <c r="I68" s="7">
        <f t="shared" si="37"/>
        <v>1.5098640000000001</v>
      </c>
      <c r="J68" s="7">
        <f t="shared" si="38"/>
        <v>4.9995496688741724E-2</v>
      </c>
      <c r="K68" s="24"/>
      <c r="L68" s="24"/>
      <c r="M68" s="25"/>
    </row>
    <row r="69" spans="1:13" ht="16.2" customHeight="1" x14ac:dyDescent="0.25">
      <c r="A69" s="29" t="s">
        <v>20</v>
      </c>
      <c r="B69" s="7" t="s">
        <v>21</v>
      </c>
      <c r="C69" s="7">
        <v>32.9</v>
      </c>
      <c r="D69" s="7">
        <v>3.4000000000000002E-2</v>
      </c>
      <c r="E69" s="7">
        <v>3.4000000000000002E-2</v>
      </c>
      <c r="F69" s="7">
        <v>4.9000000000000002E-2</v>
      </c>
      <c r="G69" s="7">
        <f t="shared" si="35"/>
        <v>0.65654000000000001</v>
      </c>
      <c r="H69" s="7">
        <f t="shared" si="36"/>
        <v>1.31308</v>
      </c>
      <c r="I69" s="7">
        <f t="shared" si="37"/>
        <v>1.575696</v>
      </c>
      <c r="J69" s="7">
        <f t="shared" si="38"/>
        <v>4.7893495440729482E-2</v>
      </c>
      <c r="K69" s="24">
        <f>AVERAGE(J69:J71)</f>
        <v>4.4494499440888714E-2</v>
      </c>
      <c r="L69" s="24">
        <f>STDEV(J69:J71)</f>
        <v>5.2785079432911405E-3</v>
      </c>
      <c r="M69" s="25">
        <f>L69/SQRT(3)</f>
        <v>3.0475479819787178E-3</v>
      </c>
    </row>
    <row r="70" spans="1:13" ht="16.2" customHeight="1" x14ac:dyDescent="0.25">
      <c r="A70" s="29"/>
      <c r="B70" s="7" t="s">
        <v>22</v>
      </c>
      <c r="C70" s="7">
        <v>33.4</v>
      </c>
      <c r="D70" s="7">
        <v>3.4000000000000002E-2</v>
      </c>
      <c r="E70" s="7">
        <v>3.4000000000000002E-2</v>
      </c>
      <c r="F70" s="7">
        <v>5.0999999999999997E-2</v>
      </c>
      <c r="G70" s="7">
        <f t="shared" si="35"/>
        <v>0.65654000000000001</v>
      </c>
      <c r="H70" s="7">
        <f t="shared" si="36"/>
        <v>1.31308</v>
      </c>
      <c r="I70" s="7">
        <f t="shared" si="37"/>
        <v>1.575696</v>
      </c>
      <c r="J70" s="7">
        <f t="shared" si="38"/>
        <v>4.7176526946107786E-2</v>
      </c>
      <c r="K70" s="24"/>
      <c r="L70" s="24"/>
      <c r="M70" s="25"/>
    </row>
    <row r="71" spans="1:13" ht="16.2" customHeight="1" thickBot="1" x14ac:dyDescent="0.3">
      <c r="A71" s="30"/>
      <c r="B71" s="16" t="s">
        <v>23</v>
      </c>
      <c r="C71" s="16">
        <v>37.4</v>
      </c>
      <c r="D71" s="16">
        <v>3.1E-2</v>
      </c>
      <c r="E71" s="16">
        <v>3.1E-2</v>
      </c>
      <c r="F71" s="16">
        <v>3.2000000000000001E-2</v>
      </c>
      <c r="G71" s="16">
        <f t="shared" si="35"/>
        <v>0.59861000000000009</v>
      </c>
      <c r="H71" s="16">
        <f t="shared" si="36"/>
        <v>1.1972200000000002</v>
      </c>
      <c r="I71" s="16">
        <f t="shared" si="37"/>
        <v>1.4366640000000002</v>
      </c>
      <c r="J71" s="16">
        <f t="shared" si="38"/>
        <v>3.8413475935828882E-2</v>
      </c>
      <c r="K71" s="27"/>
      <c r="L71" s="27"/>
      <c r="M71" s="28"/>
    </row>
    <row r="72" spans="1:13" ht="16.2" customHeight="1" x14ac:dyDescent="0.3">
      <c r="A72" s="17" t="s">
        <v>46</v>
      </c>
      <c r="B72" s="14"/>
      <c r="C72" s="14" t="s">
        <v>1</v>
      </c>
      <c r="D72" s="14" t="s">
        <v>37</v>
      </c>
      <c r="E72" s="14" t="s">
        <v>44</v>
      </c>
      <c r="F72" s="14" t="s">
        <v>38</v>
      </c>
      <c r="G72" s="14" t="s">
        <v>47</v>
      </c>
      <c r="H72" s="14" t="s">
        <v>40</v>
      </c>
      <c r="I72" s="14" t="s">
        <v>41</v>
      </c>
      <c r="J72" s="14" t="s">
        <v>42</v>
      </c>
      <c r="K72" s="14" t="s">
        <v>9</v>
      </c>
      <c r="L72" s="14" t="s">
        <v>10</v>
      </c>
      <c r="M72" s="15" t="s">
        <v>11</v>
      </c>
    </row>
    <row r="73" spans="1:13" ht="16.2" customHeight="1" x14ac:dyDescent="0.25">
      <c r="A73" s="21" t="s">
        <v>12</v>
      </c>
      <c r="B73" s="7" t="s">
        <v>13</v>
      </c>
      <c r="C73" s="7">
        <v>36.5</v>
      </c>
      <c r="D73" s="7">
        <v>3.9E-2</v>
      </c>
      <c r="E73" s="7">
        <v>3.6999999999999998E-2</v>
      </c>
      <c r="F73" s="7">
        <v>6.0999999999999999E-2</v>
      </c>
      <c r="G73" s="7">
        <v>2.5891952770334927</v>
      </c>
      <c r="H73" s="7">
        <v>5.1783905540669855</v>
      </c>
      <c r="I73" s="7">
        <v>6.214068664880382</v>
      </c>
      <c r="J73" s="7">
        <v>0.17024845657206525</v>
      </c>
      <c r="K73" s="24">
        <f>AVERAGE(J73:J75)</f>
        <v>0.18710983016514948</v>
      </c>
      <c r="L73" s="24">
        <f>STDEV(J73:J75)</f>
        <v>1.4621223987762591E-2</v>
      </c>
      <c r="M73" s="25">
        <f>L73/SQRT(3)</f>
        <v>8.4415676052165458E-3</v>
      </c>
    </row>
    <row r="74" spans="1:13" ht="16.2" customHeight="1" x14ac:dyDescent="0.25">
      <c r="A74" s="22"/>
      <c r="B74" s="7" t="s">
        <v>14</v>
      </c>
      <c r="C74" s="7">
        <v>30.6</v>
      </c>
      <c r="D74" s="7">
        <v>3.7999999999999999E-2</v>
      </c>
      <c r="E74" s="7">
        <v>3.5999999999999997E-2</v>
      </c>
      <c r="F74" s="7">
        <v>5.8999999999999997E-2</v>
      </c>
      <c r="G74" s="7">
        <f t="shared" ref="G74:G81" si="39">((1000*F54)-(2.13*G54)-(97.63*G64))/209</f>
        <v>2.5026037004784687</v>
      </c>
      <c r="H74" s="7">
        <f t="shared" ref="H74:H81" si="40">G74*2</f>
        <v>5.0052074009569374</v>
      </c>
      <c r="I74" s="7">
        <f t="shared" ref="I74:I81" si="41">H74*1.2</f>
        <v>6.0062488811483243</v>
      </c>
      <c r="J74" s="7">
        <f t="shared" ref="J74:J81" si="42">I74/C74</f>
        <v>0.19628264317478183</v>
      </c>
      <c r="K74" s="24"/>
      <c r="L74" s="24"/>
      <c r="M74" s="25"/>
    </row>
    <row r="75" spans="1:13" ht="16.2" customHeight="1" x14ac:dyDescent="0.25">
      <c r="A75" s="23"/>
      <c r="B75" s="7" t="s">
        <v>15</v>
      </c>
      <c r="C75" s="7">
        <v>31.9</v>
      </c>
      <c r="D75" s="7">
        <v>3.9E-2</v>
      </c>
      <c r="E75" s="7">
        <v>3.6999999999999998E-2</v>
      </c>
      <c r="F75" s="7">
        <v>6.0999999999999999E-2</v>
      </c>
      <c r="G75" s="7">
        <f t="shared" si="39"/>
        <v>2.5891952770334927</v>
      </c>
      <c r="H75" s="7">
        <f t="shared" si="40"/>
        <v>5.1783905540669855</v>
      </c>
      <c r="I75" s="7">
        <f t="shared" si="41"/>
        <v>6.214068664880382</v>
      </c>
      <c r="J75" s="7">
        <f t="shared" si="42"/>
        <v>0.19479839074860134</v>
      </c>
      <c r="K75" s="24"/>
      <c r="L75" s="24"/>
      <c r="M75" s="25"/>
    </row>
    <row r="76" spans="1:13" ht="16.2" customHeight="1" x14ac:dyDescent="0.25">
      <c r="A76" s="21" t="s">
        <v>16</v>
      </c>
      <c r="B76" s="7" t="s">
        <v>17</v>
      </c>
      <c r="C76" s="7">
        <v>30.1</v>
      </c>
      <c r="D76" s="7">
        <v>4.1000000000000002E-2</v>
      </c>
      <c r="E76" s="7">
        <v>0.04</v>
      </c>
      <c r="F76" s="7">
        <v>5.3999999999999999E-2</v>
      </c>
      <c r="G76" s="7">
        <f t="shared" si="39"/>
        <v>2.2233021803827753</v>
      </c>
      <c r="H76" s="7">
        <f t="shared" si="40"/>
        <v>4.4466043607655505</v>
      </c>
      <c r="I76" s="7">
        <f t="shared" si="41"/>
        <v>5.3359252329186608</v>
      </c>
      <c r="J76" s="7">
        <f t="shared" si="42"/>
        <v>0.17727326355211498</v>
      </c>
      <c r="K76" s="24">
        <f>AVERAGE(J76:J78)</f>
        <v>0.14853592154026093</v>
      </c>
      <c r="L76" s="24">
        <f>STDEV(J76:J78)</f>
        <v>2.5544245723889324E-2</v>
      </c>
      <c r="M76" s="25">
        <f>L76/SQRT(3)</f>
        <v>1.4747977144933448E-2</v>
      </c>
    </row>
    <row r="77" spans="1:13" ht="16.2" customHeight="1" x14ac:dyDescent="0.25">
      <c r="A77" s="22"/>
      <c r="B77" s="7" t="s">
        <v>18</v>
      </c>
      <c r="C77" s="7">
        <v>36.799999999999997</v>
      </c>
      <c r="D77" s="7">
        <v>3.5999999999999997E-2</v>
      </c>
      <c r="E77" s="7">
        <v>3.5999999999999997E-2</v>
      </c>
      <c r="F77" s="7">
        <v>4.8000000000000001E-2</v>
      </c>
      <c r="G77" s="7">
        <f t="shared" si="39"/>
        <v>1.9689713971291865</v>
      </c>
      <c r="H77" s="7">
        <f t="shared" si="40"/>
        <v>3.9379427942583729</v>
      </c>
      <c r="I77" s="7">
        <f t="shared" si="41"/>
        <v>4.7255313531100471</v>
      </c>
      <c r="J77" s="7">
        <f t="shared" si="42"/>
        <v>0.12841117807364261</v>
      </c>
      <c r="K77" s="24"/>
      <c r="L77" s="24"/>
      <c r="M77" s="25"/>
    </row>
    <row r="78" spans="1:13" ht="16.2" customHeight="1" x14ac:dyDescent="0.25">
      <c r="A78" s="23"/>
      <c r="B78" s="7" t="s">
        <v>19</v>
      </c>
      <c r="C78" s="7">
        <v>30.2</v>
      </c>
      <c r="D78" s="7">
        <v>3.4000000000000002E-2</v>
      </c>
      <c r="E78" s="7">
        <v>3.3000000000000002E-2</v>
      </c>
      <c r="F78" s="7">
        <v>4.2999999999999997E-2</v>
      </c>
      <c r="G78" s="7">
        <f t="shared" si="39"/>
        <v>1.7607018143540669</v>
      </c>
      <c r="H78" s="7">
        <f t="shared" si="40"/>
        <v>3.5214036287081338</v>
      </c>
      <c r="I78" s="7">
        <f t="shared" si="41"/>
        <v>4.2256843544497604</v>
      </c>
      <c r="J78" s="7">
        <f t="shared" si="42"/>
        <v>0.13992332299502519</v>
      </c>
      <c r="K78" s="24"/>
      <c r="L78" s="24"/>
      <c r="M78" s="25"/>
    </row>
    <row r="79" spans="1:13" ht="16.2" customHeight="1" x14ac:dyDescent="0.25">
      <c r="A79" s="21" t="s">
        <v>20</v>
      </c>
      <c r="B79" s="7" t="s">
        <v>21</v>
      </c>
      <c r="C79" s="7">
        <v>32.9</v>
      </c>
      <c r="D79" s="7">
        <v>3.4000000000000002E-2</v>
      </c>
      <c r="E79" s="7">
        <v>3.4000000000000002E-2</v>
      </c>
      <c r="F79" s="7">
        <v>4.9000000000000002E-2</v>
      </c>
      <c r="G79" s="7">
        <f t="shared" si="39"/>
        <v>2.0350226937799043</v>
      </c>
      <c r="H79" s="7">
        <f t="shared" si="40"/>
        <v>4.0700453875598086</v>
      </c>
      <c r="I79" s="7">
        <f t="shared" si="41"/>
        <v>4.8840544650717703</v>
      </c>
      <c r="J79" s="7">
        <f t="shared" si="42"/>
        <v>0.14845150349762221</v>
      </c>
      <c r="K79" s="24">
        <f>AVERAGE(J79:J81)</f>
        <v>0.12723408634768404</v>
      </c>
      <c r="L79" s="24">
        <f>STDEV(J79:J81)</f>
        <v>4.0846350099572611E-2</v>
      </c>
      <c r="M79" s="25">
        <f>L79/SQRT(3)</f>
        <v>2.3582651225401947E-2</v>
      </c>
    </row>
    <row r="80" spans="1:13" ht="16.2" customHeight="1" x14ac:dyDescent="0.25">
      <c r="A80" s="22"/>
      <c r="B80" s="7" t="s">
        <v>22</v>
      </c>
      <c r="C80" s="7">
        <v>33.4</v>
      </c>
      <c r="D80" s="7">
        <v>3.4000000000000002E-2</v>
      </c>
      <c r="E80" s="7">
        <v>3.4000000000000002E-2</v>
      </c>
      <c r="F80" s="7">
        <v>5.0999999999999997E-2</v>
      </c>
      <c r="G80" s="7">
        <f t="shared" si="39"/>
        <v>2.1307164736842106</v>
      </c>
      <c r="H80" s="7">
        <f t="shared" si="40"/>
        <v>4.2614329473684212</v>
      </c>
      <c r="I80" s="7">
        <f t="shared" si="41"/>
        <v>5.1137195368421056</v>
      </c>
      <c r="J80" s="7">
        <f t="shared" si="42"/>
        <v>0.15310537535455407</v>
      </c>
      <c r="K80" s="24"/>
      <c r="L80" s="24"/>
      <c r="M80" s="25"/>
    </row>
    <row r="81" spans="1:13" ht="16.2" customHeight="1" thickBot="1" x14ac:dyDescent="0.3">
      <c r="A81" s="26"/>
      <c r="B81" s="16" t="s">
        <v>23</v>
      </c>
      <c r="C81" s="16">
        <v>37.4</v>
      </c>
      <c r="D81" s="16">
        <v>3.1E-2</v>
      </c>
      <c r="E81" s="16">
        <v>3.1E-2</v>
      </c>
      <c r="F81" s="16">
        <v>3.2000000000000001E-2</v>
      </c>
      <c r="G81" s="16">
        <f t="shared" si="39"/>
        <v>1.2489321746411481</v>
      </c>
      <c r="H81" s="16">
        <f t="shared" si="40"/>
        <v>2.4978643492822963</v>
      </c>
      <c r="I81" s="16">
        <f t="shared" si="41"/>
        <v>2.9974372191387553</v>
      </c>
      <c r="J81" s="16">
        <f t="shared" si="42"/>
        <v>8.0145380190875817E-2</v>
      </c>
      <c r="K81" s="27"/>
      <c r="L81" s="27"/>
      <c r="M81" s="28"/>
    </row>
    <row r="82" spans="1:13" ht="16.2" customHeight="1" x14ac:dyDescent="0.3"/>
    <row r="83" spans="1:13" ht="16.2" customHeight="1" x14ac:dyDescent="0.3"/>
    <row r="84" spans="1:13" ht="16.2" customHeight="1" x14ac:dyDescent="0.3"/>
    <row r="85" spans="1:13" ht="16.2" customHeight="1" x14ac:dyDescent="0.3"/>
  </sheetData>
  <mergeCells count="96">
    <mergeCell ref="A3:A5"/>
    <mergeCell ref="K3:K5"/>
    <mergeCell ref="L3:L5"/>
    <mergeCell ref="M3:M5"/>
    <mergeCell ref="A6:A8"/>
    <mergeCell ref="K6:K8"/>
    <mergeCell ref="L6:L8"/>
    <mergeCell ref="M6:M8"/>
    <mergeCell ref="A9:A11"/>
    <mergeCell ref="K9:K11"/>
    <mergeCell ref="L9:L11"/>
    <mergeCell ref="M9:M11"/>
    <mergeCell ref="A13:A15"/>
    <mergeCell ref="K13:K15"/>
    <mergeCell ref="L13:L15"/>
    <mergeCell ref="M13:M15"/>
    <mergeCell ref="A16:A18"/>
    <mergeCell ref="K16:K18"/>
    <mergeCell ref="L16:L18"/>
    <mergeCell ref="M16:M18"/>
    <mergeCell ref="A19:A21"/>
    <mergeCell ref="K19:K21"/>
    <mergeCell ref="L19:L21"/>
    <mergeCell ref="M19:M21"/>
    <mergeCell ref="A23:A25"/>
    <mergeCell ref="N23:N25"/>
    <mergeCell ref="O23:O25"/>
    <mergeCell ref="P23:P25"/>
    <mergeCell ref="A26:A28"/>
    <mergeCell ref="N26:N28"/>
    <mergeCell ref="O26:O28"/>
    <mergeCell ref="P26:P28"/>
    <mergeCell ref="A29:A31"/>
    <mergeCell ref="N29:N31"/>
    <mergeCell ref="O29:O31"/>
    <mergeCell ref="P29:P31"/>
    <mergeCell ref="A33:A35"/>
    <mergeCell ref="K33:K35"/>
    <mergeCell ref="L33:L35"/>
    <mergeCell ref="M33:M35"/>
    <mergeCell ref="A36:A38"/>
    <mergeCell ref="K36:K38"/>
    <mergeCell ref="L36:L38"/>
    <mergeCell ref="M36:M38"/>
    <mergeCell ref="A39:A41"/>
    <mergeCell ref="K39:K41"/>
    <mergeCell ref="L39:L41"/>
    <mergeCell ref="M39:M41"/>
    <mergeCell ref="A43:A45"/>
    <mergeCell ref="J43:J45"/>
    <mergeCell ref="K43:K45"/>
    <mergeCell ref="L43:L45"/>
    <mergeCell ref="A46:A48"/>
    <mergeCell ref="J46:J48"/>
    <mergeCell ref="K46:K48"/>
    <mergeCell ref="L46:L48"/>
    <mergeCell ref="A59:A61"/>
    <mergeCell ref="K59:K61"/>
    <mergeCell ref="L59:L61"/>
    <mergeCell ref="M59:M61"/>
    <mergeCell ref="A49:A51"/>
    <mergeCell ref="J49:J51"/>
    <mergeCell ref="K49:K51"/>
    <mergeCell ref="L49:L51"/>
    <mergeCell ref="A53:A55"/>
    <mergeCell ref="K53:K55"/>
    <mergeCell ref="L53:L55"/>
    <mergeCell ref="M53:M55"/>
    <mergeCell ref="A56:A58"/>
    <mergeCell ref="K56:K58"/>
    <mergeCell ref="L56:L58"/>
    <mergeCell ref="M56:M58"/>
    <mergeCell ref="A63:A65"/>
    <mergeCell ref="K63:K65"/>
    <mergeCell ref="L63:L65"/>
    <mergeCell ref="M63:M65"/>
    <mergeCell ref="A66:A68"/>
    <mergeCell ref="K66:K68"/>
    <mergeCell ref="L66:L68"/>
    <mergeCell ref="M66:M68"/>
    <mergeCell ref="A69:A71"/>
    <mergeCell ref="K69:K71"/>
    <mergeCell ref="L69:L71"/>
    <mergeCell ref="M69:M71"/>
    <mergeCell ref="A73:A75"/>
    <mergeCell ref="K73:K75"/>
    <mergeCell ref="L73:L75"/>
    <mergeCell ref="M73:M75"/>
    <mergeCell ref="A76:A78"/>
    <mergeCell ref="K76:K78"/>
    <mergeCell ref="L76:L78"/>
    <mergeCell ref="M76:M78"/>
    <mergeCell ref="A79:A81"/>
    <mergeCell ref="K79:K81"/>
    <mergeCell ref="L79:L81"/>
    <mergeCell ref="M79:M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SupplementaryFile2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TARTAGLIA maria</cp:lastModifiedBy>
  <dcterms:created xsi:type="dcterms:W3CDTF">2023-07-25T15:49:25Z</dcterms:created>
  <dcterms:modified xsi:type="dcterms:W3CDTF">2023-12-19T11:43:41Z</dcterms:modified>
</cp:coreProperties>
</file>