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データ\１研究\論文\論文原稿2019-2020\2. BAdV-2  ARVI (Kubota et al.)\"/>
    </mc:Choice>
  </mc:AlternateContent>
  <xr:revisionPtr revIDLastSave="0" documentId="13_ncr:1_{E1019287-205E-4446-BD8F-AD8384EEB981}" xr6:coauthVersionLast="45" xr6:coauthVersionMax="45" xr10:uidLastSave="{00000000-0000-0000-0000-000000000000}"/>
  <bookViews>
    <workbookView xWindow="630" yWindow="300" windowWidth="23580" windowHeight="15480" xr2:uid="{93D90C46-22EF-438E-8659-94490C430AEA}"/>
  </bookViews>
  <sheets>
    <sheet name="Table 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6" i="2" l="1"/>
  <c r="H26" i="2"/>
  <c r="I35" i="2"/>
  <c r="H35" i="2"/>
  <c r="I33" i="2"/>
  <c r="H33" i="2"/>
  <c r="I32" i="2"/>
  <c r="H32" i="2"/>
  <c r="H34" i="2"/>
  <c r="I34" i="2"/>
  <c r="I31" i="2"/>
  <c r="H31" i="2"/>
  <c r="I30" i="2"/>
  <c r="H30" i="2"/>
  <c r="I18" i="2" l="1"/>
  <c r="I17" i="2"/>
  <c r="H25" i="2"/>
  <c r="I28" i="2"/>
  <c r="H28" i="2"/>
  <c r="I25" i="2"/>
  <c r="I29" i="2"/>
  <c r="H29" i="2"/>
  <c r="I27" i="2"/>
  <c r="H27" i="2"/>
  <c r="I12" i="2"/>
  <c r="H18" i="2"/>
  <c r="H17" i="2"/>
  <c r="H12" i="2"/>
  <c r="I24" i="2"/>
  <c r="H24" i="2"/>
  <c r="I23" i="2"/>
  <c r="H23" i="2"/>
  <c r="H22" i="2"/>
  <c r="I22" i="2"/>
  <c r="I21" i="2"/>
  <c r="H21" i="2"/>
  <c r="I20" i="2"/>
  <c r="H20" i="2"/>
  <c r="I19" i="2"/>
  <c r="H19" i="2"/>
  <c r="I16" i="2"/>
  <c r="H16" i="2"/>
  <c r="I15" i="2"/>
  <c r="H15" i="2"/>
  <c r="I14" i="2"/>
  <c r="H14" i="2"/>
  <c r="I13" i="2" l="1"/>
  <c r="H13" i="2"/>
  <c r="H11" i="2"/>
  <c r="I11" i="2"/>
  <c r="I10" i="2"/>
  <c r="H10" i="2"/>
  <c r="I9" i="2"/>
  <c r="H9" i="2"/>
  <c r="I8" i="2"/>
  <c r="H8" i="2"/>
  <c r="I7" i="2"/>
  <c r="H7" i="2"/>
  <c r="I6" i="2"/>
  <c r="H6" i="2"/>
  <c r="H4" i="2"/>
  <c r="H5" i="2"/>
</calcChain>
</file>

<file path=xl/sharedStrings.xml><?xml version="1.0" encoding="utf-8"?>
<sst xmlns="http://schemas.openxmlformats.org/spreadsheetml/2006/main" count="139" uniqueCount="99">
  <si>
    <t>pVI</t>
    <phoneticPr fontId="1"/>
  </si>
  <si>
    <t>pVII</t>
    <phoneticPr fontId="1"/>
  </si>
  <si>
    <t>pVIII</t>
    <phoneticPr fontId="1"/>
  </si>
  <si>
    <t>pTP</t>
    <phoneticPr fontId="1"/>
  </si>
  <si>
    <t>pX</t>
    <phoneticPr fontId="1"/>
  </si>
  <si>
    <t>IVa2</t>
    <phoneticPr fontId="1"/>
  </si>
  <si>
    <t>DBP</t>
    <phoneticPr fontId="1"/>
  </si>
  <si>
    <t>E1B 55K</t>
    <phoneticPr fontId="1"/>
  </si>
  <si>
    <t>U exon</t>
    <phoneticPr fontId="1"/>
  </si>
  <si>
    <t>pIIIa</t>
    <phoneticPr fontId="1"/>
  </si>
  <si>
    <t>Length</t>
    <phoneticPr fontId="1"/>
  </si>
  <si>
    <t>E1A</t>
    <phoneticPr fontId="1"/>
  </si>
  <si>
    <t>E1B19K</t>
    <phoneticPr fontId="1"/>
  </si>
  <si>
    <t>E4 34K</t>
    <phoneticPr fontId="1"/>
  </si>
  <si>
    <t>479-908, 994-1,187</t>
    <phoneticPr fontId="1"/>
  </si>
  <si>
    <t>1,292-1,771</t>
    <phoneticPr fontId="1"/>
  </si>
  <si>
    <t>1,669-2,892</t>
    <phoneticPr fontId="1"/>
  </si>
  <si>
    <t>2,953-3,303</t>
    <phoneticPr fontId="1"/>
  </si>
  <si>
    <t>9,519-10,556</t>
    <phoneticPr fontId="1"/>
  </si>
  <si>
    <t>10,589-12,301</t>
    <phoneticPr fontId="1"/>
  </si>
  <si>
    <t>12,353-13,789</t>
    <phoneticPr fontId="1"/>
  </si>
  <si>
    <t>13,790-14,341</t>
    <phoneticPr fontId="1"/>
  </si>
  <si>
    <t>14,395-15,480</t>
    <phoneticPr fontId="1"/>
  </si>
  <si>
    <t>15,532-15,744</t>
    <phoneticPr fontId="1"/>
  </si>
  <si>
    <t>15,893-16,582</t>
    <phoneticPr fontId="1"/>
  </si>
  <si>
    <t>16,634-19,366</t>
    <phoneticPr fontId="1"/>
  </si>
  <si>
    <t>19,377-19,994</t>
    <phoneticPr fontId="1"/>
  </si>
  <si>
    <t>21,373-23,586</t>
    <phoneticPr fontId="1"/>
  </si>
  <si>
    <t>23,309-23,899</t>
    <phoneticPr fontId="1"/>
  </si>
  <si>
    <t>24,104-24,775</t>
    <phoneticPr fontId="1"/>
  </si>
  <si>
    <t>24,768-25,163</t>
    <phoneticPr fontId="1"/>
  </si>
  <si>
    <t>27,083-28,768</t>
    <phoneticPr fontId="1"/>
  </si>
  <si>
    <t>DNA polymerase</t>
    <phoneticPr fontId="1"/>
  </si>
  <si>
    <t>DNA packing</t>
    <phoneticPr fontId="1"/>
  </si>
  <si>
    <t>Terminal protein</t>
    <phoneticPr fontId="1"/>
  </si>
  <si>
    <t>DNA binding protein</t>
    <phoneticPr fontId="1"/>
  </si>
  <si>
    <t>25,000-26,901</t>
    <phoneticPr fontId="1"/>
  </si>
  <si>
    <t>23,309-23,627, 23,809-24,107</t>
    <phoneticPr fontId="1"/>
  </si>
  <si>
    <t>Predicted protein function</t>
    <phoneticPr fontId="1"/>
  </si>
  <si>
    <t>Gene</t>
    <phoneticPr fontId="1"/>
  </si>
  <si>
    <t>Transactivator</t>
    <phoneticPr fontId="1"/>
  </si>
  <si>
    <t>Small T antigen homologue</t>
    <phoneticPr fontId="1"/>
  </si>
  <si>
    <t>Large T antigen homologue</t>
    <phoneticPr fontId="1"/>
  </si>
  <si>
    <t>Minor capsid</t>
    <phoneticPr fontId="1"/>
  </si>
  <si>
    <t>pIX</t>
    <phoneticPr fontId="1"/>
  </si>
  <si>
    <t>pol</t>
    <phoneticPr fontId="1"/>
  </si>
  <si>
    <t>Penton protein</t>
    <phoneticPr fontId="1"/>
  </si>
  <si>
    <t>pIII</t>
    <phoneticPr fontId="1"/>
  </si>
  <si>
    <t>pV</t>
    <phoneticPr fontId="1"/>
  </si>
  <si>
    <t>Major capsid</t>
    <phoneticPr fontId="1"/>
  </si>
  <si>
    <t>Core-capsid binding protein</t>
    <phoneticPr fontId="1"/>
  </si>
  <si>
    <t>Minor core</t>
    <phoneticPr fontId="1"/>
  </si>
  <si>
    <t>hexon</t>
    <phoneticPr fontId="1"/>
  </si>
  <si>
    <t>Hexon protein</t>
    <phoneticPr fontId="1"/>
  </si>
  <si>
    <t>protease</t>
    <phoneticPr fontId="1"/>
  </si>
  <si>
    <t>Protease protein</t>
    <phoneticPr fontId="1"/>
  </si>
  <si>
    <t>p100K</t>
    <phoneticPr fontId="1"/>
  </si>
  <si>
    <t>Shutoff protein</t>
    <phoneticPr fontId="1"/>
  </si>
  <si>
    <t>p52K</t>
    <phoneticPr fontId="1"/>
  </si>
  <si>
    <t>p22k</t>
    <phoneticPr fontId="1"/>
  </si>
  <si>
    <t>DNA packing/assembly</t>
    <phoneticPr fontId="1"/>
  </si>
  <si>
    <t>p33k</t>
    <phoneticPr fontId="1"/>
  </si>
  <si>
    <t>E3 12.5K</t>
    <phoneticPr fontId="1"/>
  </si>
  <si>
    <t>Probable immunomodulatory protein</t>
    <phoneticPr fontId="1"/>
  </si>
  <si>
    <t>E3 ORF1</t>
    <phoneticPr fontId="1"/>
  </si>
  <si>
    <t>hypothetical protein</t>
    <phoneticPr fontId="1"/>
  </si>
  <si>
    <t>U exon protein</t>
    <phoneticPr fontId="1"/>
  </si>
  <si>
    <t>Fiber protein</t>
    <phoneticPr fontId="1"/>
  </si>
  <si>
    <t>E4 17K</t>
    <phoneticPr fontId="1"/>
  </si>
  <si>
    <t>Eary E4 34 kDa protein</t>
    <phoneticPr fontId="1"/>
  </si>
  <si>
    <t>fiber</t>
    <phoneticPr fontId="1"/>
  </si>
  <si>
    <t>dUTPase protein</t>
    <phoneticPr fontId="1"/>
  </si>
  <si>
    <t>Strand</t>
    <phoneticPr fontId="1"/>
  </si>
  <si>
    <t>+</t>
    <phoneticPr fontId="1"/>
  </si>
  <si>
    <t>-</t>
    <phoneticPr fontId="1"/>
  </si>
  <si>
    <t>3,326-4,650, 4,929-4,941</t>
    <phoneticPr fontId="1"/>
  </si>
  <si>
    <t>4,414-7,812, 12,322-12,330</t>
    <phoneticPr fontId="1"/>
  </si>
  <si>
    <t>7,659-9,479, 12,322-12,330</t>
    <phoneticPr fontId="1"/>
  </si>
  <si>
    <t>20,033-21,361</t>
    <phoneticPr fontId="1"/>
  </si>
  <si>
    <t xml:space="preserve">26,906-27,076                   </t>
    <phoneticPr fontId="1"/>
  </si>
  <si>
    <t xml:space="preserve">28,765-29,190                    </t>
    <phoneticPr fontId="1"/>
  </si>
  <si>
    <t xml:space="preserve">28,986-29,900                     </t>
    <phoneticPr fontId="1"/>
  </si>
  <si>
    <t xml:space="preserve">29,897-30,226                     </t>
    <phoneticPr fontId="1"/>
  </si>
  <si>
    <t xml:space="preserve">30,227-30,946                     </t>
    <phoneticPr fontId="1"/>
  </si>
  <si>
    <t xml:space="preserve">30,953-31,714                     </t>
    <phoneticPr fontId="1"/>
  </si>
  <si>
    <t xml:space="preserve">32,016-32,408                     </t>
    <phoneticPr fontId="1"/>
  </si>
  <si>
    <t xml:space="preserve">32,408-32,839                     </t>
    <phoneticPr fontId="1"/>
  </si>
  <si>
    <t>Nucleotide (bp)</t>
    <phoneticPr fontId="1"/>
  </si>
  <si>
    <t>Protein (aa)</t>
    <phoneticPr fontId="1"/>
  </si>
  <si>
    <t>Location (nt)</t>
    <phoneticPr fontId="1"/>
  </si>
  <si>
    <t>Identity (%)</t>
    <phoneticPr fontId="1"/>
  </si>
  <si>
    <t>Query cover (%)</t>
    <phoneticPr fontId="1"/>
  </si>
  <si>
    <t>No.19 (AC000001)</t>
    <phoneticPr fontId="1"/>
  </si>
  <si>
    <t>E4 ORF F</t>
    <phoneticPr fontId="1"/>
  </si>
  <si>
    <t>E4 ORF E</t>
    <phoneticPr fontId="1"/>
  </si>
  <si>
    <t>E4 ORF D</t>
    <phoneticPr fontId="1"/>
  </si>
  <si>
    <t>E4 ORF B</t>
    <phoneticPr fontId="1"/>
  </si>
  <si>
    <t>E4 ORF A / dUTPase</t>
    <phoneticPr fontId="1"/>
  </si>
  <si>
    <t>Table 1. Description of open reading frames and predicted protein functions encoded in the BAdV-2 strain KY19-1 genome. Amino acid identity and query cover of each gene against homologous genes of strain No. 19 are also shown.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</si>
</sst>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_ "/>
    <numFmt numFmtId="177" formatCode="0.0"/>
  </numFmts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"/>
      <color theme="1"/>
      <name val="Times New Roman"/>
      <family val="1"/>
    </font>
    <font>
      <sz val="10"/>
      <name val="Times New Roman"/>
      <family val="1"/>
    </font>
    <font>
      <sz val="10"/>
      <color rgb="FFFF0000"/>
      <name val="Times New Roman"/>
      <family val="1"/>
    </font>
    <font>
      <sz val="10"/>
      <color rgb="FF00B050"/>
      <name val="Times New Roman"/>
      <family val="1"/>
    </font>
    <font>
      <sz val="10"/>
      <color theme="4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5" fillId="0" borderId="0" xfId="0" applyFont="1">
      <alignment vertical="center"/>
    </xf>
    <xf numFmtId="3" fontId="3" fillId="0" borderId="0" xfId="0" applyNumberFormat="1" applyFont="1" applyBorder="1" applyAlignment="1">
      <alignment horizontal="left" vertical="center" wrapText="1"/>
    </xf>
    <xf numFmtId="3" fontId="3" fillId="0" borderId="0" xfId="0" applyNumberFormat="1" applyFont="1" applyAlignment="1">
      <alignment horizontal="left" vertical="center" wrapText="1"/>
    </xf>
    <xf numFmtId="176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 wrapText="1"/>
    </xf>
    <xf numFmtId="177" fontId="3" fillId="0" borderId="0" xfId="0" applyNumberFormat="1" applyFont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/>
    </xf>
    <xf numFmtId="1" fontId="3" fillId="0" borderId="0" xfId="0" applyNumberFormat="1" applyFont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6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 applyBorder="1" applyAlignment="1">
      <alignment horizontal="left" vertical="center" wrapText="1"/>
    </xf>
    <xf numFmtId="1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>
      <alignment vertical="center"/>
    </xf>
    <xf numFmtId="0" fontId="3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1" fontId="3" fillId="0" borderId="0" xfId="0" applyNumberFormat="1" applyFont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177" fontId="3" fillId="0" borderId="0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11EB5-02F7-4F91-815A-393C9A574B81}">
  <sheetPr>
    <pageSetUpPr fitToPage="1"/>
  </sheetPr>
  <dimension ref="A1:J36"/>
  <sheetViews>
    <sheetView showGridLines="0" tabSelected="1" zoomScale="110" zoomScaleNormal="110" workbookViewId="0">
      <selection activeCell="J18" sqref="J18"/>
    </sheetView>
  </sheetViews>
  <sheetFormatPr defaultColWidth="8.625" defaultRowHeight="12.75" x14ac:dyDescent="0.4"/>
  <cols>
    <col min="1" max="1" width="21.625" style="2" bestFit="1" customWidth="1"/>
    <col min="2" max="2" width="27.5" style="29" bestFit="1" customWidth="1"/>
    <col min="3" max="3" width="5.875" style="29" bestFit="1" customWidth="1"/>
    <col min="4" max="4" width="21.625" style="10" bestFit="1" customWidth="1"/>
    <col min="5" max="5" width="12.125" style="3" bestFit="1" customWidth="1"/>
    <col min="6" max="6" width="9.375" style="3" bestFit="1" customWidth="1"/>
    <col min="7" max="7" width="1.375" style="32" customWidth="1"/>
    <col min="8" max="8" width="9.5" style="3" bestFit="1" customWidth="1"/>
    <col min="9" max="9" width="13.125" style="3" bestFit="1" customWidth="1"/>
    <col min="10" max="10" width="13.125" style="32" customWidth="1"/>
    <col min="11" max="16384" width="8.625" style="1"/>
  </cols>
  <sheetData>
    <row r="1" spans="1:10" ht="33" customHeight="1" x14ac:dyDescent="0.4">
      <c r="A1" s="41" t="s">
        <v>98</v>
      </c>
      <c r="B1" s="41"/>
      <c r="C1" s="41"/>
      <c r="D1" s="41"/>
      <c r="E1" s="41"/>
      <c r="F1" s="41"/>
      <c r="G1" s="41"/>
      <c r="H1" s="41"/>
      <c r="I1" s="41"/>
      <c r="J1" s="15"/>
    </row>
    <row r="2" spans="1:10" ht="15.95" customHeight="1" x14ac:dyDescent="0.4">
      <c r="A2" s="9" t="s">
        <v>39</v>
      </c>
      <c r="B2" s="9" t="s">
        <v>38</v>
      </c>
      <c r="C2" s="9" t="s">
        <v>72</v>
      </c>
      <c r="D2" s="9" t="s">
        <v>89</v>
      </c>
      <c r="E2" s="40" t="s">
        <v>10</v>
      </c>
      <c r="F2" s="40"/>
      <c r="G2" s="39"/>
      <c r="H2" s="40" t="s">
        <v>92</v>
      </c>
      <c r="I2" s="40"/>
      <c r="J2" s="7"/>
    </row>
    <row r="3" spans="1:10" ht="15.95" customHeight="1" x14ac:dyDescent="0.4">
      <c r="A3" s="6"/>
      <c r="B3" s="6"/>
      <c r="C3" s="6"/>
      <c r="D3" s="6"/>
      <c r="E3" s="6" t="s">
        <v>87</v>
      </c>
      <c r="F3" s="6" t="s">
        <v>88</v>
      </c>
      <c r="G3" s="6"/>
      <c r="H3" s="8" t="s">
        <v>90</v>
      </c>
      <c r="I3" s="16" t="s">
        <v>91</v>
      </c>
      <c r="J3" s="23"/>
    </row>
    <row r="4" spans="1:10" ht="15.95" customHeight="1" x14ac:dyDescent="0.4">
      <c r="A4" s="27" t="s">
        <v>11</v>
      </c>
      <c r="B4" s="27" t="s">
        <v>40</v>
      </c>
      <c r="C4" s="27" t="s">
        <v>73</v>
      </c>
      <c r="D4" s="27" t="s">
        <v>14</v>
      </c>
      <c r="E4" s="27">
        <v>624</v>
      </c>
      <c r="F4" s="27">
        <v>207</v>
      </c>
      <c r="G4" s="35"/>
      <c r="H4" s="18">
        <f>205/207*100</f>
        <v>99.033816425120762</v>
      </c>
      <c r="I4" s="15">
        <v>100</v>
      </c>
      <c r="J4" s="15"/>
    </row>
    <row r="5" spans="1:10" ht="15.95" customHeight="1" x14ac:dyDescent="0.4">
      <c r="A5" s="27" t="s">
        <v>12</v>
      </c>
      <c r="B5" s="27" t="s">
        <v>41</v>
      </c>
      <c r="C5" s="27" t="s">
        <v>73</v>
      </c>
      <c r="D5" s="27" t="s">
        <v>15</v>
      </c>
      <c r="E5" s="27">
        <v>480</v>
      </c>
      <c r="F5" s="27">
        <v>159</v>
      </c>
      <c r="G5" s="35"/>
      <c r="H5" s="18">
        <f>157/159*100</f>
        <v>98.742138364779876</v>
      </c>
      <c r="I5" s="15">
        <v>100</v>
      </c>
      <c r="J5" s="15"/>
    </row>
    <row r="6" spans="1:10" ht="15.95" customHeight="1" x14ac:dyDescent="0.4">
      <c r="A6" s="27" t="s">
        <v>7</v>
      </c>
      <c r="B6" s="5" t="s">
        <v>42</v>
      </c>
      <c r="C6" s="5" t="s">
        <v>73</v>
      </c>
      <c r="D6" s="27" t="s">
        <v>16</v>
      </c>
      <c r="E6" s="12">
        <v>1224</v>
      </c>
      <c r="F6" s="27">
        <v>407</v>
      </c>
      <c r="G6" s="35"/>
      <c r="H6" s="18">
        <f>338/343*100</f>
        <v>98.542274052478135</v>
      </c>
      <c r="I6" s="17">
        <f>343/407*100</f>
        <v>84.275184275184273</v>
      </c>
      <c r="J6" s="17"/>
    </row>
    <row r="7" spans="1:10" ht="15.95" customHeight="1" x14ac:dyDescent="0.4">
      <c r="A7" s="27" t="s">
        <v>44</v>
      </c>
      <c r="B7" s="5" t="s">
        <v>43</v>
      </c>
      <c r="C7" s="5" t="s">
        <v>73</v>
      </c>
      <c r="D7" s="27" t="s">
        <v>17</v>
      </c>
      <c r="E7" s="12">
        <v>351</v>
      </c>
      <c r="F7" s="27">
        <v>116</v>
      </c>
      <c r="G7" s="35"/>
      <c r="H7" s="18">
        <f>114 / 116*100</f>
        <v>98.275862068965509</v>
      </c>
      <c r="I7" s="15">
        <f>116/116*100</f>
        <v>100</v>
      </c>
      <c r="J7" s="15"/>
    </row>
    <row r="8" spans="1:10" ht="15.95" customHeight="1" x14ac:dyDescent="0.4">
      <c r="A8" s="5" t="s">
        <v>5</v>
      </c>
      <c r="B8" s="5" t="s">
        <v>33</v>
      </c>
      <c r="C8" s="5" t="s">
        <v>74</v>
      </c>
      <c r="D8" s="5" t="s">
        <v>75</v>
      </c>
      <c r="E8" s="13">
        <v>1338</v>
      </c>
      <c r="F8" s="5">
        <v>445</v>
      </c>
      <c r="G8" s="5"/>
      <c r="H8" s="19">
        <f>442/445*100</f>
        <v>99.325842696629223</v>
      </c>
      <c r="I8" s="15">
        <f>445/445*100</f>
        <v>100</v>
      </c>
      <c r="J8" s="15"/>
    </row>
    <row r="9" spans="1:10" s="11" customFormat="1" ht="15.95" customHeight="1" x14ac:dyDescent="0.4">
      <c r="A9" s="27" t="s">
        <v>45</v>
      </c>
      <c r="B9" s="5" t="s">
        <v>32</v>
      </c>
      <c r="C9" s="5" t="s">
        <v>74</v>
      </c>
      <c r="D9" s="5" t="s">
        <v>76</v>
      </c>
      <c r="E9" s="12">
        <v>3408</v>
      </c>
      <c r="F9" s="12">
        <v>1135</v>
      </c>
      <c r="G9" s="12"/>
      <c r="H9" s="19">
        <f>1127 / 1135 *100</f>
        <v>99.295154185022028</v>
      </c>
      <c r="I9" s="15">
        <f>1135/1135*100</f>
        <v>100</v>
      </c>
      <c r="J9" s="15"/>
    </row>
    <row r="10" spans="1:10" ht="15.95" customHeight="1" x14ac:dyDescent="0.4">
      <c r="A10" s="5" t="s">
        <v>3</v>
      </c>
      <c r="B10" s="5" t="s">
        <v>34</v>
      </c>
      <c r="C10" s="5" t="s">
        <v>74</v>
      </c>
      <c r="D10" s="5" t="s">
        <v>77</v>
      </c>
      <c r="E10" s="13">
        <v>1830</v>
      </c>
      <c r="F10" s="5">
        <v>609</v>
      </c>
      <c r="G10" s="5"/>
      <c r="H10" s="19">
        <f>569 / 609 *100</f>
        <v>93.431855500821015</v>
      </c>
      <c r="I10" s="15">
        <f>609/609*100</f>
        <v>100</v>
      </c>
      <c r="J10" s="15"/>
    </row>
    <row r="11" spans="1:10" ht="15.95" customHeight="1" x14ac:dyDescent="0.4">
      <c r="A11" s="5" t="s">
        <v>58</v>
      </c>
      <c r="B11" s="5" t="s">
        <v>33</v>
      </c>
      <c r="C11" s="5" t="s">
        <v>73</v>
      </c>
      <c r="D11" s="5" t="s">
        <v>18</v>
      </c>
      <c r="E11" s="14">
        <v>1038</v>
      </c>
      <c r="F11" s="5">
        <v>345</v>
      </c>
      <c r="G11" s="5"/>
      <c r="H11" s="19">
        <f>339 / 345*100</f>
        <v>98.260869565217391</v>
      </c>
      <c r="I11" s="15">
        <f>345/345*100</f>
        <v>100</v>
      </c>
      <c r="J11" s="15"/>
    </row>
    <row r="12" spans="1:10" s="25" customFormat="1" ht="15.95" customHeight="1" x14ac:dyDescent="0.4">
      <c r="A12" s="5" t="s">
        <v>9</v>
      </c>
      <c r="B12" s="5" t="s">
        <v>43</v>
      </c>
      <c r="C12" s="5" t="s">
        <v>73</v>
      </c>
      <c r="D12" s="5" t="s">
        <v>19</v>
      </c>
      <c r="E12" s="14">
        <v>1713</v>
      </c>
      <c r="F12" s="5">
        <v>570</v>
      </c>
      <c r="G12" s="5"/>
      <c r="H12" s="19">
        <f>552 / 570 *100</f>
        <v>96.84210526315789</v>
      </c>
      <c r="I12" s="15">
        <f>570/570*100</f>
        <v>100</v>
      </c>
      <c r="J12" s="15"/>
    </row>
    <row r="13" spans="1:10" ht="15.95" customHeight="1" x14ac:dyDescent="0.4">
      <c r="A13" s="5" t="s">
        <v>47</v>
      </c>
      <c r="B13" s="5" t="s">
        <v>46</v>
      </c>
      <c r="C13" s="5" t="s">
        <v>73</v>
      </c>
      <c r="D13" s="5" t="s">
        <v>20</v>
      </c>
      <c r="E13" s="14">
        <v>1437</v>
      </c>
      <c r="F13" s="5">
        <v>478</v>
      </c>
      <c r="G13" s="5"/>
      <c r="H13" s="19">
        <f>476 / 478 *100</f>
        <v>99.581589958159</v>
      </c>
      <c r="I13" s="15">
        <f>478/478*100</f>
        <v>100</v>
      </c>
      <c r="J13" s="15"/>
    </row>
    <row r="14" spans="1:10" ht="15.95" customHeight="1" x14ac:dyDescent="0.4">
      <c r="A14" s="5" t="s">
        <v>1</v>
      </c>
      <c r="B14" s="5" t="s">
        <v>49</v>
      </c>
      <c r="C14" s="5" t="s">
        <v>73</v>
      </c>
      <c r="D14" s="5" t="s">
        <v>21</v>
      </c>
      <c r="E14" s="14">
        <v>552</v>
      </c>
      <c r="F14" s="5">
        <v>183</v>
      </c>
      <c r="G14" s="5"/>
      <c r="H14" s="4">
        <f>183 / 183 *100</f>
        <v>100</v>
      </c>
      <c r="I14" s="15">
        <f>183/183*100</f>
        <v>100</v>
      </c>
      <c r="J14" s="15"/>
    </row>
    <row r="15" spans="1:10" ht="15.95" customHeight="1" x14ac:dyDescent="0.4">
      <c r="A15" s="5" t="s">
        <v>48</v>
      </c>
      <c r="B15" s="5" t="s">
        <v>50</v>
      </c>
      <c r="C15" s="5" t="s">
        <v>73</v>
      </c>
      <c r="D15" s="5" t="s">
        <v>22</v>
      </c>
      <c r="E15" s="14">
        <v>1086</v>
      </c>
      <c r="F15" s="5">
        <v>361</v>
      </c>
      <c r="G15" s="5"/>
      <c r="H15" s="19">
        <f>347 / 362 *100</f>
        <v>95.856353591160229</v>
      </c>
      <c r="I15" s="15">
        <f>361/361*100</f>
        <v>100</v>
      </c>
      <c r="J15" s="15"/>
    </row>
    <row r="16" spans="1:10" ht="15.95" customHeight="1" x14ac:dyDescent="0.4">
      <c r="A16" s="5" t="s">
        <v>4</v>
      </c>
      <c r="B16" s="5" t="s">
        <v>51</v>
      </c>
      <c r="C16" s="5" t="s">
        <v>73</v>
      </c>
      <c r="D16" s="5" t="s">
        <v>23</v>
      </c>
      <c r="E16" s="14">
        <v>213</v>
      </c>
      <c r="F16" s="5">
        <v>70</v>
      </c>
      <c r="G16" s="5"/>
      <c r="H16" s="19">
        <f>68 / 70*100</f>
        <v>97.142857142857139</v>
      </c>
      <c r="I16" s="15">
        <f>70/70*100</f>
        <v>100</v>
      </c>
      <c r="J16" s="15"/>
    </row>
    <row r="17" spans="1:10" s="25" customFormat="1" ht="15.95" customHeight="1" x14ac:dyDescent="0.4">
      <c r="A17" s="5" t="s">
        <v>0</v>
      </c>
      <c r="B17" s="5" t="s">
        <v>43</v>
      </c>
      <c r="C17" s="5" t="s">
        <v>73</v>
      </c>
      <c r="D17" s="5" t="s">
        <v>24</v>
      </c>
      <c r="E17" s="5">
        <v>690</v>
      </c>
      <c r="F17" s="5">
        <v>229</v>
      </c>
      <c r="G17" s="5"/>
      <c r="H17" s="19">
        <f>139 / 141 *100</f>
        <v>98.581560283687935</v>
      </c>
      <c r="I17" s="17">
        <f>141/229*100</f>
        <v>61.572052401746724</v>
      </c>
      <c r="J17" s="17"/>
    </row>
    <row r="18" spans="1:10" s="25" customFormat="1" ht="15.95" customHeight="1" x14ac:dyDescent="0.4">
      <c r="A18" s="5" t="s">
        <v>52</v>
      </c>
      <c r="B18" s="5" t="s">
        <v>53</v>
      </c>
      <c r="C18" s="5" t="s">
        <v>73</v>
      </c>
      <c r="D18" s="13" t="s">
        <v>25</v>
      </c>
      <c r="E18" s="13">
        <v>2733</v>
      </c>
      <c r="F18" s="5">
        <v>910</v>
      </c>
      <c r="G18" s="5"/>
      <c r="H18" s="19">
        <f>884 / 894 *100</f>
        <v>98.881431767337816</v>
      </c>
      <c r="I18" s="17">
        <f>894/910*100</f>
        <v>98.241758241758234</v>
      </c>
      <c r="J18" s="17"/>
    </row>
    <row r="19" spans="1:10" ht="15.95" customHeight="1" x14ac:dyDescent="0.4">
      <c r="A19" s="5" t="s">
        <v>54</v>
      </c>
      <c r="B19" s="5" t="s">
        <v>55</v>
      </c>
      <c r="C19" s="5" t="s">
        <v>73</v>
      </c>
      <c r="D19" s="5" t="s">
        <v>26</v>
      </c>
      <c r="E19" s="5">
        <v>618</v>
      </c>
      <c r="F19" s="5">
        <v>205</v>
      </c>
      <c r="G19" s="5"/>
      <c r="H19" s="22">
        <f>205 / 205*100</f>
        <v>100</v>
      </c>
      <c r="I19" s="28">
        <f>205/205*100</f>
        <v>100</v>
      </c>
      <c r="J19" s="33"/>
    </row>
    <row r="20" spans="1:10" ht="15.95" customHeight="1" x14ac:dyDescent="0.4">
      <c r="A20" s="5" t="s">
        <v>6</v>
      </c>
      <c r="B20" s="5" t="s">
        <v>35</v>
      </c>
      <c r="C20" s="5" t="s">
        <v>74</v>
      </c>
      <c r="D20" s="5" t="s">
        <v>78</v>
      </c>
      <c r="E20" s="13">
        <v>1329</v>
      </c>
      <c r="F20" s="5">
        <v>442</v>
      </c>
      <c r="G20" s="5"/>
      <c r="H20" s="19">
        <f>440 / 442 *100</f>
        <v>99.547511312217196</v>
      </c>
      <c r="I20" s="28">
        <f>442/442*100</f>
        <v>100</v>
      </c>
      <c r="J20" s="33"/>
    </row>
    <row r="21" spans="1:10" ht="15.95" customHeight="1" x14ac:dyDescent="0.4">
      <c r="A21" s="5" t="s">
        <v>56</v>
      </c>
      <c r="B21" s="5" t="s">
        <v>57</v>
      </c>
      <c r="C21" s="5" t="s">
        <v>73</v>
      </c>
      <c r="D21" s="5" t="s">
        <v>27</v>
      </c>
      <c r="E21" s="13">
        <v>2214</v>
      </c>
      <c r="F21" s="5">
        <v>737</v>
      </c>
      <c r="G21" s="5"/>
      <c r="H21" s="19">
        <f>725 / 737 *100</f>
        <v>98.37177747625509</v>
      </c>
      <c r="I21" s="28">
        <f>737/737*100</f>
        <v>100</v>
      </c>
      <c r="J21" s="33"/>
    </row>
    <row r="22" spans="1:10" ht="15.95" customHeight="1" x14ac:dyDescent="0.4">
      <c r="A22" s="5" t="s">
        <v>59</v>
      </c>
      <c r="B22" s="5" t="s">
        <v>60</v>
      </c>
      <c r="C22" s="5" t="s">
        <v>73</v>
      </c>
      <c r="D22" s="5" t="s">
        <v>28</v>
      </c>
      <c r="E22" s="5">
        <v>591</v>
      </c>
      <c r="F22" s="5">
        <v>196</v>
      </c>
      <c r="G22" s="5"/>
      <c r="H22" s="19">
        <f>193 / 196 *100</f>
        <v>98.469387755102048</v>
      </c>
      <c r="I22" s="28">
        <f>196/196*100</f>
        <v>100</v>
      </c>
      <c r="J22" s="33"/>
    </row>
    <row r="23" spans="1:10" s="11" customFormat="1" ht="15.95" customHeight="1" x14ac:dyDescent="0.4">
      <c r="A23" s="5" t="s">
        <v>61</v>
      </c>
      <c r="B23" s="5" t="s">
        <v>60</v>
      </c>
      <c r="C23" s="5" t="s">
        <v>73</v>
      </c>
      <c r="D23" s="5" t="s">
        <v>37</v>
      </c>
      <c r="E23" s="5">
        <v>618</v>
      </c>
      <c r="F23" s="5">
        <v>205</v>
      </c>
      <c r="G23" s="5"/>
      <c r="H23" s="19">
        <f>203 / 205 *100</f>
        <v>99.024390243902445</v>
      </c>
      <c r="I23" s="28">
        <f>205/205*100</f>
        <v>100</v>
      </c>
      <c r="J23" s="33"/>
    </row>
    <row r="24" spans="1:10" ht="15.95" customHeight="1" x14ac:dyDescent="0.4">
      <c r="A24" s="5" t="s">
        <v>2</v>
      </c>
      <c r="B24" s="5" t="s">
        <v>43</v>
      </c>
      <c r="C24" s="5" t="s">
        <v>73</v>
      </c>
      <c r="D24" s="5" t="s">
        <v>29</v>
      </c>
      <c r="E24" s="5">
        <v>672</v>
      </c>
      <c r="F24" s="5">
        <v>223</v>
      </c>
      <c r="G24" s="5"/>
      <c r="H24" s="19">
        <f>219 / 223*100</f>
        <v>98.206278026905821</v>
      </c>
      <c r="I24" s="28">
        <f>223/223*100</f>
        <v>100</v>
      </c>
      <c r="J24" s="33"/>
    </row>
    <row r="25" spans="1:10" s="25" customFormat="1" ht="15.95" customHeight="1" x14ac:dyDescent="0.4">
      <c r="A25" s="31" t="s">
        <v>62</v>
      </c>
      <c r="B25" s="31" t="s">
        <v>63</v>
      </c>
      <c r="C25" s="31" t="s">
        <v>73</v>
      </c>
      <c r="D25" s="31" t="s">
        <v>30</v>
      </c>
      <c r="E25" s="31">
        <v>396</v>
      </c>
      <c r="F25" s="31">
        <v>131</v>
      </c>
      <c r="G25" s="35"/>
      <c r="H25" s="18">
        <f>59 / 60*100</f>
        <v>98.333333333333329</v>
      </c>
      <c r="I25" s="24">
        <f>60/131*100</f>
        <v>45.801526717557252</v>
      </c>
      <c r="J25" s="24"/>
    </row>
    <row r="26" spans="1:10" ht="15.95" customHeight="1" x14ac:dyDescent="0.4">
      <c r="A26" s="36" t="s">
        <v>64</v>
      </c>
      <c r="B26" s="36" t="s">
        <v>65</v>
      </c>
      <c r="C26" s="36" t="s">
        <v>73</v>
      </c>
      <c r="D26" s="36" t="s">
        <v>36</v>
      </c>
      <c r="E26" s="36">
        <v>1902</v>
      </c>
      <c r="F26" s="36">
        <v>633</v>
      </c>
      <c r="G26" s="36"/>
      <c r="H26" s="37">
        <f>122 / 125*100</f>
        <v>97.6</v>
      </c>
      <c r="I26" s="38">
        <f>125/633*100</f>
        <v>19.747235387045812</v>
      </c>
      <c r="J26" s="38"/>
    </row>
    <row r="27" spans="1:10" s="25" customFormat="1" ht="15.95" customHeight="1" x14ac:dyDescent="0.4">
      <c r="A27" s="5" t="s">
        <v>8</v>
      </c>
      <c r="B27" s="5" t="s">
        <v>66</v>
      </c>
      <c r="C27" s="5" t="s">
        <v>74</v>
      </c>
      <c r="D27" s="5" t="s">
        <v>79</v>
      </c>
      <c r="E27" s="5">
        <v>171</v>
      </c>
      <c r="F27" s="5">
        <v>56</v>
      </c>
      <c r="G27" s="5"/>
      <c r="H27" s="19">
        <f>55 / 56*100</f>
        <v>98.214285714285708</v>
      </c>
      <c r="I27" s="28">
        <f>56/56*100</f>
        <v>100</v>
      </c>
      <c r="J27" s="33"/>
    </row>
    <row r="28" spans="1:10" s="25" customFormat="1" ht="15.95" customHeight="1" x14ac:dyDescent="0.4">
      <c r="A28" s="5" t="s">
        <v>70</v>
      </c>
      <c r="B28" s="5" t="s">
        <v>67</v>
      </c>
      <c r="C28" s="5" t="s">
        <v>73</v>
      </c>
      <c r="D28" s="5" t="s">
        <v>31</v>
      </c>
      <c r="E28" s="13">
        <v>1686</v>
      </c>
      <c r="F28" s="5">
        <v>561</v>
      </c>
      <c r="G28" s="5"/>
      <c r="H28" s="19">
        <f>528 / 539 *100</f>
        <v>97.959183673469383</v>
      </c>
      <c r="I28" s="17">
        <f>539/561*100</f>
        <v>96.078431372549019</v>
      </c>
      <c r="J28" s="17"/>
    </row>
    <row r="29" spans="1:10" s="25" customFormat="1" ht="15.95" customHeight="1" x14ac:dyDescent="0.4">
      <c r="A29" s="5" t="s">
        <v>68</v>
      </c>
      <c r="B29" s="5" t="s">
        <v>65</v>
      </c>
      <c r="C29" s="5" t="s">
        <v>74</v>
      </c>
      <c r="D29" s="5" t="s">
        <v>80</v>
      </c>
      <c r="E29" s="13">
        <v>426</v>
      </c>
      <c r="F29" s="5">
        <v>141</v>
      </c>
      <c r="G29" s="5"/>
      <c r="H29" s="19">
        <f>19 / 19*100</f>
        <v>100</v>
      </c>
      <c r="I29" s="17">
        <f>19/141*100</f>
        <v>13.475177304964539</v>
      </c>
      <c r="J29" s="17"/>
    </row>
    <row r="30" spans="1:10" s="25" customFormat="1" ht="15.95" customHeight="1" x14ac:dyDescent="0.4">
      <c r="A30" s="5" t="s">
        <v>13</v>
      </c>
      <c r="B30" s="5" t="s">
        <v>69</v>
      </c>
      <c r="C30" s="5" t="s">
        <v>74</v>
      </c>
      <c r="D30" s="5" t="s">
        <v>81</v>
      </c>
      <c r="E30" s="5">
        <v>915</v>
      </c>
      <c r="F30" s="5">
        <v>304</v>
      </c>
      <c r="G30" s="5"/>
      <c r="H30" s="19">
        <f>3 / 4*100</f>
        <v>75</v>
      </c>
      <c r="I30" s="17">
        <f>4/304*100</f>
        <v>1.3157894736842104</v>
      </c>
      <c r="J30" s="17"/>
    </row>
    <row r="31" spans="1:10" s="26" customFormat="1" ht="15.95" customHeight="1" x14ac:dyDescent="0.4">
      <c r="A31" s="5" t="s">
        <v>93</v>
      </c>
      <c r="B31" s="5" t="s">
        <v>65</v>
      </c>
      <c r="C31" s="5" t="s">
        <v>74</v>
      </c>
      <c r="D31" s="5" t="s">
        <v>82</v>
      </c>
      <c r="E31" s="5">
        <v>330</v>
      </c>
      <c r="F31" s="5">
        <v>109</v>
      </c>
      <c r="G31" s="5"/>
      <c r="H31" s="19">
        <f>16 / 16*100</f>
        <v>100</v>
      </c>
      <c r="I31" s="28">
        <f>16/109*100</f>
        <v>14.678899082568808</v>
      </c>
      <c r="J31" s="33"/>
    </row>
    <row r="32" spans="1:10" ht="15.95" customHeight="1" x14ac:dyDescent="0.4">
      <c r="A32" s="5" t="s">
        <v>94</v>
      </c>
      <c r="B32" s="5" t="s">
        <v>65</v>
      </c>
      <c r="C32" s="5" t="s">
        <v>74</v>
      </c>
      <c r="D32" s="5" t="s">
        <v>83</v>
      </c>
      <c r="E32" s="5">
        <v>720</v>
      </c>
      <c r="F32" s="5">
        <v>239</v>
      </c>
      <c r="G32" s="5"/>
      <c r="H32" s="19">
        <f>133 / 136*100</f>
        <v>97.794117647058826</v>
      </c>
      <c r="I32" s="28">
        <f>136/239*100</f>
        <v>56.903765690376574</v>
      </c>
      <c r="J32" s="33"/>
    </row>
    <row r="33" spans="1:10" ht="15.95" customHeight="1" x14ac:dyDescent="0.4">
      <c r="A33" s="5" t="s">
        <v>95</v>
      </c>
      <c r="B33" s="5" t="s">
        <v>65</v>
      </c>
      <c r="C33" s="5" t="s">
        <v>74</v>
      </c>
      <c r="D33" s="5" t="s">
        <v>84</v>
      </c>
      <c r="E33" s="5">
        <v>762</v>
      </c>
      <c r="F33" s="5">
        <v>253</v>
      </c>
      <c r="G33" s="5"/>
      <c r="H33" s="19">
        <f>251 / 253 *100</f>
        <v>99.209486166007906</v>
      </c>
      <c r="I33" s="28">
        <f>253/253*100</f>
        <v>100</v>
      </c>
      <c r="J33" s="33"/>
    </row>
    <row r="34" spans="1:10" ht="15.95" customHeight="1" x14ac:dyDescent="0.4">
      <c r="A34" s="5" t="s">
        <v>96</v>
      </c>
      <c r="B34" s="5" t="s">
        <v>65</v>
      </c>
      <c r="C34" s="5" t="s">
        <v>74</v>
      </c>
      <c r="D34" s="5" t="s">
        <v>85</v>
      </c>
      <c r="E34" s="5">
        <v>393</v>
      </c>
      <c r="F34" s="5">
        <v>130</v>
      </c>
      <c r="G34" s="5"/>
      <c r="H34" s="22">
        <f>63 / 63*100</f>
        <v>100</v>
      </c>
      <c r="I34" s="28">
        <f>63/130*100</f>
        <v>48.46153846153846</v>
      </c>
      <c r="J34" s="33"/>
    </row>
    <row r="35" spans="1:10" ht="15.95" customHeight="1" x14ac:dyDescent="0.4">
      <c r="A35" s="6" t="s">
        <v>97</v>
      </c>
      <c r="B35" s="6" t="s">
        <v>71</v>
      </c>
      <c r="C35" s="6" t="s">
        <v>74</v>
      </c>
      <c r="D35" s="6" t="s">
        <v>86</v>
      </c>
      <c r="E35" s="34">
        <v>432</v>
      </c>
      <c r="F35" s="6">
        <v>143</v>
      </c>
      <c r="G35" s="6"/>
      <c r="H35" s="20">
        <f>35/35*100</f>
        <v>100</v>
      </c>
      <c r="I35" s="21">
        <f>35/143*100</f>
        <v>24.475524475524477</v>
      </c>
      <c r="J35" s="24"/>
    </row>
    <row r="36" spans="1:10" ht="15" customHeight="1" x14ac:dyDescent="0.4">
      <c r="A36" s="1"/>
      <c r="B36" s="30"/>
      <c r="C36" s="30"/>
    </row>
  </sheetData>
  <mergeCells count="3">
    <mergeCell ref="E2:F2"/>
    <mergeCell ref="H2:I2"/>
    <mergeCell ref="A1:I1"/>
  </mergeCells>
  <phoneticPr fontId="1"/>
  <printOptions horizontalCentered="1"/>
  <pageMargins left="0.70866141732283472" right="0.70866141732283472" top="0.74803149606299213" bottom="0.74803149606299213" header="0.31496062992125984" footer="0.31496062992125984"/>
  <pageSetup paperSize="9" scale="5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hatama3</dc:creator>
  <cp:lastModifiedBy>HATAMA</cp:lastModifiedBy>
  <cp:lastPrinted>2021-03-01T02:42:23Z</cp:lastPrinted>
  <dcterms:created xsi:type="dcterms:W3CDTF">2020-12-21T11:54:38Z</dcterms:created>
  <dcterms:modified xsi:type="dcterms:W3CDTF">2021-03-16T07:51:10Z</dcterms:modified>
</cp:coreProperties>
</file>