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vanatta\OneDrive - Umich\Documents\UM\ASSET\Nuclear_GSRA\Learning_Curves\NE_Images\"/>
    </mc:Choice>
  </mc:AlternateContent>
  <xr:revisionPtr revIDLastSave="0" documentId="13_ncr:40001_{EBA03AD9-FDC4-4C83-9C62-C881AB9F92D5}" xr6:coauthVersionLast="47" xr6:coauthVersionMax="47" xr10:uidLastSave="{00000000-0000-0000-0000-000000000000}"/>
  <bookViews>
    <workbookView xWindow="28680" yWindow="-120" windowWidth="38640" windowHeight="2124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N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56" i="1"/>
  <c r="AR57" i="1"/>
  <c r="AR58" i="1"/>
  <c r="AR59" i="1"/>
  <c r="AR60" i="1"/>
  <c r="AR61" i="1"/>
  <c r="AR62" i="1"/>
  <c r="AR63" i="1"/>
  <c r="AR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13" i="1"/>
  <c r="F7" i="1"/>
  <c r="D32" i="1" s="1"/>
  <c r="AO63" i="1"/>
  <c r="AO62" i="1"/>
  <c r="AO61" i="1"/>
  <c r="AO60" i="1"/>
  <c r="AO59" i="1"/>
  <c r="AO58" i="1"/>
  <c r="AO57" i="1"/>
  <c r="AO56" i="1"/>
  <c r="AO55" i="1"/>
  <c r="AO54" i="1"/>
  <c r="AO53" i="1"/>
  <c r="AO52" i="1"/>
  <c r="AO51" i="1"/>
  <c r="AO50" i="1"/>
  <c r="AO49" i="1"/>
  <c r="AO48" i="1"/>
  <c r="AO47" i="1"/>
  <c r="AO46" i="1"/>
  <c r="AO45" i="1"/>
  <c r="AO44" i="1"/>
  <c r="AO43" i="1"/>
  <c r="AO42" i="1"/>
  <c r="AO41" i="1"/>
  <c r="AO40" i="1"/>
  <c r="AO39" i="1"/>
  <c r="AO38" i="1"/>
  <c r="AO37" i="1"/>
  <c r="AO36" i="1"/>
  <c r="AO35" i="1"/>
  <c r="AO34" i="1"/>
  <c r="AO33" i="1"/>
  <c r="AO32" i="1"/>
  <c r="AO31" i="1"/>
  <c r="AO30" i="1"/>
  <c r="AO29" i="1"/>
  <c r="AO28" i="1"/>
  <c r="AO27" i="1"/>
  <c r="AO26" i="1"/>
  <c r="AO25" i="1"/>
  <c r="AO24" i="1"/>
  <c r="AO23" i="1"/>
  <c r="AO22" i="1"/>
  <c r="AO21" i="1"/>
  <c r="AO20" i="1"/>
  <c r="AO19" i="1"/>
  <c r="AO18" i="1"/>
  <c r="AO17" i="1"/>
  <c r="AO16" i="1"/>
  <c r="AO15" i="1"/>
  <c r="AO14" i="1"/>
  <c r="AO13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13" i="1"/>
  <c r="J9" i="1"/>
  <c r="AJ15" i="1" s="1"/>
  <c r="F8" i="1"/>
  <c r="F9" i="1" s="1"/>
  <c r="N7" i="1"/>
  <c r="N3" i="1"/>
  <c r="B8" i="1"/>
  <c r="AK15" i="1" l="1"/>
  <c r="D56" i="1"/>
  <c r="D42" i="1"/>
  <c r="D31" i="1"/>
  <c r="D55" i="1"/>
  <c r="D41" i="1"/>
  <c r="D30" i="1"/>
  <c r="E30" i="1" s="1"/>
  <c r="F30" i="1" s="1"/>
  <c r="D54" i="1"/>
  <c r="E54" i="1" s="1"/>
  <c r="F54" i="1" s="1"/>
  <c r="D40" i="1"/>
  <c r="E40" i="1" s="1"/>
  <c r="F40" i="1" s="1"/>
  <c r="D26" i="1"/>
  <c r="E26" i="1" s="1"/>
  <c r="F26" i="1" s="1"/>
  <c r="D13" i="1"/>
  <c r="E13" i="1" s="1"/>
  <c r="F13" i="1" s="1"/>
  <c r="D50" i="1"/>
  <c r="D39" i="1"/>
  <c r="E39" i="1" s="1"/>
  <c r="F39" i="1" s="1"/>
  <c r="D25" i="1"/>
  <c r="E25" i="1" s="1"/>
  <c r="F25" i="1" s="1"/>
  <c r="D63" i="1"/>
  <c r="E63" i="1" s="1"/>
  <c r="F63" i="1" s="1"/>
  <c r="D49" i="1"/>
  <c r="E49" i="1" s="1"/>
  <c r="F49" i="1" s="1"/>
  <c r="D38" i="1"/>
  <c r="E38" i="1" s="1"/>
  <c r="F38" i="1" s="1"/>
  <c r="D24" i="1"/>
  <c r="E24" i="1" s="1"/>
  <c r="F24" i="1" s="1"/>
  <c r="D62" i="1"/>
  <c r="E62" i="1" s="1"/>
  <c r="F62" i="1" s="1"/>
  <c r="D48" i="1"/>
  <c r="D34" i="1"/>
  <c r="D23" i="1"/>
  <c r="E23" i="1" s="1"/>
  <c r="F23" i="1" s="1"/>
  <c r="D58" i="1"/>
  <c r="E58" i="1" s="1"/>
  <c r="F58" i="1" s="1"/>
  <c r="D47" i="1"/>
  <c r="E47" i="1" s="1"/>
  <c r="F47" i="1" s="1"/>
  <c r="D33" i="1"/>
  <c r="E33" i="1" s="1"/>
  <c r="F33" i="1" s="1"/>
  <c r="D21" i="1"/>
  <c r="E21" i="1" s="1"/>
  <c r="F21" i="1" s="1"/>
  <c r="D57" i="1"/>
  <c r="D46" i="1"/>
  <c r="J33" i="1"/>
  <c r="K33" i="1" s="1"/>
  <c r="R33" i="1" s="1"/>
  <c r="S33" i="1" s="1"/>
  <c r="AJ13" i="1"/>
  <c r="AK13" i="1" s="1"/>
  <c r="E42" i="1"/>
  <c r="F42" i="1" s="1"/>
  <c r="E34" i="1"/>
  <c r="F34" i="1" s="1"/>
  <c r="J51" i="1"/>
  <c r="K51" i="1" s="1"/>
  <c r="R51" i="1" s="1"/>
  <c r="S51" i="1" s="1"/>
  <c r="J35" i="1"/>
  <c r="K35" i="1" s="1"/>
  <c r="R35" i="1" s="1"/>
  <c r="S35" i="1" s="1"/>
  <c r="J19" i="1"/>
  <c r="K19" i="1" s="1"/>
  <c r="R19" i="1" s="1"/>
  <c r="S19" i="1" s="1"/>
  <c r="AJ28" i="1"/>
  <c r="AK28" i="1" s="1"/>
  <c r="AJ47" i="1"/>
  <c r="AK47" i="1" s="1"/>
  <c r="J17" i="1"/>
  <c r="K17" i="1" s="1"/>
  <c r="R17" i="1" s="1"/>
  <c r="S17" i="1" s="1"/>
  <c r="W43" i="1"/>
  <c r="X43" i="1" s="1"/>
  <c r="AJ21" i="1"/>
  <c r="AK21" i="1" s="1"/>
  <c r="J13" i="1"/>
  <c r="K13" i="1" s="1"/>
  <c r="R13" i="1" s="1"/>
  <c r="S13" i="1" s="1"/>
  <c r="J48" i="1"/>
  <c r="J32" i="1"/>
  <c r="J16" i="1"/>
  <c r="K16" i="1" s="1"/>
  <c r="R16" i="1" s="1"/>
  <c r="S16" i="1" s="1"/>
  <c r="W15" i="1"/>
  <c r="X15" i="1" s="1"/>
  <c r="AJ41" i="1"/>
  <c r="W38" i="1"/>
  <c r="X38" i="1" s="1"/>
  <c r="N5" i="1"/>
  <c r="E48" i="1"/>
  <c r="F48" i="1" s="1"/>
  <c r="J62" i="1"/>
  <c r="K62" i="1" s="1"/>
  <c r="R62" i="1" s="1"/>
  <c r="S62" i="1" s="1"/>
  <c r="J46" i="1"/>
  <c r="J30" i="1"/>
  <c r="J14" i="1"/>
  <c r="K14" i="1" s="1"/>
  <c r="R14" i="1" s="1"/>
  <c r="S14" i="1" s="1"/>
  <c r="W28" i="1"/>
  <c r="X28" i="1" s="1"/>
  <c r="AJ14" i="1"/>
  <c r="AK14" i="1" s="1"/>
  <c r="AJ26" i="1"/>
  <c r="AJ34" i="1"/>
  <c r="AJ45" i="1"/>
  <c r="AK45" i="1" s="1"/>
  <c r="AJ49" i="1"/>
  <c r="AK49" i="1" s="1"/>
  <c r="AJ53" i="1"/>
  <c r="AK53" i="1" s="1"/>
  <c r="AJ58" i="1"/>
  <c r="W20" i="1"/>
  <c r="X20" i="1" s="1"/>
  <c r="W63" i="1"/>
  <c r="X63" i="1" s="1"/>
  <c r="AJ17" i="1"/>
  <c r="AK17" i="1" s="1"/>
  <c r="AJ61" i="1"/>
  <c r="AK61" i="1" s="1"/>
  <c r="N9" i="1"/>
  <c r="J59" i="1"/>
  <c r="K59" i="1" s="1"/>
  <c r="R59" i="1" s="1"/>
  <c r="S59" i="1" s="1"/>
  <c r="J43" i="1"/>
  <c r="K43" i="1" s="1"/>
  <c r="R43" i="1" s="1"/>
  <c r="S43" i="1" s="1"/>
  <c r="J27" i="1"/>
  <c r="K27" i="1" s="1"/>
  <c r="R27" i="1" s="1"/>
  <c r="S27" i="1" s="1"/>
  <c r="W35" i="1"/>
  <c r="X35" i="1" s="1"/>
  <c r="W45" i="1"/>
  <c r="X45" i="1" s="1"/>
  <c r="AJ63" i="1"/>
  <c r="J49" i="1"/>
  <c r="K49" i="1" s="1"/>
  <c r="R49" i="1" s="1"/>
  <c r="S49" i="1" s="1"/>
  <c r="D14" i="1"/>
  <c r="D22" i="1"/>
  <c r="D15" i="1"/>
  <c r="D17" i="1"/>
  <c r="D20" i="1"/>
  <c r="E46" i="1"/>
  <c r="F46" i="1" s="1"/>
  <c r="E32" i="1"/>
  <c r="F32" i="1" s="1"/>
  <c r="D61" i="1"/>
  <c r="D53" i="1"/>
  <c r="D45" i="1"/>
  <c r="D37" i="1"/>
  <c r="D29" i="1"/>
  <c r="D19" i="1"/>
  <c r="J57" i="1"/>
  <c r="K57" i="1" s="1"/>
  <c r="R57" i="1" s="1"/>
  <c r="S57" i="1" s="1"/>
  <c r="J41" i="1"/>
  <c r="J25" i="1"/>
  <c r="W17" i="1"/>
  <c r="X17" i="1" s="1"/>
  <c r="AJ23" i="1"/>
  <c r="AJ27" i="1"/>
  <c r="AK27" i="1" s="1"/>
  <c r="AJ46" i="1"/>
  <c r="E56" i="1"/>
  <c r="F56" i="1" s="1"/>
  <c r="E31" i="1"/>
  <c r="F31" i="1" s="1"/>
  <c r="D60" i="1"/>
  <c r="D52" i="1"/>
  <c r="D44" i="1"/>
  <c r="D36" i="1"/>
  <c r="D28" i="1"/>
  <c r="D18" i="1"/>
  <c r="J56" i="1"/>
  <c r="J40" i="1"/>
  <c r="J24" i="1"/>
  <c r="K24" i="1" s="1"/>
  <c r="R24" i="1" s="1"/>
  <c r="S24" i="1" s="1"/>
  <c r="W24" i="1"/>
  <c r="X24" i="1" s="1"/>
  <c r="W36" i="1"/>
  <c r="X36" i="1" s="1"/>
  <c r="W42" i="1"/>
  <c r="W61" i="1"/>
  <c r="X61" i="1" s="1"/>
  <c r="AJ62" i="1"/>
  <c r="AK62" i="1" s="1"/>
  <c r="AJ48" i="1"/>
  <c r="AJ35" i="1"/>
  <c r="AK35" i="1" s="1"/>
  <c r="AJ22" i="1"/>
  <c r="AK22" i="1" s="1"/>
  <c r="AJ16" i="1"/>
  <c r="AK16" i="1" s="1"/>
  <c r="W62" i="1"/>
  <c r="X62" i="1" s="1"/>
  <c r="W48" i="1"/>
  <c r="X48" i="1" s="1"/>
  <c r="W41" i="1"/>
  <c r="W37" i="1"/>
  <c r="X37" i="1" s="1"/>
  <c r="W34" i="1"/>
  <c r="W30" i="1"/>
  <c r="W23" i="1"/>
  <c r="W19" i="1"/>
  <c r="X19" i="1" s="1"/>
  <c r="W16" i="1"/>
  <c r="X16" i="1" s="1"/>
  <c r="AJ57" i="1"/>
  <c r="AJ52" i="1"/>
  <c r="AK52" i="1" s="1"/>
  <c r="AJ50" i="1"/>
  <c r="AK50" i="1" s="1"/>
  <c r="AJ39" i="1"/>
  <c r="AJ37" i="1"/>
  <c r="AK37" i="1" s="1"/>
  <c r="AJ33" i="1"/>
  <c r="AJ20" i="1"/>
  <c r="AK20" i="1" s="1"/>
  <c r="AJ18" i="1"/>
  <c r="AK18" i="1" s="1"/>
  <c r="W57" i="1"/>
  <c r="X57" i="1" s="1"/>
  <c r="W51" i="1"/>
  <c r="X51" i="1" s="1"/>
  <c r="W44" i="1"/>
  <c r="X44" i="1" s="1"/>
  <c r="W13" i="1"/>
  <c r="X13" i="1" s="1"/>
  <c r="J20" i="1"/>
  <c r="K20" i="1" s="1"/>
  <c r="R20" i="1" s="1"/>
  <c r="S20" i="1" s="1"/>
  <c r="J28" i="1"/>
  <c r="K28" i="1" s="1"/>
  <c r="R28" i="1" s="1"/>
  <c r="S28" i="1" s="1"/>
  <c r="J36" i="1"/>
  <c r="K36" i="1" s="1"/>
  <c r="R36" i="1" s="1"/>
  <c r="S36" i="1" s="1"/>
  <c r="J44" i="1"/>
  <c r="K44" i="1" s="1"/>
  <c r="R44" i="1" s="1"/>
  <c r="S44" i="1" s="1"/>
  <c r="J52" i="1"/>
  <c r="K52" i="1" s="1"/>
  <c r="R52" i="1" s="1"/>
  <c r="S52" i="1" s="1"/>
  <c r="J60" i="1"/>
  <c r="K60" i="1" s="1"/>
  <c r="R60" i="1" s="1"/>
  <c r="S60" i="1" s="1"/>
  <c r="AJ59" i="1"/>
  <c r="AK59" i="1" s="1"/>
  <c r="AJ54" i="1"/>
  <c r="AK54" i="1" s="1"/>
  <c r="AJ43" i="1"/>
  <c r="AK43" i="1" s="1"/>
  <c r="AJ30" i="1"/>
  <c r="AJ24" i="1"/>
  <c r="AK24" i="1" s="1"/>
  <c r="W59" i="1"/>
  <c r="X59" i="1" s="1"/>
  <c r="W54" i="1"/>
  <c r="X54" i="1" s="1"/>
  <c r="W47" i="1"/>
  <c r="X47" i="1" s="1"/>
  <c r="W40" i="1"/>
  <c r="X40" i="1" s="1"/>
  <c r="W33" i="1"/>
  <c r="W29" i="1"/>
  <c r="X29" i="1" s="1"/>
  <c r="W26" i="1"/>
  <c r="W22" i="1"/>
  <c r="X22" i="1" s="1"/>
  <c r="W18" i="1"/>
  <c r="X18" i="1" s="1"/>
  <c r="J21" i="1"/>
  <c r="J29" i="1"/>
  <c r="K29" i="1" s="1"/>
  <c r="R29" i="1" s="1"/>
  <c r="S29" i="1" s="1"/>
  <c r="J37" i="1"/>
  <c r="K37" i="1" s="1"/>
  <c r="R37" i="1" s="1"/>
  <c r="S37" i="1" s="1"/>
  <c r="J45" i="1"/>
  <c r="K45" i="1" s="1"/>
  <c r="R45" i="1" s="1"/>
  <c r="S45" i="1" s="1"/>
  <c r="J53" i="1"/>
  <c r="K53" i="1" s="1"/>
  <c r="R53" i="1" s="1"/>
  <c r="S53" i="1" s="1"/>
  <c r="J61" i="1"/>
  <c r="K61" i="1" s="1"/>
  <c r="R61" i="1" s="1"/>
  <c r="S61" i="1" s="1"/>
  <c r="AJ56" i="1"/>
  <c r="AJ51" i="1"/>
  <c r="AK51" i="1" s="1"/>
  <c r="AJ38" i="1"/>
  <c r="AJ32" i="1"/>
  <c r="AJ19" i="1"/>
  <c r="AK19" i="1" s="1"/>
  <c r="W56" i="1"/>
  <c r="X56" i="1" s="1"/>
  <c r="W53" i="1"/>
  <c r="X53" i="1" s="1"/>
  <c r="W50" i="1"/>
  <c r="X50" i="1" s="1"/>
  <c r="W46" i="1"/>
  <c r="W39" i="1"/>
  <c r="X39" i="1" s="1"/>
  <c r="W32" i="1"/>
  <c r="X32" i="1" s="1"/>
  <c r="W25" i="1"/>
  <c r="X25" i="1" s="1"/>
  <c r="W21" i="1"/>
  <c r="J15" i="1"/>
  <c r="K15" i="1" s="1"/>
  <c r="R15" i="1" s="1"/>
  <c r="S15" i="1" s="1"/>
  <c r="J23" i="1"/>
  <c r="J31" i="1"/>
  <c r="J39" i="1"/>
  <c r="J47" i="1"/>
  <c r="K47" i="1" s="1"/>
  <c r="R47" i="1" s="1"/>
  <c r="S47" i="1" s="1"/>
  <c r="J55" i="1"/>
  <c r="J63" i="1"/>
  <c r="AJ60" i="1"/>
  <c r="AK60" i="1" s="1"/>
  <c r="AJ55" i="1"/>
  <c r="AJ44" i="1"/>
  <c r="AK44" i="1" s="1"/>
  <c r="AJ42" i="1"/>
  <c r="AJ31" i="1"/>
  <c r="AJ29" i="1"/>
  <c r="AK29" i="1" s="1"/>
  <c r="AJ25" i="1"/>
  <c r="W60" i="1"/>
  <c r="X60" i="1" s="1"/>
  <c r="W55" i="1"/>
  <c r="X55" i="1" s="1"/>
  <c r="W52" i="1"/>
  <c r="X52" i="1" s="1"/>
  <c r="W27" i="1"/>
  <c r="X27" i="1" s="1"/>
  <c r="J18" i="1"/>
  <c r="K18" i="1" s="1"/>
  <c r="R18" i="1" s="1"/>
  <c r="S18" i="1" s="1"/>
  <c r="J26" i="1"/>
  <c r="J34" i="1"/>
  <c r="J42" i="1"/>
  <c r="J50" i="1"/>
  <c r="J58" i="1"/>
  <c r="W49" i="1"/>
  <c r="X49" i="1" s="1"/>
  <c r="E55" i="1"/>
  <c r="F55" i="1" s="1"/>
  <c r="E41" i="1"/>
  <c r="F41" i="1" s="1"/>
  <c r="D59" i="1"/>
  <c r="D51" i="1"/>
  <c r="D43" i="1"/>
  <c r="D35" i="1"/>
  <c r="D27" i="1"/>
  <c r="D16" i="1"/>
  <c r="J54" i="1"/>
  <c r="K54" i="1" s="1"/>
  <c r="R54" i="1" s="1"/>
  <c r="S54" i="1" s="1"/>
  <c r="J38" i="1"/>
  <c r="J22" i="1"/>
  <c r="K22" i="1" s="1"/>
  <c r="R22" i="1" s="1"/>
  <c r="S22" i="1" s="1"/>
  <c r="W14" i="1"/>
  <c r="X14" i="1" s="1"/>
  <c r="W31" i="1"/>
  <c r="X31" i="1" s="1"/>
  <c r="W58" i="1"/>
  <c r="AJ36" i="1"/>
  <c r="AK36" i="1" s="1"/>
  <c r="AJ40" i="1"/>
  <c r="AN62" i="1" l="1"/>
  <c r="AN54" i="1"/>
  <c r="N24" i="1"/>
  <c r="N32" i="1"/>
  <c r="N40" i="1"/>
  <c r="N48" i="1"/>
  <c r="N56" i="1"/>
  <c r="N17" i="1"/>
  <c r="AN56" i="1"/>
  <c r="N30" i="1"/>
  <c r="N54" i="1"/>
  <c r="AN63" i="1"/>
  <c r="N47" i="1"/>
  <c r="AN61" i="1"/>
  <c r="AN53" i="1"/>
  <c r="AA14" i="1"/>
  <c r="N25" i="1"/>
  <c r="N33" i="1"/>
  <c r="N41" i="1"/>
  <c r="N49" i="1"/>
  <c r="N57" i="1"/>
  <c r="N38" i="1"/>
  <c r="AN60" i="1"/>
  <c r="AN14" i="1"/>
  <c r="N18" i="1"/>
  <c r="N26" i="1"/>
  <c r="N34" i="1"/>
  <c r="N42" i="1"/>
  <c r="N50" i="1"/>
  <c r="N58" i="1"/>
  <c r="N46" i="1"/>
  <c r="AN59" i="1"/>
  <c r="AN13" i="1"/>
  <c r="N19" i="1"/>
  <c r="N27" i="1"/>
  <c r="N35" i="1"/>
  <c r="N43" i="1"/>
  <c r="N51" i="1"/>
  <c r="N59" i="1"/>
  <c r="N62" i="1"/>
  <c r="N23" i="1"/>
  <c r="N55" i="1"/>
  <c r="AN58" i="1"/>
  <c r="N20" i="1"/>
  <c r="N28" i="1"/>
  <c r="N36" i="1"/>
  <c r="N44" i="1"/>
  <c r="N52" i="1"/>
  <c r="N60" i="1"/>
  <c r="N39" i="1"/>
  <c r="AN57" i="1"/>
  <c r="N21" i="1"/>
  <c r="N29" i="1"/>
  <c r="N37" i="1"/>
  <c r="N45" i="1"/>
  <c r="N53" i="1"/>
  <c r="N61" i="1"/>
  <c r="N22" i="1"/>
  <c r="AN55" i="1"/>
  <c r="N31" i="1"/>
  <c r="N63" i="1"/>
  <c r="Y34" i="1"/>
  <c r="Z34" i="1" s="1"/>
  <c r="X34" i="1"/>
  <c r="L40" i="1"/>
  <c r="M40" i="1" s="1"/>
  <c r="P40" i="1" s="1"/>
  <c r="Q40" i="1" s="1"/>
  <c r="K40" i="1"/>
  <c r="R40" i="1" s="1"/>
  <c r="S40" i="1" s="1"/>
  <c r="Y58" i="1"/>
  <c r="Z58" i="1" s="1"/>
  <c r="X58" i="1"/>
  <c r="L50" i="1"/>
  <c r="M50" i="1" s="1"/>
  <c r="P50" i="1" s="1"/>
  <c r="Q50" i="1" s="1"/>
  <c r="K50" i="1"/>
  <c r="R50" i="1" s="1"/>
  <c r="S50" i="1" s="1"/>
  <c r="L63" i="1"/>
  <c r="M63" i="1" s="1"/>
  <c r="P63" i="1" s="1"/>
  <c r="Q63" i="1" s="1"/>
  <c r="K63" i="1"/>
  <c r="R63" i="1" s="1"/>
  <c r="S63" i="1" s="1"/>
  <c r="AL32" i="1"/>
  <c r="AM32" i="1" s="1"/>
  <c r="AK32" i="1"/>
  <c r="Y41" i="1"/>
  <c r="Z41" i="1" s="1"/>
  <c r="X41" i="1"/>
  <c r="L33" i="1"/>
  <c r="M33" i="1" s="1"/>
  <c r="AL46" i="1"/>
  <c r="AM46" i="1" s="1"/>
  <c r="AK46" i="1"/>
  <c r="AL39" i="1"/>
  <c r="AM39" i="1" s="1"/>
  <c r="AK39" i="1"/>
  <c r="Y21" i="1"/>
  <c r="Z21" i="1" s="1"/>
  <c r="X21" i="1"/>
  <c r="L42" i="1"/>
  <c r="M42" i="1" s="1"/>
  <c r="K42" i="1"/>
  <c r="R42" i="1" s="1"/>
  <c r="S42" i="1" s="1"/>
  <c r="AL25" i="1"/>
  <c r="AM25" i="1" s="1"/>
  <c r="AK25" i="1"/>
  <c r="L55" i="1"/>
  <c r="M55" i="1" s="1"/>
  <c r="P55" i="1" s="1"/>
  <c r="Q55" i="1" s="1"/>
  <c r="K55" i="1"/>
  <c r="R55" i="1" s="1"/>
  <c r="S55" i="1" s="1"/>
  <c r="AL38" i="1"/>
  <c r="AM38" i="1" s="1"/>
  <c r="AK38" i="1"/>
  <c r="AS38" i="1" s="1"/>
  <c r="L21" i="1"/>
  <c r="M21" i="1" s="1"/>
  <c r="K21" i="1"/>
  <c r="R21" i="1" s="1"/>
  <c r="S21" i="1" s="1"/>
  <c r="AL57" i="1"/>
  <c r="AM57" i="1" s="1"/>
  <c r="AK57" i="1"/>
  <c r="AL58" i="1"/>
  <c r="AM58" i="1" s="1"/>
  <c r="AP58" i="1" s="1"/>
  <c r="AQ58" i="1" s="1"/>
  <c r="AK58" i="1"/>
  <c r="AL41" i="1"/>
  <c r="AM41" i="1" s="1"/>
  <c r="AK41" i="1"/>
  <c r="AS41" i="1" s="1"/>
  <c r="AL55" i="1"/>
  <c r="AM55" i="1" s="1"/>
  <c r="AP55" i="1" s="1"/>
  <c r="AQ55" i="1" s="1"/>
  <c r="AK55" i="1"/>
  <c r="Y33" i="1"/>
  <c r="Z33" i="1" s="1"/>
  <c r="X33" i="1"/>
  <c r="L58" i="1"/>
  <c r="M58" i="1" s="1"/>
  <c r="P58" i="1" s="1"/>
  <c r="Q58" i="1" s="1"/>
  <c r="K58" i="1"/>
  <c r="R58" i="1" s="1"/>
  <c r="S58" i="1" s="1"/>
  <c r="L56" i="1"/>
  <c r="M56" i="1" s="1"/>
  <c r="K56" i="1"/>
  <c r="R56" i="1" s="1"/>
  <c r="S56" i="1" s="1"/>
  <c r="L34" i="1"/>
  <c r="M34" i="1" s="1"/>
  <c r="K34" i="1"/>
  <c r="R34" i="1" s="1"/>
  <c r="S34" i="1" s="1"/>
  <c r="Y42" i="1"/>
  <c r="Z42" i="1" s="1"/>
  <c r="X42" i="1"/>
  <c r="AL23" i="1"/>
  <c r="AM23" i="1" s="1"/>
  <c r="AK23" i="1"/>
  <c r="L30" i="1"/>
  <c r="M30" i="1" s="1"/>
  <c r="P30" i="1" s="1"/>
  <c r="Q30" i="1" s="1"/>
  <c r="K30" i="1"/>
  <c r="R30" i="1" s="1"/>
  <c r="S30" i="1" s="1"/>
  <c r="AL48" i="1"/>
  <c r="AM48" i="1" s="1"/>
  <c r="AK48" i="1"/>
  <c r="L38" i="1"/>
  <c r="M38" i="1" s="1"/>
  <c r="K38" i="1"/>
  <c r="R38" i="1" s="1"/>
  <c r="S38" i="1" s="1"/>
  <c r="L26" i="1"/>
  <c r="M26" i="1" s="1"/>
  <c r="P26" i="1" s="1"/>
  <c r="Q26" i="1" s="1"/>
  <c r="K26" i="1"/>
  <c r="R26" i="1" s="1"/>
  <c r="S26" i="1" s="1"/>
  <c r="AL31" i="1"/>
  <c r="AM31" i="1" s="1"/>
  <c r="AK31" i="1"/>
  <c r="AS31" i="1" s="1"/>
  <c r="L39" i="1"/>
  <c r="M39" i="1" s="1"/>
  <c r="K39" i="1"/>
  <c r="R39" i="1" s="1"/>
  <c r="S39" i="1" s="1"/>
  <c r="Y46" i="1"/>
  <c r="Z46" i="1" s="1"/>
  <c r="X46" i="1"/>
  <c r="AL56" i="1"/>
  <c r="AM56" i="1" s="1"/>
  <c r="AK56" i="1"/>
  <c r="L46" i="1"/>
  <c r="M46" i="1" s="1"/>
  <c r="K46" i="1"/>
  <c r="R46" i="1" s="1"/>
  <c r="S46" i="1" s="1"/>
  <c r="AL42" i="1"/>
  <c r="AM42" i="1" s="1"/>
  <c r="AK42" i="1"/>
  <c r="L31" i="1"/>
  <c r="M31" i="1" s="1"/>
  <c r="K31" i="1"/>
  <c r="R31" i="1" s="1"/>
  <c r="S31" i="1" s="1"/>
  <c r="Y26" i="1"/>
  <c r="Z26" i="1" s="1"/>
  <c r="X26" i="1"/>
  <c r="AL30" i="1"/>
  <c r="AM30" i="1" s="1"/>
  <c r="AK30" i="1"/>
  <c r="AS30" i="1" s="1"/>
  <c r="AL33" i="1"/>
  <c r="AM33" i="1" s="1"/>
  <c r="AK33" i="1"/>
  <c r="Y23" i="1"/>
  <c r="Z23" i="1" s="1"/>
  <c r="X23" i="1"/>
  <c r="L25" i="1"/>
  <c r="M25" i="1" s="1"/>
  <c r="K25" i="1"/>
  <c r="R25" i="1" s="1"/>
  <c r="S25" i="1" s="1"/>
  <c r="L32" i="1"/>
  <c r="M32" i="1" s="1"/>
  <c r="P32" i="1" s="1"/>
  <c r="Q32" i="1" s="1"/>
  <c r="K32" i="1"/>
  <c r="R32" i="1" s="1"/>
  <c r="S32" i="1" s="1"/>
  <c r="AL26" i="1"/>
  <c r="AM26" i="1" s="1"/>
  <c r="AK26" i="1"/>
  <c r="AL40" i="1"/>
  <c r="AM40" i="1" s="1"/>
  <c r="AK40" i="1"/>
  <c r="L23" i="1"/>
  <c r="M23" i="1" s="1"/>
  <c r="K23" i="1"/>
  <c r="R23" i="1" s="1"/>
  <c r="S23" i="1" s="1"/>
  <c r="P11" i="1" s="1"/>
  <c r="R11" i="1" s="1"/>
  <c r="Y30" i="1"/>
  <c r="Z30" i="1" s="1"/>
  <c r="X30" i="1"/>
  <c r="AF30" i="1" s="1"/>
  <c r="L41" i="1"/>
  <c r="M41" i="1" s="1"/>
  <c r="K41" i="1"/>
  <c r="R41" i="1" s="1"/>
  <c r="S41" i="1" s="1"/>
  <c r="AL63" i="1"/>
  <c r="AM63" i="1" s="1"/>
  <c r="AK63" i="1"/>
  <c r="AL34" i="1"/>
  <c r="AM34" i="1" s="1"/>
  <c r="AK34" i="1"/>
  <c r="L48" i="1"/>
  <c r="M48" i="1" s="1"/>
  <c r="P48" i="1" s="1"/>
  <c r="Q48" i="1" s="1"/>
  <c r="K48" i="1"/>
  <c r="R48" i="1" s="1"/>
  <c r="S48" i="1" s="1"/>
  <c r="AL49" i="1"/>
  <c r="AM49" i="1" s="1"/>
  <c r="AS49" i="1" s="1"/>
  <c r="AL54" i="1"/>
  <c r="AM54" i="1" s="1"/>
  <c r="AP54" i="1" s="1"/>
  <c r="AQ54" i="1" s="1"/>
  <c r="L49" i="1"/>
  <c r="M49" i="1" s="1"/>
  <c r="Y47" i="1"/>
  <c r="Z47" i="1" s="1"/>
  <c r="AF47" i="1" s="1"/>
  <c r="L47" i="1"/>
  <c r="M47" i="1" s="1"/>
  <c r="P47" i="1" s="1"/>
  <c r="Q47" i="1" s="1"/>
  <c r="AL51" i="1"/>
  <c r="AM51" i="1" s="1"/>
  <c r="AS51" i="1" s="1"/>
  <c r="L54" i="1"/>
  <c r="M54" i="1" s="1"/>
  <c r="Y50" i="1"/>
  <c r="Z50" i="1" s="1"/>
  <c r="AF50" i="1" s="1"/>
  <c r="Y38" i="1"/>
  <c r="Z38" i="1" s="1"/>
  <c r="AF38" i="1" s="1"/>
  <c r="Y40" i="1"/>
  <c r="Z40" i="1" s="1"/>
  <c r="AF40" i="1" s="1"/>
  <c r="L57" i="1"/>
  <c r="M57" i="1" s="1"/>
  <c r="AL24" i="1"/>
  <c r="AM24" i="1" s="1"/>
  <c r="AS24" i="1" s="1"/>
  <c r="E57" i="1"/>
  <c r="F57" i="1" s="1"/>
  <c r="AL21" i="1"/>
  <c r="AM21" i="1" s="1"/>
  <c r="AS21" i="1" s="1"/>
  <c r="L13" i="1"/>
  <c r="M13" i="1" s="1"/>
  <c r="E50" i="1"/>
  <c r="F50" i="1" s="1"/>
  <c r="AL43" i="1"/>
  <c r="AM43" i="1" s="1"/>
  <c r="AS43" i="1" s="1"/>
  <c r="L24" i="1"/>
  <c r="M24" i="1" s="1"/>
  <c r="L62" i="1"/>
  <c r="M62" i="1" s="1"/>
  <c r="Y13" i="1"/>
  <c r="Z13" i="1" s="1"/>
  <c r="AF13" i="1" s="1"/>
  <c r="AL13" i="1"/>
  <c r="AM13" i="1" s="1"/>
  <c r="AS13" i="1" s="1"/>
  <c r="AL19" i="1"/>
  <c r="AM19" i="1" s="1"/>
  <c r="AS19" i="1" s="1"/>
  <c r="AL59" i="1"/>
  <c r="AM59" i="1" s="1"/>
  <c r="AS59" i="1" s="1"/>
  <c r="AL50" i="1"/>
  <c r="AM50" i="1" s="1"/>
  <c r="AS50" i="1" s="1"/>
  <c r="AL62" i="1"/>
  <c r="AM62" i="1" s="1"/>
  <c r="AS62" i="1" s="1"/>
  <c r="AL47" i="1"/>
  <c r="AM47" i="1" s="1"/>
  <c r="AS47" i="1" s="1"/>
  <c r="L15" i="1"/>
  <c r="M15" i="1" s="1"/>
  <c r="Y15" i="1"/>
  <c r="Z15" i="1" s="1"/>
  <c r="AF15" i="1" s="1"/>
  <c r="E15" i="1"/>
  <c r="F15" i="1" s="1"/>
  <c r="AL16" i="1"/>
  <c r="AM16" i="1" s="1"/>
  <c r="AS16" i="1" s="1"/>
  <c r="Y54" i="1"/>
  <c r="Z54" i="1" s="1"/>
  <c r="AF54" i="1" s="1"/>
  <c r="Y62" i="1"/>
  <c r="Z62" i="1" s="1"/>
  <c r="AF62" i="1" s="1"/>
  <c r="AL45" i="1"/>
  <c r="AM45" i="1" s="1"/>
  <c r="AS45" i="1" s="1"/>
  <c r="Y45" i="1"/>
  <c r="Z45" i="1" s="1"/>
  <c r="AF45" i="1" s="1"/>
  <c r="L45" i="1"/>
  <c r="M45" i="1" s="1"/>
  <c r="E45" i="1"/>
  <c r="F45" i="1" s="1"/>
  <c r="Y17" i="1"/>
  <c r="Z17" i="1" s="1"/>
  <c r="AF17" i="1" s="1"/>
  <c r="AL17" i="1"/>
  <c r="AM17" i="1" s="1"/>
  <c r="AS17" i="1" s="1"/>
  <c r="E17" i="1"/>
  <c r="F17" i="1" s="1"/>
  <c r="L17" i="1"/>
  <c r="M17" i="1" s="1"/>
  <c r="O9" i="1"/>
  <c r="P9" i="1" s="1"/>
  <c r="Q9" i="1" s="1"/>
  <c r="Y32" i="1"/>
  <c r="Z32" i="1" s="1"/>
  <c r="AF32" i="1" s="1"/>
  <c r="L16" i="1"/>
  <c r="M16" i="1" s="1"/>
  <c r="Y16" i="1"/>
  <c r="Z16" i="1" s="1"/>
  <c r="AF16" i="1" s="1"/>
  <c r="E16" i="1"/>
  <c r="F16" i="1" s="1"/>
  <c r="E27" i="1"/>
  <c r="F27" i="1" s="1"/>
  <c r="Y27" i="1"/>
  <c r="Z27" i="1" s="1"/>
  <c r="AF27" i="1" s="1"/>
  <c r="L27" i="1"/>
  <c r="M27" i="1" s="1"/>
  <c r="AL22" i="1"/>
  <c r="AM22" i="1" s="1"/>
  <c r="AS22" i="1" s="1"/>
  <c r="E36" i="1"/>
  <c r="F36" i="1" s="1"/>
  <c r="AL36" i="1"/>
  <c r="AM36" i="1" s="1"/>
  <c r="AS36" i="1" s="1"/>
  <c r="L36" i="1"/>
  <c r="M36" i="1" s="1"/>
  <c r="Y36" i="1"/>
  <c r="Z36" i="1" s="1"/>
  <c r="AF36" i="1" s="1"/>
  <c r="L14" i="1"/>
  <c r="M14" i="1" s="1"/>
  <c r="Y14" i="1"/>
  <c r="Z14" i="1" s="1"/>
  <c r="AF14" i="1" s="1"/>
  <c r="E14" i="1"/>
  <c r="F14" i="1" s="1"/>
  <c r="Y53" i="1"/>
  <c r="Z53" i="1" s="1"/>
  <c r="AF53" i="1" s="1"/>
  <c r="L53" i="1"/>
  <c r="M53" i="1" s="1"/>
  <c r="E53" i="1"/>
  <c r="F53" i="1" s="1"/>
  <c r="E28" i="1"/>
  <c r="F28" i="1" s="1"/>
  <c r="AL28" i="1"/>
  <c r="AM28" i="1" s="1"/>
  <c r="AS28" i="1" s="1"/>
  <c r="L28" i="1"/>
  <c r="M28" i="1" s="1"/>
  <c r="Y28" i="1"/>
  <c r="Z28" i="1" s="1"/>
  <c r="AF28" i="1" s="1"/>
  <c r="AL61" i="1"/>
  <c r="AM61" i="1" s="1"/>
  <c r="AS61" i="1" s="1"/>
  <c r="E35" i="1"/>
  <c r="F35" i="1" s="1"/>
  <c r="Y35" i="1"/>
  <c r="Z35" i="1" s="1"/>
  <c r="AF35" i="1" s="1"/>
  <c r="L35" i="1"/>
  <c r="M35" i="1" s="1"/>
  <c r="AL35" i="1"/>
  <c r="AM35" i="1" s="1"/>
  <c r="AS35" i="1" s="1"/>
  <c r="E44" i="1"/>
  <c r="F44" i="1" s="1"/>
  <c r="Y44" i="1"/>
  <c r="Z44" i="1" s="1"/>
  <c r="AF44" i="1" s="1"/>
  <c r="L44" i="1"/>
  <c r="M44" i="1" s="1"/>
  <c r="AL44" i="1"/>
  <c r="AM44" i="1" s="1"/>
  <c r="AS44" i="1" s="1"/>
  <c r="AL14" i="1"/>
  <c r="AM14" i="1" s="1"/>
  <c r="AS14" i="1" s="1"/>
  <c r="O5" i="1"/>
  <c r="AA57" i="1"/>
  <c r="AA13" i="1"/>
  <c r="AC13" i="1" s="1"/>
  <c r="AD13" i="1" s="1"/>
  <c r="AA59" i="1"/>
  <c r="AA54" i="1"/>
  <c r="AA61" i="1"/>
  <c r="AA53" i="1"/>
  <c r="AA63" i="1"/>
  <c r="AA58" i="1"/>
  <c r="AA62" i="1"/>
  <c r="AA60" i="1"/>
  <c r="AA56" i="1"/>
  <c r="N16" i="1"/>
  <c r="N15" i="1" s="1"/>
  <c r="N14" i="1" s="1"/>
  <c r="AA55" i="1"/>
  <c r="Y48" i="1"/>
  <c r="Z48" i="1" s="1"/>
  <c r="AF48" i="1" s="1"/>
  <c r="AL15" i="1"/>
  <c r="AM15" i="1" s="1"/>
  <c r="AS15" i="1" s="1"/>
  <c r="E18" i="1"/>
  <c r="F18" i="1" s="1"/>
  <c r="AL18" i="1"/>
  <c r="AM18" i="1" s="1"/>
  <c r="AS18" i="1" s="1"/>
  <c r="Y18" i="1"/>
  <c r="Z18" i="1" s="1"/>
  <c r="AF18" i="1" s="1"/>
  <c r="L18" i="1"/>
  <c r="M18" i="1" s="1"/>
  <c r="Y61" i="1"/>
  <c r="Z61" i="1" s="1"/>
  <c r="AF61" i="1" s="1"/>
  <c r="L61" i="1"/>
  <c r="M61" i="1" s="1"/>
  <c r="E61" i="1"/>
  <c r="F61" i="1" s="1"/>
  <c r="Y31" i="1"/>
  <c r="Z31" i="1" s="1"/>
  <c r="AF31" i="1" s="1"/>
  <c r="E43" i="1"/>
  <c r="F43" i="1" s="1"/>
  <c r="Y43" i="1"/>
  <c r="Z43" i="1" s="1"/>
  <c r="AF43" i="1" s="1"/>
  <c r="L43" i="1"/>
  <c r="M43" i="1" s="1"/>
  <c r="P43" i="1" s="1"/>
  <c r="Q43" i="1" s="1"/>
  <c r="Y49" i="1"/>
  <c r="Z49" i="1" s="1"/>
  <c r="AF49" i="1" s="1"/>
  <c r="E52" i="1"/>
  <c r="F52" i="1" s="1"/>
  <c r="AL52" i="1"/>
  <c r="AM52" i="1" s="1"/>
  <c r="AS52" i="1" s="1"/>
  <c r="L52" i="1"/>
  <c r="M52" i="1" s="1"/>
  <c r="Y52" i="1"/>
  <c r="Z52" i="1" s="1"/>
  <c r="AF52" i="1" s="1"/>
  <c r="AL27" i="1"/>
  <c r="AM27" i="1" s="1"/>
  <c r="AS27" i="1" s="1"/>
  <c r="E19" i="1"/>
  <c r="F19" i="1" s="1"/>
  <c r="Y19" i="1"/>
  <c r="Z19" i="1" s="1"/>
  <c r="AF19" i="1" s="1"/>
  <c r="L19" i="1"/>
  <c r="M19" i="1" s="1"/>
  <c r="E51" i="1"/>
  <c r="F51" i="1" s="1"/>
  <c r="Y51" i="1"/>
  <c r="Z51" i="1" s="1"/>
  <c r="AF51" i="1" s="1"/>
  <c r="L51" i="1"/>
  <c r="M51" i="1" s="1"/>
  <c r="P51" i="1" s="1"/>
  <c r="Q51" i="1" s="1"/>
  <c r="E60" i="1"/>
  <c r="F60" i="1" s="1"/>
  <c r="Y60" i="1"/>
  <c r="Z60" i="1" s="1"/>
  <c r="AF60" i="1" s="1"/>
  <c r="AL60" i="1"/>
  <c r="AM60" i="1" s="1"/>
  <c r="AS60" i="1" s="1"/>
  <c r="L60" i="1"/>
  <c r="M60" i="1" s="1"/>
  <c r="Y29" i="1"/>
  <c r="Z29" i="1" s="1"/>
  <c r="AF29" i="1" s="1"/>
  <c r="L29" i="1"/>
  <c r="M29" i="1" s="1"/>
  <c r="P29" i="1" s="1"/>
  <c r="Q29" i="1" s="1"/>
  <c r="AL29" i="1"/>
  <c r="AM29" i="1" s="1"/>
  <c r="AS29" i="1" s="1"/>
  <c r="E29" i="1"/>
  <c r="F29" i="1" s="1"/>
  <c r="Y57" i="1"/>
  <c r="Z57" i="1" s="1"/>
  <c r="AF57" i="1" s="1"/>
  <c r="Y24" i="1"/>
  <c r="Z24" i="1" s="1"/>
  <c r="AF24" i="1" s="1"/>
  <c r="Y56" i="1"/>
  <c r="Z56" i="1" s="1"/>
  <c r="AF56" i="1" s="1"/>
  <c r="L22" i="1"/>
  <c r="M22" i="1" s="1"/>
  <c r="Y22" i="1"/>
  <c r="Z22" i="1" s="1"/>
  <c r="AF22" i="1" s="1"/>
  <c r="E22" i="1"/>
  <c r="F22" i="1" s="1"/>
  <c r="E59" i="1"/>
  <c r="F59" i="1" s="1"/>
  <c r="Y59" i="1"/>
  <c r="Z59" i="1" s="1"/>
  <c r="AF59" i="1" s="1"/>
  <c r="L59" i="1"/>
  <c r="M59" i="1" s="1"/>
  <c r="Y39" i="1"/>
  <c r="Z39" i="1" s="1"/>
  <c r="AF39" i="1" s="1"/>
  <c r="Y63" i="1"/>
  <c r="Z63" i="1" s="1"/>
  <c r="AF63" i="1" s="1"/>
  <c r="AL37" i="1"/>
  <c r="AM37" i="1" s="1"/>
  <c r="AS37" i="1" s="1"/>
  <c r="Y37" i="1"/>
  <c r="Z37" i="1" s="1"/>
  <c r="AF37" i="1" s="1"/>
  <c r="L37" i="1"/>
  <c r="M37" i="1" s="1"/>
  <c r="E37" i="1"/>
  <c r="F37" i="1" s="1"/>
  <c r="E20" i="1"/>
  <c r="F20" i="1" s="1"/>
  <c r="AL20" i="1"/>
  <c r="AM20" i="1" s="1"/>
  <c r="AS20" i="1" s="1"/>
  <c r="Y20" i="1"/>
  <c r="Z20" i="1" s="1"/>
  <c r="AF20" i="1" s="1"/>
  <c r="L20" i="1"/>
  <c r="M20" i="1" s="1"/>
  <c r="AL53" i="1"/>
  <c r="AM53" i="1" s="1"/>
  <c r="AS53" i="1" s="1"/>
  <c r="Y25" i="1"/>
  <c r="Z25" i="1" s="1"/>
  <c r="AF25" i="1" s="1"/>
  <c r="Y55" i="1"/>
  <c r="Z55" i="1" s="1"/>
  <c r="AF55" i="1" s="1"/>
  <c r="AS26" i="1" l="1"/>
  <c r="AS33" i="1"/>
  <c r="AS42" i="1"/>
  <c r="AS48" i="1"/>
  <c r="AS55" i="1"/>
  <c r="AF21" i="1"/>
  <c r="AC58" i="1"/>
  <c r="AD58" i="1" s="1"/>
  <c r="AS32" i="1"/>
  <c r="AF34" i="1"/>
  <c r="AF41" i="1"/>
  <c r="AF58" i="1"/>
  <c r="AS54" i="1"/>
  <c r="AS34" i="1"/>
  <c r="AF26" i="1"/>
  <c r="AS56" i="1"/>
  <c r="AS23" i="1"/>
  <c r="AP11" i="1" s="1"/>
  <c r="AR11" i="1" s="1"/>
  <c r="AS58" i="1"/>
  <c r="AS39" i="1"/>
  <c r="T62" i="1"/>
  <c r="AS63" i="1"/>
  <c r="AS40" i="1"/>
  <c r="AF23" i="1"/>
  <c r="AF46" i="1"/>
  <c r="AF42" i="1"/>
  <c r="AF33" i="1"/>
  <c r="AS57" i="1"/>
  <c r="AS25" i="1"/>
  <c r="AS46" i="1"/>
  <c r="T63" i="1"/>
  <c r="P23" i="1"/>
  <c r="Q23" i="1" s="1"/>
  <c r="P25" i="1"/>
  <c r="Q25" i="1" s="1"/>
  <c r="AP56" i="1"/>
  <c r="AQ56" i="1" s="1"/>
  <c r="P46" i="1"/>
  <c r="Q46" i="1" s="1"/>
  <c r="P56" i="1"/>
  <c r="Q56" i="1" s="1"/>
  <c r="P18" i="1"/>
  <c r="Q18" i="1" s="1"/>
  <c r="P13" i="1"/>
  <c r="Q13" i="1" s="1"/>
  <c r="AN15" i="1"/>
  <c r="AP15" i="1" s="1"/>
  <c r="AQ15" i="1" s="1"/>
  <c r="P37" i="1"/>
  <c r="Q37" i="1" s="1"/>
  <c r="AA15" i="1"/>
  <c r="AC15" i="1" s="1"/>
  <c r="AD15" i="1" s="1"/>
  <c r="P52" i="1"/>
  <c r="Q52" i="1" s="1"/>
  <c r="P33" i="1"/>
  <c r="Q33" i="1" s="1"/>
  <c r="AC63" i="1"/>
  <c r="AD63" i="1" s="1"/>
  <c r="P41" i="1"/>
  <c r="Q41" i="1" s="1"/>
  <c r="P21" i="1"/>
  <c r="Q21" i="1" s="1"/>
  <c r="P42" i="1"/>
  <c r="Q42" i="1" s="1"/>
  <c r="P24" i="1"/>
  <c r="Q24" i="1" s="1"/>
  <c r="P39" i="1"/>
  <c r="Q39" i="1" s="1"/>
  <c r="P34" i="1"/>
  <c r="Q34" i="1" s="1"/>
  <c r="AC59" i="1"/>
  <c r="AD59" i="1" s="1"/>
  <c r="AC56" i="1"/>
  <c r="AD56" i="1" s="1"/>
  <c r="P22" i="1"/>
  <c r="Q22" i="1" s="1"/>
  <c r="P49" i="1"/>
  <c r="Q49" i="1" s="1"/>
  <c r="P57" i="1"/>
  <c r="Q57" i="1" s="1"/>
  <c r="AC60" i="1"/>
  <c r="AD60" i="1" s="1"/>
  <c r="P62" i="1"/>
  <c r="Q62" i="1" s="1"/>
  <c r="P31" i="1"/>
  <c r="Q31" i="1" s="1"/>
  <c r="AP63" i="1"/>
  <c r="AQ63" i="1" s="1"/>
  <c r="P38" i="1"/>
  <c r="Q38" i="1" s="1"/>
  <c r="AP57" i="1"/>
  <c r="AQ57" i="1" s="1"/>
  <c r="AP13" i="1"/>
  <c r="AQ13" i="1" s="1"/>
  <c r="P54" i="1"/>
  <c r="Q54" i="1" s="1"/>
  <c r="P61" i="1"/>
  <c r="Q61" i="1" s="1"/>
  <c r="P59" i="1"/>
  <c r="Q59" i="1" s="1"/>
  <c r="AP59" i="1"/>
  <c r="AQ59" i="1" s="1"/>
  <c r="AP60" i="1"/>
  <c r="AQ60" i="1" s="1"/>
  <c r="AC55" i="1"/>
  <c r="AD55" i="1" s="1"/>
  <c r="AC57" i="1"/>
  <c r="AD57" i="1" s="1"/>
  <c r="P20" i="1"/>
  <c r="Q20" i="1" s="1"/>
  <c r="P60" i="1"/>
  <c r="Q60" i="1" s="1"/>
  <c r="AC53" i="1"/>
  <c r="AD53" i="1" s="1"/>
  <c r="P28" i="1"/>
  <c r="Q28" i="1" s="1"/>
  <c r="AC62" i="1"/>
  <c r="AD62" i="1" s="1"/>
  <c r="AC54" i="1"/>
  <c r="AD54" i="1" s="1"/>
  <c r="P19" i="1"/>
  <c r="Q19" i="1" s="1"/>
  <c r="AP62" i="1"/>
  <c r="AQ62" i="1" s="1"/>
  <c r="AP14" i="1"/>
  <c r="AQ14" i="1" s="1"/>
  <c r="P36" i="1"/>
  <c r="Q36" i="1" s="1"/>
  <c r="F11" i="1"/>
  <c r="AC14" i="1"/>
  <c r="AD14" i="1" s="1"/>
  <c r="P45" i="1"/>
  <c r="Q45" i="1" s="1"/>
  <c r="P35" i="1"/>
  <c r="Q35" i="1" s="1"/>
  <c r="R9" i="1"/>
  <c r="P5" i="1"/>
  <c r="P15" i="1"/>
  <c r="Q15" i="1" s="1"/>
  <c r="AC61" i="1"/>
  <c r="AD61" i="1" s="1"/>
  <c r="P16" i="1"/>
  <c r="Q16" i="1" s="1"/>
  <c r="P17" i="1"/>
  <c r="Q17" i="1" s="1"/>
  <c r="P44" i="1"/>
  <c r="Q44" i="1" s="1"/>
  <c r="P14" i="1"/>
  <c r="Q14" i="1" s="1"/>
  <c r="AP53" i="1"/>
  <c r="AQ53" i="1" s="1"/>
  <c r="AP61" i="1"/>
  <c r="AQ61" i="1" s="1"/>
  <c r="P53" i="1"/>
  <c r="Q53" i="1" s="1"/>
  <c r="P27" i="1"/>
  <c r="Q27" i="1" s="1"/>
  <c r="AC11" i="1" l="1"/>
  <c r="AE11" i="1" s="1"/>
  <c r="S9" i="1"/>
  <c r="T9" i="1" s="1"/>
  <c r="U9" i="1" s="1"/>
  <c r="V9" i="1" s="1"/>
  <c r="W9" i="1" s="1"/>
  <c r="X9" i="1" s="1"/>
  <c r="Y9" i="1" s="1"/>
  <c r="Z9" i="1" s="1"/>
  <c r="AN16" i="1"/>
  <c r="AP16" i="1" s="1"/>
  <c r="AQ16" i="1" s="1"/>
  <c r="AA16" i="1"/>
  <c r="AC16" i="1" s="1"/>
  <c r="AD16" i="1" s="1"/>
  <c r="L11" i="1"/>
  <c r="N11" i="1" s="1"/>
  <c r="Q5" i="1"/>
  <c r="AN17" i="1" l="1"/>
  <c r="AP17" i="1" s="1"/>
  <c r="AQ17" i="1" s="1"/>
  <c r="AA17" i="1"/>
  <c r="AC17" i="1" s="1"/>
  <c r="AD17" i="1" s="1"/>
  <c r="R5" i="1"/>
  <c r="AN19" i="1" s="1"/>
  <c r="AP19" i="1" s="1"/>
  <c r="AQ19" i="1" s="1"/>
  <c r="AA47" i="1" l="1"/>
  <c r="AC47" i="1" s="1"/>
  <c r="AD47" i="1" s="1"/>
  <c r="AN26" i="1"/>
  <c r="AA48" i="1"/>
  <c r="AN33" i="1"/>
  <c r="AN46" i="1"/>
  <c r="AP46" i="1" s="1"/>
  <c r="AQ46" i="1" s="1"/>
  <c r="AA37" i="1"/>
  <c r="AC37" i="1" s="1"/>
  <c r="AD37" i="1" s="1"/>
  <c r="AN39" i="1"/>
  <c r="AA43" i="1"/>
  <c r="AC43" i="1" s="1"/>
  <c r="AD43" i="1" s="1"/>
  <c r="AA42" i="1"/>
  <c r="AC42" i="1" s="1"/>
  <c r="AD42" i="1" s="1"/>
  <c r="AA20" i="1"/>
  <c r="AC20" i="1" s="1"/>
  <c r="AD20" i="1" s="1"/>
  <c r="AN24" i="1"/>
  <c r="AN32" i="1"/>
  <c r="AN51" i="1"/>
  <c r="AP51" i="1" s="1"/>
  <c r="AQ51" i="1" s="1"/>
  <c r="AA35" i="1"/>
  <c r="AC35" i="1" s="1"/>
  <c r="AD35" i="1" s="1"/>
  <c r="AA30" i="1"/>
  <c r="AN22" i="1"/>
  <c r="AP22" i="1" s="1"/>
  <c r="AQ22" i="1" s="1"/>
  <c r="AN47" i="1"/>
  <c r="AA38" i="1"/>
  <c r="AC38" i="1" s="1"/>
  <c r="AD38" i="1" s="1"/>
  <c r="AN44" i="1"/>
  <c r="AP44" i="1" s="1"/>
  <c r="AQ44" i="1" s="1"/>
  <c r="AP26" i="1"/>
  <c r="AQ26" i="1" s="1"/>
  <c r="AN52" i="1"/>
  <c r="AA19" i="1"/>
  <c r="AC19" i="1" s="1"/>
  <c r="AD19" i="1" s="1"/>
  <c r="AA23" i="1"/>
  <c r="AA49" i="1"/>
  <c r="AC49" i="1" s="1"/>
  <c r="AD49" i="1" s="1"/>
  <c r="AN42" i="1"/>
  <c r="AP42" i="1" s="1"/>
  <c r="AQ42" i="1" s="1"/>
  <c r="AN23" i="1"/>
  <c r="AP23" i="1" s="1"/>
  <c r="AQ23" i="1" s="1"/>
  <c r="AA28" i="1"/>
  <c r="AA46" i="1"/>
  <c r="AC46" i="1" s="1"/>
  <c r="AD46" i="1" s="1"/>
  <c r="AA41" i="1"/>
  <c r="AC41" i="1" s="1"/>
  <c r="AD41" i="1" s="1"/>
  <c r="AN21" i="1"/>
  <c r="AP21" i="1" s="1"/>
  <c r="AQ21" i="1" s="1"/>
  <c r="AN40" i="1"/>
  <c r="AA45" i="1"/>
  <c r="AC45" i="1" s="1"/>
  <c r="AD45" i="1" s="1"/>
  <c r="AA34" i="1"/>
  <c r="AN18" i="1"/>
  <c r="AP18" i="1" s="1"/>
  <c r="AQ18" i="1" s="1"/>
  <c r="AA29" i="1"/>
  <c r="AA36" i="1"/>
  <c r="AC36" i="1" s="1"/>
  <c r="AD36" i="1" s="1"/>
  <c r="AA39" i="1"/>
  <c r="AC39" i="1" s="1"/>
  <c r="AD39" i="1" s="1"/>
  <c r="AN20" i="1"/>
  <c r="AP20" i="1" s="1"/>
  <c r="AQ20" i="1" s="1"/>
  <c r="AN34" i="1"/>
  <c r="AA27" i="1"/>
  <c r="AC27" i="1" s="1"/>
  <c r="AD27" i="1" s="1"/>
  <c r="AA51" i="1"/>
  <c r="AC51" i="1" s="1"/>
  <c r="AD51" i="1" s="1"/>
  <c r="AA50" i="1"/>
  <c r="AC50" i="1" s="1"/>
  <c r="AD50" i="1" s="1"/>
  <c r="AN50" i="1"/>
  <c r="AP50" i="1" s="1"/>
  <c r="AQ50" i="1" s="1"/>
  <c r="AA40" i="1"/>
  <c r="AA31" i="1"/>
  <c r="AN48" i="1"/>
  <c r="AP48" i="1" s="1"/>
  <c r="AQ48" i="1" s="1"/>
  <c r="AN41" i="1"/>
  <c r="AA32" i="1"/>
  <c r="AC32" i="1" s="1"/>
  <c r="AD32" i="1" s="1"/>
  <c r="AA18" i="1"/>
  <c r="AC18" i="1" s="1"/>
  <c r="AD18" i="1" s="1"/>
  <c r="AA24" i="1"/>
  <c r="AC24" i="1" s="1"/>
  <c r="AD24" i="1" s="1"/>
  <c r="AN35" i="1"/>
  <c r="AN28" i="1"/>
  <c r="AP28" i="1" s="1"/>
  <c r="AQ28" i="1" s="1"/>
  <c r="AN30" i="1"/>
  <c r="AN29" i="1"/>
  <c r="AP29" i="1" s="1"/>
  <c r="AQ29" i="1" s="1"/>
  <c r="AA25" i="1"/>
  <c r="AC25" i="1" s="1"/>
  <c r="AD25" i="1" s="1"/>
  <c r="AA26" i="1"/>
  <c r="AC26" i="1" s="1"/>
  <c r="AD26" i="1" s="1"/>
  <c r="AN37" i="1"/>
  <c r="AN27" i="1"/>
  <c r="AP27" i="1" s="1"/>
  <c r="AQ27" i="1" s="1"/>
  <c r="AA21" i="1"/>
  <c r="AC21" i="1" s="1"/>
  <c r="AD21" i="1" s="1"/>
  <c r="AA22" i="1"/>
  <c r="AA33" i="1"/>
  <c r="AC33" i="1" s="1"/>
  <c r="AD33" i="1" s="1"/>
  <c r="AN31" i="1"/>
  <c r="AP31" i="1" s="1"/>
  <c r="AQ31" i="1" s="1"/>
  <c r="AA44" i="1"/>
  <c r="AC44" i="1" s="1"/>
  <c r="AD44" i="1" s="1"/>
  <c r="AN43" i="1"/>
  <c r="AP43" i="1" s="1"/>
  <c r="AQ43" i="1" s="1"/>
  <c r="AN25" i="1"/>
  <c r="AP25" i="1" s="1"/>
  <c r="AQ25" i="1" s="1"/>
  <c r="AN36" i="1"/>
  <c r="AP36" i="1" s="1"/>
  <c r="AQ36" i="1" s="1"/>
  <c r="AN38" i="1"/>
  <c r="AP38" i="1" s="1"/>
  <c r="AQ38" i="1" s="1"/>
  <c r="AN49" i="1"/>
  <c r="AP49" i="1" s="1"/>
  <c r="AQ49" i="1" s="1"/>
  <c r="AN45" i="1"/>
  <c r="AP45" i="1" s="1"/>
  <c r="AQ45" i="1" s="1"/>
  <c r="AP35" i="1"/>
  <c r="AQ35" i="1" s="1"/>
  <c r="AP47" i="1"/>
  <c r="AQ47" i="1" s="1"/>
  <c r="AP40" i="1"/>
  <c r="AQ40" i="1" s="1"/>
  <c r="AP37" i="1"/>
  <c r="AQ37" i="1" s="1"/>
  <c r="AP39" i="1"/>
  <c r="AQ39" i="1" s="1"/>
  <c r="AP32" i="1"/>
  <c r="AQ32" i="1" s="1"/>
  <c r="AP24" i="1"/>
  <c r="AQ24" i="1" s="1"/>
  <c r="AP34" i="1"/>
  <c r="AQ34" i="1" s="1"/>
  <c r="AP41" i="1"/>
  <c r="AQ41" i="1" s="1"/>
  <c r="S5" i="1"/>
  <c r="T5" i="1" s="1"/>
  <c r="U5" i="1" s="1"/>
  <c r="V5" i="1" s="1"/>
  <c r="W5" i="1" s="1"/>
  <c r="X5" i="1" s="1"/>
  <c r="Y5" i="1" s="1"/>
  <c r="Z5" i="1" s="1"/>
  <c r="AA52" i="1"/>
  <c r="AC52" i="1" s="1"/>
  <c r="AD52" i="1" s="1"/>
  <c r="AP52" i="1"/>
  <c r="AQ52" i="1" s="1"/>
  <c r="AC23" i="1"/>
  <c r="AD23" i="1" s="1"/>
  <c r="AC31" i="1"/>
  <c r="AD31" i="1" s="1"/>
  <c r="AC22" i="1"/>
  <c r="AD22" i="1" s="1"/>
  <c r="AP33" i="1"/>
  <c r="AQ33" i="1" s="1"/>
  <c r="AC34" i="1"/>
  <c r="AD34" i="1" s="1"/>
  <c r="AC29" i="1"/>
  <c r="AD29" i="1" s="1"/>
  <c r="AC48" i="1"/>
  <c r="AD48" i="1" s="1"/>
  <c r="AC40" i="1"/>
  <c r="AD40" i="1" s="1"/>
  <c r="AC30" i="1"/>
  <c r="AD30" i="1" s="1"/>
  <c r="AP30" i="1"/>
  <c r="AQ30" i="1" s="1"/>
  <c r="AC28" i="1"/>
  <c r="AD28" i="1" s="1"/>
  <c r="AL11" i="1" l="1"/>
  <c r="AN11" i="1" s="1"/>
  <c r="Y11" i="1"/>
  <c r="AA11" i="1" s="1"/>
</calcChain>
</file>

<file path=xl/sharedStrings.xml><?xml version="1.0" encoding="utf-8"?>
<sst xmlns="http://schemas.openxmlformats.org/spreadsheetml/2006/main" count="104" uniqueCount="58">
  <si>
    <t>Year</t>
  </si>
  <si>
    <t>year n</t>
  </si>
  <si>
    <t>Discount Factor</t>
  </si>
  <si>
    <t>Discount Rate</t>
  </si>
  <si>
    <t xml:space="preserve">Natural Gas price </t>
  </si>
  <si>
    <t>$/MMBtu</t>
  </si>
  <si>
    <t>SMR Info</t>
  </si>
  <si>
    <t>Capital Cost</t>
  </si>
  <si>
    <t>Fixed Cost</t>
  </si>
  <si>
    <t>Variable Cost</t>
  </si>
  <si>
    <t>Capital Fraction</t>
  </si>
  <si>
    <t>Capacity</t>
  </si>
  <si>
    <t>Thermal Percent</t>
  </si>
  <si>
    <t>$/kWt</t>
  </si>
  <si>
    <t>$/kWt/yr</t>
  </si>
  <si>
    <t>$/MWht</t>
  </si>
  <si>
    <t>%</t>
  </si>
  <si>
    <t>MWt</t>
  </si>
  <si>
    <t xml:space="preserve">Onsite Capital </t>
  </si>
  <si>
    <t>Factory Capital</t>
  </si>
  <si>
    <t>Onsite Learning</t>
  </si>
  <si>
    <t>Factory Learning</t>
  </si>
  <si>
    <t>module</t>
  </si>
  <si>
    <t>Book life</t>
  </si>
  <si>
    <t>yrs</t>
  </si>
  <si>
    <t>Annualized Capital Cost</t>
  </si>
  <si>
    <t>CRF</t>
  </si>
  <si>
    <t>Base info</t>
  </si>
  <si>
    <t>Facility info</t>
  </si>
  <si>
    <t>Demand</t>
  </si>
  <si>
    <t>Loss percent</t>
  </si>
  <si>
    <t>Temp</t>
  </si>
  <si>
    <t>Deg C</t>
  </si>
  <si>
    <t>Total Demand</t>
  </si>
  <si>
    <t>AHF</t>
  </si>
  <si>
    <t>Competition Price</t>
  </si>
  <si>
    <t>Ouptut</t>
  </si>
  <si>
    <t>Natural Gas demand</t>
  </si>
  <si>
    <t xml:space="preserve">Natural gas only </t>
  </si>
  <si>
    <t>NG Cost</t>
  </si>
  <si>
    <t>Natural Gas demand (annual)</t>
  </si>
  <si>
    <t>Discounted</t>
  </si>
  <si>
    <t>NPV</t>
  </si>
  <si>
    <t>Optimal (from MINLP without annual limits)</t>
  </si>
  <si>
    <t>Operational Modules</t>
  </si>
  <si>
    <t>Installed Capacity</t>
  </si>
  <si>
    <t>Natural Gas Cost</t>
  </si>
  <si>
    <t>Annual Expendtirures</t>
  </si>
  <si>
    <t>Testing Sequential build (onsite only)</t>
  </si>
  <si>
    <t>Testing Sequential build (full learning)</t>
  </si>
  <si>
    <t>Difference</t>
  </si>
  <si>
    <t>Model Objective Value</t>
  </si>
  <si>
    <t>$ NPV</t>
  </si>
  <si>
    <t>Calculated Objective</t>
  </si>
  <si>
    <t>Heat Revenues</t>
  </si>
  <si>
    <t>Obj Annual</t>
  </si>
  <si>
    <t>Obj Annual Discounted</t>
  </si>
  <si>
    <t>Error from optimization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</si>
</sst>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16" fillId="0" borderId="0" xfId="0" applyFont="1"/>
    <xf numFmtId="0" fontId="0" fillId="0" borderId="0" xfId="0" applyAlignment="1">
      <alignment wrapText="1"/>
    </xf>
    <xf numFmtId="0" fontId="18" fillId="0" borderId="0" xfId="0" applyFont="1" applyAlignment="1">
      <alignment horizontal="center" wrapText="1"/>
    </xf>
    <xf numFmtId="9" fontId="20" fillId="0" borderId="0" xfId="1" applyFont="1" applyAlignment="1">
      <alignment wrapText="1"/>
    </xf>
    <xf numFmtId="0" fontId="20" fillId="0" borderId="0" xfId="0" applyFont="1" applyAlignment="1">
      <alignment wrapText="1"/>
    </xf>
    <xf numFmtId="0" fontId="19" fillId="0" borderId="0" xfId="0" applyFont="1"/>
    <xf numFmtId="9" fontId="16" fillId="0" borderId="0" xfId="1" applyFont="1" applyAlignment="1">
      <alignment wrapText="1"/>
    </xf>
    <xf numFmtId="0" fontId="0" fillId="0" borderId="0" xfId="0" applyFont="1"/>
    <xf numFmtId="0" fontId="16" fillId="0" borderId="0" xfId="0" applyFont="1" applyAlignment="1">
      <alignment wrapText="1"/>
    </xf>
    <xf numFmtId="0" fontId="0" fillId="0" borderId="0" xfId="0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S63"/>
  <sheetViews>
    <sheetView tabSelected="1" workbookViewId="0">
      <selection activeCell="W12" sqref="W12"/>
    </sheetView>
  </sheetViews>
  <sheetFormatPr defaultRowHeight="15" x14ac:dyDescent="0.25"/>
  <cols>
    <col min="5" max="5" width="9.28515625" customWidth="1"/>
    <col min="7" max="7" width="12" bestFit="1" customWidth="1"/>
    <col min="14" max="14" width="12.7109375" bestFit="1" customWidth="1"/>
    <col min="15" max="15" width="11.140625" customWidth="1"/>
    <col min="16" max="16" width="12.28515625" bestFit="1" customWidth="1"/>
    <col min="18" max="20" width="12.28515625" bestFit="1" customWidth="1"/>
    <col min="23" max="23" width="11" bestFit="1" customWidth="1"/>
    <col min="24" max="24" width="11.7109375" bestFit="1" customWidth="1"/>
    <col min="25" max="25" width="11.5703125" bestFit="1" customWidth="1"/>
    <col min="26" max="26" width="11" bestFit="1" customWidth="1"/>
    <col min="31" max="31" width="12.28515625" bestFit="1" customWidth="1"/>
    <col min="34" max="34" width="11.5703125" bestFit="1" customWidth="1"/>
    <col min="36" max="36" width="11" bestFit="1" customWidth="1"/>
  </cols>
  <sheetData>
    <row r="2" spans="1:45" x14ac:dyDescent="0.25">
      <c r="A2" s="1" t="s">
        <v>27</v>
      </c>
      <c r="B2" s="1"/>
      <c r="C2" s="1"/>
      <c r="D2" s="1"/>
      <c r="E2" s="1" t="s">
        <v>28</v>
      </c>
      <c r="F2" s="1"/>
      <c r="G2" s="1"/>
      <c r="H2" s="1"/>
      <c r="I2" s="1" t="s">
        <v>6</v>
      </c>
    </row>
    <row r="3" spans="1:45" x14ac:dyDescent="0.25">
      <c r="A3" t="s">
        <v>3</v>
      </c>
      <c r="B3">
        <v>7.0000000000000007E-2</v>
      </c>
      <c r="C3" t="s">
        <v>16</v>
      </c>
      <c r="E3" t="s">
        <v>29</v>
      </c>
      <c r="F3">
        <v>93.26</v>
      </c>
      <c r="G3" t="s">
        <v>17</v>
      </c>
      <c r="I3" t="s">
        <v>7</v>
      </c>
      <c r="J3">
        <v>3652.1599500000002</v>
      </c>
      <c r="K3" t="s">
        <v>13</v>
      </c>
      <c r="M3" t="s">
        <v>18</v>
      </c>
      <c r="N3">
        <f>J3*(1-J6)</f>
        <v>1734.77597625</v>
      </c>
    </row>
    <row r="4" spans="1:45" x14ac:dyDescent="0.25">
      <c r="A4" t="s">
        <v>4</v>
      </c>
      <c r="B4">
        <v>10</v>
      </c>
      <c r="C4" t="s">
        <v>5</v>
      </c>
      <c r="E4" t="s">
        <v>30</v>
      </c>
      <c r="F4">
        <v>10</v>
      </c>
      <c r="G4" t="s">
        <v>16</v>
      </c>
      <c r="I4" t="s">
        <v>8</v>
      </c>
      <c r="J4">
        <v>88.550550000000001</v>
      </c>
      <c r="K4" t="s">
        <v>14</v>
      </c>
      <c r="M4" t="s">
        <v>22</v>
      </c>
      <c r="N4">
        <v>0</v>
      </c>
      <c r="O4">
        <v>1</v>
      </c>
      <c r="P4">
        <v>2</v>
      </c>
      <c r="Q4">
        <v>3</v>
      </c>
      <c r="R4">
        <v>4</v>
      </c>
      <c r="S4">
        <v>5</v>
      </c>
      <c r="T4">
        <v>6</v>
      </c>
      <c r="U4">
        <v>7</v>
      </c>
      <c r="V4">
        <v>8</v>
      </c>
      <c r="W4">
        <v>9</v>
      </c>
      <c r="X4">
        <v>10</v>
      </c>
      <c r="Y4">
        <v>11</v>
      </c>
      <c r="Z4">
        <v>12</v>
      </c>
    </row>
    <row r="5" spans="1:45" x14ac:dyDescent="0.25">
      <c r="A5" t="s">
        <v>20</v>
      </c>
      <c r="B5">
        <v>0.05</v>
      </c>
      <c r="C5" t="s">
        <v>16</v>
      </c>
      <c r="E5" t="s">
        <v>31</v>
      </c>
      <c r="F5">
        <v>545</v>
      </c>
      <c r="G5" t="s">
        <v>32</v>
      </c>
      <c r="I5" t="s">
        <v>9</v>
      </c>
      <c r="J5">
        <v>0</v>
      </c>
      <c r="K5" t="s">
        <v>15</v>
      </c>
      <c r="M5" t="s">
        <v>25</v>
      </c>
      <c r="N5">
        <f>(($N$3*$J$7*1000))*$B$8</f>
        <v>2720408.559290749</v>
      </c>
      <c r="O5">
        <f>N5*(1-$B$5)</f>
        <v>2584388.1313262116</v>
      </c>
      <c r="P5">
        <f t="shared" ref="P5:Z5" si="0">O5*(1-$B$5)</f>
        <v>2455168.7247599009</v>
      </c>
      <c r="Q5">
        <f t="shared" si="0"/>
        <v>2332410.2885219059</v>
      </c>
      <c r="R5">
        <f t="shared" si="0"/>
        <v>2215789.7740958105</v>
      </c>
      <c r="S5">
        <f t="shared" si="0"/>
        <v>2105000.2853910197</v>
      </c>
      <c r="T5">
        <f t="shared" si="0"/>
        <v>1999750.2711214686</v>
      </c>
      <c r="U5">
        <f t="shared" si="0"/>
        <v>1899762.7575653952</v>
      </c>
      <c r="V5">
        <f t="shared" si="0"/>
        <v>1804774.6196871253</v>
      </c>
      <c r="W5">
        <f t="shared" si="0"/>
        <v>1714535.8887027691</v>
      </c>
      <c r="X5">
        <f t="shared" si="0"/>
        <v>1628809.0942676305</v>
      </c>
      <c r="Y5">
        <f t="shared" si="0"/>
        <v>1547368.6395542489</v>
      </c>
      <c r="Z5">
        <f t="shared" si="0"/>
        <v>1470000.2075765363</v>
      </c>
    </row>
    <row r="6" spans="1:45" x14ac:dyDescent="0.25">
      <c r="A6" t="s">
        <v>21</v>
      </c>
      <c r="B6">
        <v>0.16</v>
      </c>
      <c r="C6" t="s">
        <v>16</v>
      </c>
      <c r="I6" t="s">
        <v>10</v>
      </c>
      <c r="J6">
        <v>0.52500000000000002</v>
      </c>
      <c r="K6" t="s">
        <v>16</v>
      </c>
    </row>
    <row r="7" spans="1:45" x14ac:dyDescent="0.25">
      <c r="A7" t="s">
        <v>23</v>
      </c>
      <c r="B7">
        <v>33</v>
      </c>
      <c r="C7" t="s">
        <v>24</v>
      </c>
      <c r="E7" t="s">
        <v>33</v>
      </c>
      <c r="F7">
        <f>F3*(1+(F4/100))</f>
        <v>102.58600000000001</v>
      </c>
      <c r="G7" t="s">
        <v>17</v>
      </c>
      <c r="I7" t="s">
        <v>11</v>
      </c>
      <c r="J7">
        <v>20</v>
      </c>
      <c r="K7" t="s">
        <v>17</v>
      </c>
      <c r="M7" t="s">
        <v>19</v>
      </c>
      <c r="N7">
        <f>J3*(J6)</f>
        <v>1917.3839737500002</v>
      </c>
    </row>
    <row r="8" spans="1:45" x14ac:dyDescent="0.25">
      <c r="A8" t="s">
        <v>26</v>
      </c>
      <c r="B8">
        <f>B3/(1-((1+B3)^(-1*B7)))</f>
        <v>7.8408065264177623E-2</v>
      </c>
      <c r="E8" t="s">
        <v>34</v>
      </c>
      <c r="F8">
        <f>-0.00038*F5+0.90556</f>
        <v>0.69846000000000008</v>
      </c>
      <c r="G8" t="s">
        <v>16</v>
      </c>
      <c r="I8" t="s">
        <v>12</v>
      </c>
      <c r="J8">
        <v>0.99</v>
      </c>
      <c r="K8" t="s">
        <v>16</v>
      </c>
      <c r="M8" t="s">
        <v>22</v>
      </c>
      <c r="N8">
        <v>0</v>
      </c>
      <c r="O8">
        <v>1</v>
      </c>
      <c r="P8">
        <v>2</v>
      </c>
      <c r="Q8">
        <v>3</v>
      </c>
      <c r="R8">
        <v>4</v>
      </c>
      <c r="S8">
        <v>5</v>
      </c>
      <c r="T8">
        <v>6</v>
      </c>
      <c r="U8">
        <v>7</v>
      </c>
      <c r="V8">
        <v>8</v>
      </c>
      <c r="W8">
        <v>9</v>
      </c>
      <c r="X8">
        <v>10</v>
      </c>
      <c r="Y8">
        <v>11</v>
      </c>
      <c r="Z8">
        <v>12</v>
      </c>
    </row>
    <row r="9" spans="1:45" x14ac:dyDescent="0.25">
      <c r="E9" t="s">
        <v>35</v>
      </c>
      <c r="F9">
        <f>B4*(1/(54*0.68*(1/35.31)*1000/1000000))*(1/F8)*(1/277.778)</f>
        <v>49.562780065756144</v>
      </c>
      <c r="G9" t="s">
        <v>15</v>
      </c>
      <c r="I9" t="s">
        <v>36</v>
      </c>
      <c r="J9">
        <f>J8*J7</f>
        <v>19.8</v>
      </c>
      <c r="K9" t="s">
        <v>17</v>
      </c>
      <c r="M9" t="s">
        <v>25</v>
      </c>
      <c r="N9">
        <f>(($N$7*$J$7*1000))*$B$8</f>
        <v>3006767.3550055646</v>
      </c>
      <c r="O9">
        <f>N9*(1-$B$6)</f>
        <v>2525684.5782046742</v>
      </c>
      <c r="P9">
        <f t="shared" ref="P9:Z9" si="1">O9*(1-$B$6)</f>
        <v>2121575.045691926</v>
      </c>
      <c r="Q9">
        <f t="shared" si="1"/>
        <v>1782123.0383812177</v>
      </c>
      <c r="R9">
        <f t="shared" si="1"/>
        <v>1496983.3522402227</v>
      </c>
      <c r="S9">
        <f t="shared" si="1"/>
        <v>1257466.0158817871</v>
      </c>
      <c r="T9">
        <f t="shared" si="1"/>
        <v>1056271.4533407011</v>
      </c>
      <c r="U9">
        <f t="shared" si="1"/>
        <v>887268.02080618881</v>
      </c>
      <c r="V9">
        <f t="shared" si="1"/>
        <v>745305.13747719862</v>
      </c>
      <c r="W9">
        <f t="shared" si="1"/>
        <v>626056.3154808468</v>
      </c>
      <c r="X9">
        <f t="shared" si="1"/>
        <v>525887.30500391126</v>
      </c>
      <c r="Y9">
        <f t="shared" si="1"/>
        <v>441745.33620328543</v>
      </c>
      <c r="Z9">
        <f t="shared" si="1"/>
        <v>371066.08241075976</v>
      </c>
    </row>
    <row r="10" spans="1:45" x14ac:dyDescent="0.25">
      <c r="A10" t="s">
        <v>51</v>
      </c>
      <c r="B10" s="10">
        <v>90791010</v>
      </c>
      <c r="C10" t="s">
        <v>52</v>
      </c>
    </row>
    <row r="11" spans="1:45" s="2" customFormat="1" ht="60.75" customHeight="1" x14ac:dyDescent="0.35">
      <c r="A11" s="9"/>
      <c r="B11" s="9"/>
      <c r="C11" s="3" t="s">
        <v>38</v>
      </c>
      <c r="D11" s="3"/>
      <c r="E11" s="9" t="s">
        <v>42</v>
      </c>
      <c r="F11" s="9">
        <f>SUM(F13:F63)*-1</f>
        <v>-659221670.54437983</v>
      </c>
      <c r="G11" s="9"/>
      <c r="H11" s="9"/>
      <c r="I11" s="3" t="s">
        <v>43</v>
      </c>
      <c r="J11" s="3"/>
      <c r="K11" s="9" t="s">
        <v>42</v>
      </c>
      <c r="L11" s="9">
        <f>SUM(Q13:Q63)*-1</f>
        <v>-566446127.95285273</v>
      </c>
      <c r="M11" s="9" t="s">
        <v>50</v>
      </c>
      <c r="N11" s="9">
        <f>L11-F11</f>
        <v>92775542.591527104</v>
      </c>
      <c r="O11" s="5" t="s">
        <v>53</v>
      </c>
      <c r="P11" s="5">
        <f>SUM(S13:S53)</f>
        <v>92775542.591527149</v>
      </c>
      <c r="Q11" s="5" t="s">
        <v>57</v>
      </c>
      <c r="R11" s="4">
        <f>(P11-$B$10)/$B$10</f>
        <v>2.1858249969101004E-2</v>
      </c>
      <c r="V11" s="3" t="s">
        <v>48</v>
      </c>
      <c r="W11" s="3"/>
      <c r="X11" s="9" t="s">
        <v>42</v>
      </c>
      <c r="Y11" s="9">
        <f>SUM(AD13:AD63)*-1</f>
        <v>-583680994.13222051</v>
      </c>
      <c r="Z11" s="9" t="s">
        <v>50</v>
      </c>
      <c r="AA11" s="9">
        <f>Y11-F11</f>
        <v>75540676.412159324</v>
      </c>
      <c r="AB11" s="9" t="s">
        <v>53</v>
      </c>
      <c r="AC11" s="9">
        <f>SUM(AF13:AF53)</f>
        <v>75540676.412159264</v>
      </c>
      <c r="AD11" s="9" t="s">
        <v>57</v>
      </c>
      <c r="AE11" s="7">
        <f>(AC11-$B$10)/$B$10</f>
        <v>-0.16797184641784177</v>
      </c>
      <c r="AI11" s="3" t="s">
        <v>49</v>
      </c>
      <c r="AJ11" s="3"/>
      <c r="AK11" s="9" t="s">
        <v>42</v>
      </c>
      <c r="AL11" s="9">
        <f>SUM(AQ13:AQ63)*-1</f>
        <v>-553004077.20414233</v>
      </c>
      <c r="AM11" s="9" t="s">
        <v>50</v>
      </c>
      <c r="AN11" s="9">
        <f>AL11-F11</f>
        <v>106217593.3402375</v>
      </c>
      <c r="AO11" s="9" t="s">
        <v>53</v>
      </c>
      <c r="AP11" s="9">
        <f>SUM(AS13:AS53)</f>
        <v>106217593.34023757</v>
      </c>
      <c r="AQ11" s="9" t="s">
        <v>57</v>
      </c>
      <c r="AR11" s="7">
        <f>(AP11-$B$10)/$B$10</f>
        <v>0.1699131151888009</v>
      </c>
    </row>
    <row r="12" spans="1:45" s="2" customFormat="1" ht="60" x14ac:dyDescent="0.25">
      <c r="A12" s="9" t="s">
        <v>0</v>
      </c>
      <c r="B12" s="9" t="s">
        <v>1</v>
      </c>
      <c r="C12" s="9" t="s">
        <v>2</v>
      </c>
      <c r="D12" s="9" t="s">
        <v>40</v>
      </c>
      <c r="E12" s="9" t="s">
        <v>39</v>
      </c>
      <c r="F12" s="9" t="s">
        <v>41</v>
      </c>
      <c r="G12" s="9"/>
      <c r="H12" s="9"/>
      <c r="I12" s="9" t="s">
        <v>44</v>
      </c>
      <c r="J12" s="9" t="s">
        <v>45</v>
      </c>
      <c r="K12" s="9" t="s">
        <v>54</v>
      </c>
      <c r="L12" s="9" t="s">
        <v>37</v>
      </c>
      <c r="M12" s="9" t="s">
        <v>46</v>
      </c>
      <c r="N12" s="9" t="s">
        <v>25</v>
      </c>
      <c r="O12" s="9" t="s">
        <v>8</v>
      </c>
      <c r="P12" s="9" t="s">
        <v>47</v>
      </c>
      <c r="Q12" s="9" t="s">
        <v>41</v>
      </c>
      <c r="R12" s="9" t="s">
        <v>55</v>
      </c>
      <c r="S12" s="9" t="s">
        <v>56</v>
      </c>
      <c r="V12" s="9" t="s">
        <v>44</v>
      </c>
      <c r="W12" s="9" t="s">
        <v>45</v>
      </c>
      <c r="X12" s="9" t="s">
        <v>54</v>
      </c>
      <c r="Y12" s="9" t="s">
        <v>37</v>
      </c>
      <c r="Z12" s="9" t="s">
        <v>46</v>
      </c>
      <c r="AA12" s="9" t="s">
        <v>25</v>
      </c>
      <c r="AB12" s="9" t="s">
        <v>8</v>
      </c>
      <c r="AC12" s="9" t="s">
        <v>47</v>
      </c>
      <c r="AD12" s="9" t="s">
        <v>41</v>
      </c>
      <c r="AE12" s="9" t="s">
        <v>55</v>
      </c>
      <c r="AF12" s="9" t="s">
        <v>56</v>
      </c>
      <c r="AI12" s="9" t="s">
        <v>44</v>
      </c>
      <c r="AJ12" s="9" t="s">
        <v>45</v>
      </c>
      <c r="AK12" s="9" t="s">
        <v>54</v>
      </c>
      <c r="AL12" s="9" t="s">
        <v>37</v>
      </c>
      <c r="AM12" s="9" t="s">
        <v>46</v>
      </c>
      <c r="AN12" s="9" t="s">
        <v>25</v>
      </c>
      <c r="AO12" s="9" t="s">
        <v>8</v>
      </c>
      <c r="AP12" s="9" t="s">
        <v>47</v>
      </c>
      <c r="AQ12" s="9" t="s">
        <v>41</v>
      </c>
      <c r="AR12" s="9" t="s">
        <v>55</v>
      </c>
      <c r="AS12" s="9" t="s">
        <v>56</v>
      </c>
    </row>
    <row r="13" spans="1:45" s="6" customFormat="1" x14ac:dyDescent="0.25">
      <c r="A13" s="6">
        <v>2030</v>
      </c>
      <c r="B13" s="6">
        <v>0</v>
      </c>
      <c r="C13" s="6">
        <f>1/((1+$B$3)^B13)</f>
        <v>1</v>
      </c>
      <c r="D13" s="6">
        <f>$F$7*8760</f>
        <v>898653.3600000001</v>
      </c>
      <c r="E13" s="6">
        <f>D13*$F$9</f>
        <v>44539758.837032788</v>
      </c>
      <c r="F13" s="6">
        <f>E13*C13</f>
        <v>44539758.837032788</v>
      </c>
      <c r="I13" s="6">
        <v>0</v>
      </c>
      <c r="J13" s="6">
        <f>I13*$J$9</f>
        <v>0</v>
      </c>
      <c r="K13" s="6">
        <f>J13*8760*$F$9</f>
        <v>0</v>
      </c>
      <c r="L13" s="6">
        <f>$D13-(J13*8760)</f>
        <v>898653.3600000001</v>
      </c>
      <c r="M13" s="6">
        <f>L13*$F$9</f>
        <v>44539758.837032788</v>
      </c>
      <c r="N13" s="6">
        <f>I13*($N$5+$N$9)</f>
        <v>0</v>
      </c>
      <c r="O13" s="6">
        <f>I13*$J$7*1000*$J$4</f>
        <v>0</v>
      </c>
      <c r="P13" s="6">
        <f>SUM(M13:O13)</f>
        <v>44539758.837032788</v>
      </c>
      <c r="Q13" s="6">
        <f>P13*C13</f>
        <v>44539758.837032788</v>
      </c>
      <c r="R13" s="6">
        <f>K13-(N13+O13)</f>
        <v>0</v>
      </c>
      <c r="S13" s="6">
        <f>R13*$C13</f>
        <v>0</v>
      </c>
      <c r="V13" s="6">
        <v>0</v>
      </c>
      <c r="W13" s="6">
        <f>V13*$J$9</f>
        <v>0</v>
      </c>
      <c r="X13" s="6">
        <f>W13*8760*$F$9</f>
        <v>0</v>
      </c>
      <c r="Y13" s="6">
        <f>$D13-(W13*8760)</f>
        <v>898653.3600000001</v>
      </c>
      <c r="Z13" s="6">
        <f>Y13*$F$9</f>
        <v>44539758.837032788</v>
      </c>
      <c r="AA13" s="6">
        <f>V13*($N$5+$N$9)</f>
        <v>0</v>
      </c>
      <c r="AB13" s="6">
        <f>V13*$J$7*1000*$J$4</f>
        <v>0</v>
      </c>
      <c r="AC13" s="6">
        <f>SUM(Z13:AB13)</f>
        <v>44539758.837032788</v>
      </c>
      <c r="AD13" s="6">
        <f>AC13*$C13</f>
        <v>44539758.837032788</v>
      </c>
      <c r="AE13" s="6">
        <f>X13-(AA13+AB13)</f>
        <v>0</v>
      </c>
      <c r="AF13" s="6">
        <f>AE13*$C13</f>
        <v>0</v>
      </c>
      <c r="AI13" s="6">
        <v>0</v>
      </c>
      <c r="AJ13" s="6">
        <f>AI13*$J$9</f>
        <v>0</v>
      </c>
      <c r="AK13" s="6">
        <f>AJ13*8760*$F$9</f>
        <v>0</v>
      </c>
      <c r="AL13" s="6">
        <f>$D13-(AJ13*8760)</f>
        <v>898653.3600000001</v>
      </c>
      <c r="AM13" s="6">
        <f>AL13*$F$9</f>
        <v>44539758.837032788</v>
      </c>
      <c r="AN13" s="6">
        <f>AI13*($N$5+$N$9)</f>
        <v>0</v>
      </c>
      <c r="AO13" s="6">
        <f>AI13*$J$7*1000*$J$4</f>
        <v>0</v>
      </c>
      <c r="AP13" s="6">
        <f>SUM(AM13:AO13)</f>
        <v>44539758.837032788</v>
      </c>
      <c r="AQ13" s="6">
        <f>AP13*$C13</f>
        <v>44539758.837032788</v>
      </c>
      <c r="AR13" s="6">
        <f>AK13-(AN13+AO13)</f>
        <v>0</v>
      </c>
      <c r="AS13" s="6">
        <f>AR13*$C13</f>
        <v>0</v>
      </c>
    </row>
    <row r="14" spans="1:45" s="6" customFormat="1" x14ac:dyDescent="0.25">
      <c r="A14" s="6">
        <v>2031</v>
      </c>
      <c r="B14" s="6">
        <v>1</v>
      </c>
      <c r="C14" s="6">
        <f t="shared" ref="C14:C63" si="2">1/((1+$B$3)^B14)</f>
        <v>0.93457943925233644</v>
      </c>
      <c r="D14" s="6">
        <f t="shared" ref="D14:D63" si="3">$F$7*8760</f>
        <v>898653.3600000001</v>
      </c>
      <c r="E14" s="6">
        <f t="shared" ref="E14:E63" si="4">D14*$F$9</f>
        <v>44539758.837032788</v>
      </c>
      <c r="F14" s="6">
        <f t="shared" ref="F14:F63" si="5">E14*C14</f>
        <v>41625942.838348396</v>
      </c>
      <c r="I14" s="6">
        <v>0</v>
      </c>
      <c r="J14" s="6">
        <f t="shared" ref="J14:J63" si="6">I14*$J$9</f>
        <v>0</v>
      </c>
      <c r="K14" s="6">
        <f t="shared" ref="K14:K63" si="7">J14*8760*$F$9</f>
        <v>0</v>
      </c>
      <c r="L14" s="6">
        <f>$D14-(J14*8760)</f>
        <v>898653.3600000001</v>
      </c>
      <c r="M14" s="6">
        <f t="shared" ref="M14:M63" si="8">L14*$F$9</f>
        <v>44539758.837032788</v>
      </c>
      <c r="N14" s="6">
        <f t="shared" ref="N13:N15" si="9">N15</f>
        <v>20045115.700037099</v>
      </c>
      <c r="O14" s="6">
        <f>I14*$J$7*1000*$J$4</f>
        <v>0</v>
      </c>
      <c r="P14" s="6">
        <f>SUM(M14:O14)</f>
        <v>64584874.537069887</v>
      </c>
      <c r="Q14" s="6">
        <f>P14*C14</f>
        <v>60359695.829037279</v>
      </c>
      <c r="R14" s="6">
        <f t="shared" ref="R14:R63" si="10">K14-(N14+O14)</f>
        <v>-20045115.700037099</v>
      </c>
      <c r="S14" s="6">
        <f t="shared" ref="S14:S63" si="11">R14*$C14</f>
        <v>-18733752.990688879</v>
      </c>
      <c r="V14" s="6">
        <v>0</v>
      </c>
      <c r="W14" s="6">
        <f t="shared" ref="W14:W63" si="12">V14*$J$9</f>
        <v>0</v>
      </c>
      <c r="X14" s="6">
        <f t="shared" ref="X14:X63" si="13">W14*8760*$F$9</f>
        <v>0</v>
      </c>
      <c r="Y14" s="6">
        <f>$D14-(W14*8760)</f>
        <v>898653.3600000001</v>
      </c>
      <c r="Z14" s="6">
        <f t="shared" ref="Z14:Z63" si="14">Y14*$F$9</f>
        <v>44539758.837032788</v>
      </c>
      <c r="AA14" s="6">
        <f>V17*($N$5+$N$9)*0.7</f>
        <v>4009023.1400074195</v>
      </c>
      <c r="AB14" s="6">
        <f>V14*$J$7*1000*$J$4</f>
        <v>0</v>
      </c>
      <c r="AC14" s="6">
        <f t="shared" ref="AC14:AC63" si="15">SUM(Z14:AB14)</f>
        <v>48548781.977040209</v>
      </c>
      <c r="AD14" s="6">
        <f>AC14*$C14</f>
        <v>45372693.436486177</v>
      </c>
      <c r="AE14" s="6">
        <f t="shared" ref="AE14:AE63" si="16">X14-(AA14+AB14)</f>
        <v>-4009023.1400074195</v>
      </c>
      <c r="AF14" s="6">
        <f t="shared" ref="AF14:AF63" si="17">AE14*$C14</f>
        <v>-3746750.5981377754</v>
      </c>
      <c r="AI14" s="6">
        <v>0</v>
      </c>
      <c r="AJ14" s="6">
        <f t="shared" ref="AJ14:AJ63" si="18">AI14*$J$9</f>
        <v>0</v>
      </c>
      <c r="AK14" s="6">
        <f t="shared" ref="AK14:AK63" si="19">AJ14*8760*$F$9</f>
        <v>0</v>
      </c>
      <c r="AL14" s="6">
        <f>$D14-(AJ14*8760)</f>
        <v>898653.3600000001</v>
      </c>
      <c r="AM14" s="6">
        <f t="shared" ref="AM14:AM63" si="20">AL14*$F$9</f>
        <v>44539758.837032788</v>
      </c>
      <c r="AN14" s="6">
        <f>AI17*($N$5+$N$9)*0.7</f>
        <v>4009023.1400074195</v>
      </c>
      <c r="AO14" s="6">
        <f>AI14*$J$7*1000*$J$4</f>
        <v>0</v>
      </c>
      <c r="AP14" s="6">
        <f t="shared" ref="AP14:AP63" si="21">SUM(AM14:AO14)</f>
        <v>48548781.977040209</v>
      </c>
      <c r="AQ14" s="6">
        <f>AP14*$C14</f>
        <v>45372693.436486177</v>
      </c>
      <c r="AR14" s="6">
        <f t="shared" ref="AR14:AR63" si="22">AK14-(AN14+AO14)</f>
        <v>-4009023.1400074195</v>
      </c>
      <c r="AS14" s="6">
        <f t="shared" ref="AS14:AS63" si="23">AR14*$C14</f>
        <v>-3746750.5981377754</v>
      </c>
    </row>
    <row r="15" spans="1:45" s="6" customFormat="1" x14ac:dyDescent="0.25">
      <c r="A15" s="6">
        <v>2032</v>
      </c>
      <c r="B15" s="6">
        <v>2</v>
      </c>
      <c r="C15" s="6">
        <f t="shared" si="2"/>
        <v>0.87343872827321156</v>
      </c>
      <c r="D15" s="6">
        <f t="shared" si="3"/>
        <v>898653.3600000001</v>
      </c>
      <c r="E15" s="6">
        <f t="shared" si="4"/>
        <v>44539758.837032788</v>
      </c>
      <c r="F15" s="6">
        <f t="shared" si="5"/>
        <v>38902750.316213451</v>
      </c>
      <c r="I15" s="6">
        <v>0</v>
      </c>
      <c r="J15" s="6">
        <f t="shared" si="6"/>
        <v>0</v>
      </c>
      <c r="K15" s="6">
        <f t="shared" si="7"/>
        <v>0</v>
      </c>
      <c r="L15" s="6">
        <f>$D15-(J15*8760)</f>
        <v>898653.3600000001</v>
      </c>
      <c r="M15" s="6">
        <f t="shared" si="8"/>
        <v>44539758.837032788</v>
      </c>
      <c r="N15" s="6">
        <f t="shared" si="9"/>
        <v>20045115.700037099</v>
      </c>
      <c r="O15" s="6">
        <f>I15*$J$7*1000*$J$4</f>
        <v>0</v>
      </c>
      <c r="P15" s="6">
        <f>SUM(M15:O15)</f>
        <v>64584874.537069887</v>
      </c>
      <c r="Q15" s="6">
        <f>P15*C15</f>
        <v>56410930.681343243</v>
      </c>
      <c r="R15" s="6">
        <f t="shared" si="10"/>
        <v>-20045115.700037099</v>
      </c>
      <c r="S15" s="6">
        <f t="shared" si="11"/>
        <v>-17508180.365129791</v>
      </c>
      <c r="V15" s="6">
        <v>0</v>
      </c>
      <c r="W15" s="6">
        <f t="shared" si="12"/>
        <v>0</v>
      </c>
      <c r="X15" s="6">
        <f t="shared" si="13"/>
        <v>0</v>
      </c>
      <c r="Y15" s="6">
        <f>$D15-(W15*8760)</f>
        <v>898653.3600000001</v>
      </c>
      <c r="Z15" s="6">
        <f t="shared" si="14"/>
        <v>44539758.837032788</v>
      </c>
      <c r="AA15" s="6">
        <f>SUM($N$5,$O$5,$N$9,$N$9)*0.7</f>
        <v>7922831.980439662</v>
      </c>
      <c r="AB15" s="6">
        <f>V15*$J$7*1000*$J$4</f>
        <v>0</v>
      </c>
      <c r="AC15" s="6">
        <f t="shared" si="15"/>
        <v>52462590.81747245</v>
      </c>
      <c r="AD15" s="6">
        <f>AC15*$C15</f>
        <v>45822858.605531007</v>
      </c>
      <c r="AE15" s="6">
        <f t="shared" si="16"/>
        <v>-7922831.980439662</v>
      </c>
      <c r="AF15" s="6">
        <f t="shared" si="17"/>
        <v>-6920108.2893175483</v>
      </c>
      <c r="AI15" s="6">
        <v>0</v>
      </c>
      <c r="AJ15" s="6">
        <f t="shared" si="18"/>
        <v>0</v>
      </c>
      <c r="AK15" s="6">
        <f t="shared" si="19"/>
        <v>0</v>
      </c>
      <c r="AL15" s="6">
        <f>$D15-(AJ15*8760)</f>
        <v>898653.3600000001</v>
      </c>
      <c r="AM15" s="6">
        <f t="shared" si="20"/>
        <v>44539758.837032788</v>
      </c>
      <c r="AN15" s="6">
        <f>SUM($N$5,$O$5,$O$9,$N$9)*0.7</f>
        <v>7586074.0366790388</v>
      </c>
      <c r="AO15" s="6">
        <f>AI15*$J$7*1000*$J$4</f>
        <v>0</v>
      </c>
      <c r="AP15" s="6">
        <f t="shared" si="21"/>
        <v>52125832.873711824</v>
      </c>
      <c r="AQ15" s="6">
        <f>AP15*$C15</f>
        <v>45528721.175396822</v>
      </c>
      <c r="AR15" s="6">
        <f t="shared" si="22"/>
        <v>-7586074.0366790388</v>
      </c>
      <c r="AS15" s="6">
        <f t="shared" si="23"/>
        <v>-6625970.8591833683</v>
      </c>
    </row>
    <row r="16" spans="1:45" s="6" customFormat="1" x14ac:dyDescent="0.25">
      <c r="A16" s="6">
        <v>2033</v>
      </c>
      <c r="B16" s="6">
        <v>3</v>
      </c>
      <c r="C16" s="6">
        <f t="shared" si="2"/>
        <v>0.81629787689085187</v>
      </c>
      <c r="D16" s="6">
        <f t="shared" si="3"/>
        <v>898653.3600000001</v>
      </c>
      <c r="E16" s="6">
        <f t="shared" si="4"/>
        <v>44539758.837032788</v>
      </c>
      <c r="F16" s="6">
        <f t="shared" si="5"/>
        <v>36357710.575900421</v>
      </c>
      <c r="I16" s="6">
        <v>0</v>
      </c>
      <c r="J16" s="6">
        <f t="shared" si="6"/>
        <v>0</v>
      </c>
      <c r="K16" s="6">
        <f t="shared" si="7"/>
        <v>0</v>
      </c>
      <c r="L16" s="6">
        <f>$D16-(J16*8760)</f>
        <v>898653.3600000001</v>
      </c>
      <c r="M16" s="6">
        <f t="shared" si="8"/>
        <v>44539758.837032788</v>
      </c>
      <c r="N16" s="6">
        <f>N17</f>
        <v>20045115.700037099</v>
      </c>
      <c r="O16" s="6">
        <f>I16*$J$7*1000*$J$4</f>
        <v>0</v>
      </c>
      <c r="P16" s="6">
        <f>SUM(M16:O16)</f>
        <v>64584874.537069887</v>
      </c>
      <c r="Q16" s="6">
        <f>P16*C16</f>
        <v>52720495.963872187</v>
      </c>
      <c r="R16" s="6">
        <f t="shared" si="10"/>
        <v>-20045115.700037099</v>
      </c>
      <c r="S16" s="6">
        <f t="shared" si="11"/>
        <v>-16362785.387971766</v>
      </c>
      <c r="V16" s="6">
        <v>0</v>
      </c>
      <c r="W16" s="6">
        <f t="shared" si="12"/>
        <v>0</v>
      </c>
      <c r="X16" s="6">
        <f t="shared" si="13"/>
        <v>0</v>
      </c>
      <c r="Y16" s="6">
        <f>$D16-(W16*8760)</f>
        <v>898653.3600000001</v>
      </c>
      <c r="Z16" s="6">
        <f t="shared" si="14"/>
        <v>44539758.837032788</v>
      </c>
      <c r="AA16" s="6">
        <f>SUM($N$5,$O$5,$N$9,$N$9,$P$5,$N$9)*0.7</f>
        <v>11746187.236275489</v>
      </c>
      <c r="AB16" s="6">
        <f>V16*$J$7*1000*$J$4</f>
        <v>0</v>
      </c>
      <c r="AC16" s="6">
        <f t="shared" si="15"/>
        <v>56285946.073308274</v>
      </c>
      <c r="AD16" s="6">
        <f>AC16*$C16</f>
        <v>45946098.278434522</v>
      </c>
      <c r="AE16" s="6">
        <f t="shared" si="16"/>
        <v>-11746187.236275489</v>
      </c>
      <c r="AF16" s="6">
        <f t="shared" si="17"/>
        <v>-9588387.7025341038</v>
      </c>
      <c r="AI16" s="6">
        <v>0</v>
      </c>
      <c r="AJ16" s="6">
        <f t="shared" si="18"/>
        <v>0</v>
      </c>
      <c r="AK16" s="6">
        <f t="shared" si="19"/>
        <v>0</v>
      </c>
      <c r="AL16" s="6">
        <f>$D16-(AJ16*8760)</f>
        <v>898653.3600000001</v>
      </c>
      <c r="AM16" s="6">
        <f t="shared" si="20"/>
        <v>44539758.837032788</v>
      </c>
      <c r="AN16" s="6">
        <f>SUM($N$5,$O$5,$P$9,$O$9,$P$5,$N$9)*0.7</f>
        <v>10789794.675995316</v>
      </c>
      <c r="AO16" s="6">
        <f>AI16*$J$7*1000*$J$4</f>
        <v>0</v>
      </c>
      <c r="AP16" s="6">
        <f t="shared" si="21"/>
        <v>55329553.5130281</v>
      </c>
      <c r="AQ16" s="6">
        <f>AP16*$C16</f>
        <v>45165397.062003613</v>
      </c>
      <c r="AR16" s="6">
        <f t="shared" si="22"/>
        <v>-10789794.675995316</v>
      </c>
      <c r="AS16" s="6">
        <f t="shared" si="23"/>
        <v>-8807686.4861031938</v>
      </c>
    </row>
    <row r="17" spans="1:45" s="6" customFormat="1" x14ac:dyDescent="0.25">
      <c r="A17" s="6">
        <v>2034</v>
      </c>
      <c r="B17" s="6">
        <v>4</v>
      </c>
      <c r="C17" s="6">
        <f t="shared" si="2"/>
        <v>0.7628952120475252</v>
      </c>
      <c r="D17" s="6">
        <f t="shared" si="3"/>
        <v>898653.3600000001</v>
      </c>
      <c r="E17" s="6">
        <f t="shared" si="4"/>
        <v>44539758.837032788</v>
      </c>
      <c r="F17" s="6">
        <f t="shared" si="5"/>
        <v>33979168.762523763</v>
      </c>
      <c r="I17" s="6">
        <v>5</v>
      </c>
      <c r="J17" s="6">
        <f t="shared" si="6"/>
        <v>99</v>
      </c>
      <c r="K17" s="6">
        <f t="shared" si="7"/>
        <v>42982825.384226359</v>
      </c>
      <c r="L17" s="6">
        <f>$D17-(J17*8760)</f>
        <v>31413.360000000102</v>
      </c>
      <c r="M17" s="6">
        <f t="shared" si="8"/>
        <v>1556933.4528064264</v>
      </c>
      <c r="N17" s="6">
        <f>I17*($N$5+$N$9)*0.7</f>
        <v>20045115.700037099</v>
      </c>
      <c r="O17" s="6">
        <f>I17*$J$7*1000*$J$4</f>
        <v>8855055</v>
      </c>
      <c r="P17" s="6">
        <f>SUM(M17:O17)</f>
        <v>30457104.152843527</v>
      </c>
      <c r="Q17" s="6">
        <f>P17*C17</f>
        <v>23235578.931037124</v>
      </c>
      <c r="R17" s="6">
        <f t="shared" si="10"/>
        <v>14082654.68418926</v>
      </c>
      <c r="S17" s="6">
        <f t="shared" si="11"/>
        <v>10743589.831486639</v>
      </c>
      <c r="V17" s="6">
        <v>1</v>
      </c>
      <c r="W17" s="6">
        <f t="shared" si="12"/>
        <v>19.8</v>
      </c>
      <c r="X17" s="6">
        <f t="shared" si="13"/>
        <v>8596565.0768452715</v>
      </c>
      <c r="Y17" s="6">
        <f>$D17-(W17*8760)</f>
        <v>725205.3600000001</v>
      </c>
      <c r="Z17" s="6">
        <f t="shared" si="14"/>
        <v>35943193.760187514</v>
      </c>
      <c r="AA17" s="6">
        <f>SUM($N$5,$O$5,$N$9,$N$9,$P$5,$N$9,$N$9,$Q$5)*0.7</f>
        <v>15483611.586744716</v>
      </c>
      <c r="AB17" s="6">
        <f>V17*$J$7*1000*$J$4</f>
        <v>1771011</v>
      </c>
      <c r="AC17" s="6">
        <f t="shared" si="15"/>
        <v>53197816.346932232</v>
      </c>
      <c r="AD17" s="6">
        <f>AC17*$C17</f>
        <v>40584359.382458165</v>
      </c>
      <c r="AE17" s="6">
        <f t="shared" si="16"/>
        <v>-8658057.5098994467</v>
      </c>
      <c r="AF17" s="6">
        <f t="shared" si="17"/>
        <v>-6605190.6199344061</v>
      </c>
      <c r="AI17" s="6">
        <v>1</v>
      </c>
      <c r="AJ17" s="6">
        <f t="shared" si="18"/>
        <v>19.8</v>
      </c>
      <c r="AK17" s="6">
        <f t="shared" si="19"/>
        <v>8596565.0768452715</v>
      </c>
      <c r="AL17" s="6">
        <f>$D17-(AJ17*8760)</f>
        <v>725205.3600000001</v>
      </c>
      <c r="AM17" s="6">
        <f t="shared" si="20"/>
        <v>35943193.760187514</v>
      </c>
      <c r="AN17" s="6">
        <f>SUM($N$5,$O$5,$Q$9,$P$9,$P$5,$O$9,$N$9,$Q$5)*0.7</f>
        <v>13669968.004827503</v>
      </c>
      <c r="AO17" s="6">
        <f>AI17*$J$7*1000*$J$4</f>
        <v>1771011</v>
      </c>
      <c r="AP17" s="6">
        <f t="shared" si="21"/>
        <v>51384172.765015021</v>
      </c>
      <c r="AQ17" s="6">
        <f>AP17*$C17</f>
        <v>39200739.377452806</v>
      </c>
      <c r="AR17" s="6">
        <f t="shared" si="22"/>
        <v>-6844413.9279822316</v>
      </c>
      <c r="AS17" s="6">
        <f t="shared" si="23"/>
        <v>-5221570.614929039</v>
      </c>
    </row>
    <row r="18" spans="1:45" s="6" customFormat="1" x14ac:dyDescent="0.25">
      <c r="A18" s="6">
        <v>2035</v>
      </c>
      <c r="B18" s="6">
        <v>5</v>
      </c>
      <c r="C18" s="6">
        <f t="shared" si="2"/>
        <v>0.71298617948366838</v>
      </c>
      <c r="D18" s="6">
        <f t="shared" si="3"/>
        <v>898653.3600000001</v>
      </c>
      <c r="E18" s="6">
        <f t="shared" si="4"/>
        <v>44539758.837032788</v>
      </c>
      <c r="F18" s="6">
        <f t="shared" si="5"/>
        <v>31756232.488339964</v>
      </c>
      <c r="I18" s="6">
        <v>5</v>
      </c>
      <c r="J18" s="6">
        <f t="shared" si="6"/>
        <v>99</v>
      </c>
      <c r="K18" s="6">
        <f t="shared" si="7"/>
        <v>42982825.384226359</v>
      </c>
      <c r="L18" s="6">
        <f>$D18-(J18*8760)</f>
        <v>31413.360000000102</v>
      </c>
      <c r="M18" s="6">
        <f t="shared" si="8"/>
        <v>1556933.4528064264</v>
      </c>
      <c r="N18" s="6">
        <f>I18*($N$5+$N$9)*0.7</f>
        <v>20045115.700037099</v>
      </c>
      <c r="O18" s="6">
        <f>I18*$J$7*1000*$J$4</f>
        <v>8855055</v>
      </c>
      <c r="P18" s="6">
        <f>SUM(M18:O18)</f>
        <v>30457104.152843527</v>
      </c>
      <c r="Q18" s="6">
        <f>P18*C18</f>
        <v>21715494.328072079</v>
      </c>
      <c r="R18" s="6">
        <f t="shared" si="10"/>
        <v>14082654.68418926</v>
      </c>
      <c r="S18" s="6">
        <f t="shared" si="11"/>
        <v>10040738.160267888</v>
      </c>
      <c r="V18" s="6">
        <v>2</v>
      </c>
      <c r="W18" s="6">
        <f t="shared" si="12"/>
        <v>39.6</v>
      </c>
      <c r="X18" s="6">
        <f t="shared" si="13"/>
        <v>17193130.153690543</v>
      </c>
      <c r="Y18" s="6">
        <f>$D18-(W18*8760)</f>
        <v>551757.3600000001</v>
      </c>
      <c r="Z18" s="6">
        <f t="shared" si="14"/>
        <v>27346628.683342241</v>
      </c>
      <c r="AA18" s="6">
        <f t="shared" ref="AA18:AA20" si="24">SUM($N$5,$O$5,$N$9,$N$9,$P$5,$N$9,$N$9,$Q$5)*0.7+SUM(,$R$5,$N$9)</f>
        <v>20706168.715846092</v>
      </c>
      <c r="AB18" s="6">
        <f>V18*$J$7*1000*$J$4</f>
        <v>3542022</v>
      </c>
      <c r="AC18" s="6">
        <f t="shared" si="15"/>
        <v>51594819.399188332</v>
      </c>
      <c r="AD18" s="6">
        <f>AC18*$C18</f>
        <v>36786393.164577149</v>
      </c>
      <c r="AE18" s="6">
        <f t="shared" si="16"/>
        <v>-7055060.5621555485</v>
      </c>
      <c r="AF18" s="6">
        <f t="shared" si="17"/>
        <v>-5030160.6762371864</v>
      </c>
      <c r="AI18" s="6">
        <v>2</v>
      </c>
      <c r="AJ18" s="6">
        <f t="shared" si="18"/>
        <v>39.6</v>
      </c>
      <c r="AK18" s="6">
        <f t="shared" si="19"/>
        <v>17193130.153690543</v>
      </c>
      <c r="AL18" s="6">
        <f>$D18-(AJ18*8760)</f>
        <v>551757.3600000001</v>
      </c>
      <c r="AM18" s="6">
        <f t="shared" si="20"/>
        <v>27346628.683342241</v>
      </c>
      <c r="AN18" s="6">
        <f>SUM($N$5,$O$5,$R$9,$Q$9,$P$5,$P$9,$O$9,$Q$5)*0.7+SUM(,$R$5,$N$9)</f>
        <v>17835676.33199314</v>
      </c>
      <c r="AO18" s="6">
        <f>AI18*$J$7*1000*$J$4</f>
        <v>3542022</v>
      </c>
      <c r="AP18" s="6">
        <f t="shared" si="21"/>
        <v>48724327.015335381</v>
      </c>
      <c r="AQ18" s="6">
        <f>AP18*$C18</f>
        <v>34739771.766576864</v>
      </c>
      <c r="AR18" s="6">
        <f t="shared" si="22"/>
        <v>-4184568.1783025973</v>
      </c>
      <c r="AS18" s="6">
        <f t="shared" si="23"/>
        <v>-2983539.2782369028</v>
      </c>
    </row>
    <row r="19" spans="1:45" s="6" customFormat="1" x14ac:dyDescent="0.25">
      <c r="A19" s="6">
        <v>2036</v>
      </c>
      <c r="B19" s="6">
        <v>6</v>
      </c>
      <c r="C19" s="6">
        <f t="shared" si="2"/>
        <v>0.66634222381651254</v>
      </c>
      <c r="D19" s="6">
        <f t="shared" si="3"/>
        <v>898653.3600000001</v>
      </c>
      <c r="E19" s="6">
        <f t="shared" si="4"/>
        <v>44539758.837032788</v>
      </c>
      <c r="F19" s="6">
        <f t="shared" si="5"/>
        <v>29678721.951719593</v>
      </c>
      <c r="I19" s="6">
        <v>5</v>
      </c>
      <c r="J19" s="6">
        <f t="shared" si="6"/>
        <v>99</v>
      </c>
      <c r="K19" s="6">
        <f t="shared" si="7"/>
        <v>42982825.384226359</v>
      </c>
      <c r="L19" s="6">
        <f>$D19-(J19*8760)</f>
        <v>31413.360000000102</v>
      </c>
      <c r="M19" s="6">
        <f t="shared" si="8"/>
        <v>1556933.4528064264</v>
      </c>
      <c r="N19" s="6">
        <f>I19*($N$5+$N$9)*0.7</f>
        <v>20045115.700037099</v>
      </c>
      <c r="O19" s="6">
        <f>I19*$J$7*1000*$J$4</f>
        <v>8855055</v>
      </c>
      <c r="P19" s="6">
        <f>SUM(M19:O19)</f>
        <v>30457104.152843527</v>
      </c>
      <c r="Q19" s="6">
        <f>P19*C19</f>
        <v>20294854.512216896</v>
      </c>
      <c r="R19" s="6">
        <f t="shared" si="10"/>
        <v>14082654.68418926</v>
      </c>
      <c r="S19" s="6">
        <f t="shared" si="11"/>
        <v>9383867.4395026993</v>
      </c>
      <c r="V19" s="6">
        <v>3</v>
      </c>
      <c r="W19" s="6">
        <f t="shared" si="12"/>
        <v>59.400000000000006</v>
      </c>
      <c r="X19" s="6">
        <f t="shared" si="13"/>
        <v>25789695.230535816</v>
      </c>
      <c r="Y19" s="6">
        <f>$D19-(W19*8760)</f>
        <v>378309.36000000004</v>
      </c>
      <c r="Z19" s="6">
        <f t="shared" si="14"/>
        <v>18750063.606496967</v>
      </c>
      <c r="AA19" s="6">
        <f t="shared" si="24"/>
        <v>20706168.715846092</v>
      </c>
      <c r="AB19" s="6">
        <f>V19*$J$7*1000*$J$4</f>
        <v>5313033</v>
      </c>
      <c r="AC19" s="6">
        <f t="shared" si="15"/>
        <v>44769265.322343059</v>
      </c>
      <c r="AD19" s="6">
        <f>AC19*$C19</f>
        <v>29831651.813521553</v>
      </c>
      <c r="AE19" s="6">
        <f t="shared" si="16"/>
        <v>-229506.48531027511</v>
      </c>
      <c r="AF19" s="6">
        <f t="shared" si="17"/>
        <v>-152929.86180196048</v>
      </c>
      <c r="AI19" s="6">
        <v>3</v>
      </c>
      <c r="AJ19" s="6">
        <f t="shared" si="18"/>
        <v>59.400000000000006</v>
      </c>
      <c r="AK19" s="6">
        <f t="shared" si="19"/>
        <v>25789695.230535816</v>
      </c>
      <c r="AL19" s="6">
        <f>$D19-(AJ19*8760)</f>
        <v>378309.36000000004</v>
      </c>
      <c r="AM19" s="6">
        <f t="shared" si="20"/>
        <v>18750063.606496967</v>
      </c>
      <c r="AN19" s="6">
        <f t="shared" ref="AN19:AN48" si="25">SUM($N$5,$O$5,$R$9,$Q$9,$P$5,$P$9,$O$9,$Q$5)*0.7+SUM(,$R$5,$N$9)</f>
        <v>17835676.33199314</v>
      </c>
      <c r="AO19" s="6">
        <f>AI19*$J$7*1000*$J$4</f>
        <v>5313033</v>
      </c>
      <c r="AP19" s="6">
        <f t="shared" si="21"/>
        <v>41898772.938490108</v>
      </c>
      <c r="AQ19" s="6">
        <f>AP19*$C19</f>
        <v>27918921.535016615</v>
      </c>
      <c r="AR19" s="6">
        <f t="shared" si="22"/>
        <v>2640985.8985426761</v>
      </c>
      <c r="AS19" s="6">
        <f t="shared" si="23"/>
        <v>1759800.4167029774</v>
      </c>
    </row>
    <row r="20" spans="1:45" s="6" customFormat="1" x14ac:dyDescent="0.25">
      <c r="A20" s="6">
        <v>2037</v>
      </c>
      <c r="B20" s="6">
        <v>7</v>
      </c>
      <c r="C20" s="6">
        <f t="shared" si="2"/>
        <v>0.62274974188459109</v>
      </c>
      <c r="D20" s="6">
        <f t="shared" si="3"/>
        <v>898653.3600000001</v>
      </c>
      <c r="E20" s="6">
        <f t="shared" si="4"/>
        <v>44539758.837032788</v>
      </c>
      <c r="F20" s="6">
        <f t="shared" si="5"/>
        <v>27737123.319364104</v>
      </c>
      <c r="I20" s="6">
        <v>5</v>
      </c>
      <c r="J20" s="6">
        <f t="shared" si="6"/>
        <v>99</v>
      </c>
      <c r="K20" s="6">
        <f t="shared" si="7"/>
        <v>42982825.384226359</v>
      </c>
      <c r="L20" s="6">
        <f>$D20-(J20*8760)</f>
        <v>31413.360000000102</v>
      </c>
      <c r="M20" s="6">
        <f t="shared" si="8"/>
        <v>1556933.4528064264</v>
      </c>
      <c r="N20" s="6">
        <f>I20*($N$5+$N$9)*0.7</f>
        <v>20045115.700037099</v>
      </c>
      <c r="O20" s="6">
        <f>I20*$J$7*1000*$J$4</f>
        <v>8855055</v>
      </c>
      <c r="P20" s="6">
        <f>SUM(M20:O20)</f>
        <v>30457104.152843527</v>
      </c>
      <c r="Q20" s="6">
        <f>P20*C20</f>
        <v>18967153.749735415</v>
      </c>
      <c r="R20" s="6">
        <f t="shared" si="10"/>
        <v>14082654.68418926</v>
      </c>
      <c r="S20" s="6">
        <f t="shared" si="11"/>
        <v>8769969.5696286894</v>
      </c>
      <c r="V20" s="6">
        <v>4</v>
      </c>
      <c r="W20" s="6">
        <f t="shared" si="12"/>
        <v>79.2</v>
      </c>
      <c r="X20" s="6">
        <f t="shared" si="13"/>
        <v>34386260.307381086</v>
      </c>
      <c r="Y20" s="6">
        <f>$D20-(W20*8760)</f>
        <v>204861.3600000001</v>
      </c>
      <c r="Z20" s="6">
        <f t="shared" si="14"/>
        <v>10153498.529651698</v>
      </c>
      <c r="AA20" s="6">
        <f t="shared" si="24"/>
        <v>20706168.715846092</v>
      </c>
      <c r="AB20" s="6">
        <f>V20*$J$7*1000*$J$4</f>
        <v>7084044</v>
      </c>
      <c r="AC20" s="6">
        <f t="shared" si="15"/>
        <v>37943711.245497793</v>
      </c>
      <c r="AD20" s="6">
        <f>AC20*$C20</f>
        <v>23629436.384277206</v>
      </c>
      <c r="AE20" s="6">
        <f t="shared" si="16"/>
        <v>6596047.5915349945</v>
      </c>
      <c r="AF20" s="6">
        <f t="shared" si="17"/>
        <v>4107686.9350868966</v>
      </c>
      <c r="AI20" s="6">
        <v>4</v>
      </c>
      <c r="AJ20" s="6">
        <f t="shared" si="18"/>
        <v>79.2</v>
      </c>
      <c r="AK20" s="6">
        <f t="shared" si="19"/>
        <v>34386260.307381086</v>
      </c>
      <c r="AL20" s="6">
        <f>$D20-(AJ20*8760)</f>
        <v>204861.3600000001</v>
      </c>
      <c r="AM20" s="6">
        <f t="shared" si="20"/>
        <v>10153498.529651698</v>
      </c>
      <c r="AN20" s="6">
        <f t="shared" si="25"/>
        <v>17835676.33199314</v>
      </c>
      <c r="AO20" s="6">
        <f>AI20*$J$7*1000*$J$4</f>
        <v>7084044</v>
      </c>
      <c r="AP20" s="6">
        <f t="shared" si="21"/>
        <v>35073218.861644834</v>
      </c>
      <c r="AQ20" s="6">
        <f>AP20*$C20</f>
        <v>21841837.993151091</v>
      </c>
      <c r="AR20" s="6">
        <f t="shared" si="22"/>
        <v>9466539.9753879458</v>
      </c>
      <c r="AS20" s="6">
        <f t="shared" si="23"/>
        <v>5895285.3262130069</v>
      </c>
    </row>
    <row r="21" spans="1:45" s="6" customFormat="1" x14ac:dyDescent="0.25">
      <c r="A21" s="6">
        <v>2038</v>
      </c>
      <c r="B21" s="6">
        <v>8</v>
      </c>
      <c r="C21" s="6">
        <f t="shared" si="2"/>
        <v>0.5820091045650384</v>
      </c>
      <c r="D21" s="6">
        <f t="shared" si="3"/>
        <v>898653.3600000001</v>
      </c>
      <c r="E21" s="6">
        <f t="shared" si="4"/>
        <v>44539758.837032788</v>
      </c>
      <c r="F21" s="6">
        <f t="shared" si="5"/>
        <v>25922545.15828421</v>
      </c>
      <c r="I21" s="6">
        <v>5</v>
      </c>
      <c r="J21" s="6">
        <f t="shared" si="6"/>
        <v>99</v>
      </c>
      <c r="K21" s="6">
        <f t="shared" si="7"/>
        <v>42982825.384226359</v>
      </c>
      <c r="L21" s="6">
        <f>$D21-(J21*8760)</f>
        <v>31413.360000000102</v>
      </c>
      <c r="M21" s="6">
        <f t="shared" si="8"/>
        <v>1556933.4528064264</v>
      </c>
      <c r="N21" s="6">
        <f>I21*($N$5+$N$9)*0.7</f>
        <v>20045115.700037099</v>
      </c>
      <c r="O21" s="6">
        <f>I21*$J$7*1000*$J$4</f>
        <v>8855055</v>
      </c>
      <c r="P21" s="6">
        <f>SUM(M21:O21)</f>
        <v>30457104.152843527</v>
      </c>
      <c r="Q21" s="6">
        <f>P21*C21</f>
        <v>17726311.915640574</v>
      </c>
      <c r="R21" s="6">
        <f t="shared" si="10"/>
        <v>14082654.68418926</v>
      </c>
      <c r="S21" s="6">
        <f t="shared" si="11"/>
        <v>8196233.2426436348</v>
      </c>
      <c r="V21" s="6">
        <v>5</v>
      </c>
      <c r="W21" s="6">
        <f t="shared" si="12"/>
        <v>99</v>
      </c>
      <c r="X21" s="6">
        <f t="shared" si="13"/>
        <v>42982825.384226359</v>
      </c>
      <c r="Y21" s="6">
        <f>$D21-(W21*8760)</f>
        <v>31413.360000000102</v>
      </c>
      <c r="Z21" s="6">
        <f t="shared" si="14"/>
        <v>1556933.4528064264</v>
      </c>
      <c r="AA21" s="6">
        <f>SUM($N$5,$O$5,$N$9,$N$9,$P$5,$N$9,$N$9,$Q$5)*0.7+SUM(,$R$5,$N$9)</f>
        <v>20706168.715846092</v>
      </c>
      <c r="AB21" s="6">
        <f>V21*$J$7*1000*$J$4</f>
        <v>8855055</v>
      </c>
      <c r="AC21" s="6">
        <f t="shared" si="15"/>
        <v>31118157.16865252</v>
      </c>
      <c r="AD21" s="6">
        <f>AC21*$C21</f>
        <v>18111050.789441586</v>
      </c>
      <c r="AE21" s="6">
        <f t="shared" si="16"/>
        <v>13421601.668380268</v>
      </c>
      <c r="AF21" s="6">
        <f t="shared" si="17"/>
        <v>7811494.3688426251</v>
      </c>
      <c r="AI21" s="6">
        <v>5</v>
      </c>
      <c r="AJ21" s="6">
        <f t="shared" si="18"/>
        <v>99</v>
      </c>
      <c r="AK21" s="6">
        <f t="shared" si="19"/>
        <v>42982825.384226359</v>
      </c>
      <c r="AL21" s="6">
        <f>$D21-(AJ21*8760)</f>
        <v>31413.360000000102</v>
      </c>
      <c r="AM21" s="6">
        <f t="shared" si="20"/>
        <v>1556933.4528064264</v>
      </c>
      <c r="AN21" s="6">
        <f t="shared" si="25"/>
        <v>17835676.33199314</v>
      </c>
      <c r="AO21" s="6">
        <f>AI21*$J$7*1000*$J$4</f>
        <v>8855055</v>
      </c>
      <c r="AP21" s="6">
        <f t="shared" si="21"/>
        <v>28247664.784799568</v>
      </c>
      <c r="AQ21" s="6">
        <f>AP21*$C21</f>
        <v>16440398.087454565</v>
      </c>
      <c r="AR21" s="6">
        <f t="shared" si="22"/>
        <v>16292094.052233219</v>
      </c>
      <c r="AS21" s="6">
        <f t="shared" si="23"/>
        <v>9482147.0708296448</v>
      </c>
    </row>
    <row r="22" spans="1:45" s="6" customFormat="1" x14ac:dyDescent="0.25">
      <c r="A22" s="6">
        <v>2039</v>
      </c>
      <c r="B22" s="6">
        <v>9</v>
      </c>
      <c r="C22" s="6">
        <f t="shared" si="2"/>
        <v>0.54393374258414806</v>
      </c>
      <c r="D22" s="6">
        <f t="shared" si="3"/>
        <v>898653.3600000001</v>
      </c>
      <c r="E22" s="6">
        <f t="shared" si="4"/>
        <v>44539758.837032788</v>
      </c>
      <c r="F22" s="6">
        <f t="shared" si="5"/>
        <v>24226677.718022626</v>
      </c>
      <c r="I22" s="6">
        <v>5</v>
      </c>
      <c r="J22" s="6">
        <f t="shared" si="6"/>
        <v>99</v>
      </c>
      <c r="K22" s="6">
        <f t="shared" si="7"/>
        <v>42982825.384226359</v>
      </c>
      <c r="L22" s="6">
        <f>$D22-(J22*8760)</f>
        <v>31413.360000000102</v>
      </c>
      <c r="M22" s="6">
        <f t="shared" si="8"/>
        <v>1556933.4528064264</v>
      </c>
      <c r="N22" s="6">
        <f>I22*($N$5+$N$9)*0.7</f>
        <v>20045115.700037099</v>
      </c>
      <c r="O22" s="6">
        <f>I22*$J$7*1000*$J$4</f>
        <v>8855055</v>
      </c>
      <c r="P22" s="6">
        <f>SUM(M22:O22)</f>
        <v>30457104.152843527</v>
      </c>
      <c r="Q22" s="6">
        <f>P22*C22</f>
        <v>16566646.650131378</v>
      </c>
      <c r="R22" s="6">
        <f t="shared" si="10"/>
        <v>14082654.68418926</v>
      </c>
      <c r="S22" s="6">
        <f t="shared" si="11"/>
        <v>7660031.0678912476</v>
      </c>
      <c r="V22" s="6">
        <v>5</v>
      </c>
      <c r="W22" s="6">
        <f t="shared" si="12"/>
        <v>99</v>
      </c>
      <c r="X22" s="6">
        <f t="shared" si="13"/>
        <v>42982825.384226359</v>
      </c>
      <c r="Y22" s="6">
        <f>$D22-(W22*8760)</f>
        <v>31413.360000000102</v>
      </c>
      <c r="Z22" s="6">
        <f t="shared" si="14"/>
        <v>1556933.4528064264</v>
      </c>
      <c r="AA22" s="6">
        <f t="shared" ref="AA22:AA48" si="26">SUM($N$5,$O$5,$N$9,$N$9,$P$5,$N$9,$N$9,$Q$5)*0.7+SUM(,$R$5,$N$9)</f>
        <v>20706168.715846092</v>
      </c>
      <c r="AB22" s="6">
        <f>V22*$J$7*1000*$J$4</f>
        <v>8855055</v>
      </c>
      <c r="AC22" s="6">
        <f t="shared" si="15"/>
        <v>31118157.16865252</v>
      </c>
      <c r="AD22" s="6">
        <f>AC22*$C22</f>
        <v>16926215.691066902</v>
      </c>
      <c r="AE22" s="6">
        <f t="shared" si="16"/>
        <v>13421601.668380268</v>
      </c>
      <c r="AF22" s="6">
        <f t="shared" si="17"/>
        <v>7300462.0269557247</v>
      </c>
      <c r="AI22" s="6">
        <v>5</v>
      </c>
      <c r="AJ22" s="6">
        <f t="shared" si="18"/>
        <v>99</v>
      </c>
      <c r="AK22" s="6">
        <f t="shared" si="19"/>
        <v>42982825.384226359</v>
      </c>
      <c r="AL22" s="6">
        <f>$D22-(AJ22*8760)</f>
        <v>31413.360000000102</v>
      </c>
      <c r="AM22" s="6">
        <f t="shared" si="20"/>
        <v>1556933.4528064264</v>
      </c>
      <c r="AN22" s="6">
        <f t="shared" si="25"/>
        <v>17835676.33199314</v>
      </c>
      <c r="AO22" s="6">
        <f>AI22*$J$7*1000*$J$4</f>
        <v>8855055</v>
      </c>
      <c r="AP22" s="6">
        <f t="shared" si="21"/>
        <v>28247664.784799568</v>
      </c>
      <c r="AQ22" s="6">
        <f>AP22*$C22</f>
        <v>15364858.025658473</v>
      </c>
      <c r="AR22" s="6">
        <f t="shared" si="22"/>
        <v>16292094.052233219</v>
      </c>
      <c r="AS22" s="6">
        <f t="shared" si="23"/>
        <v>8861819.6923641544</v>
      </c>
    </row>
    <row r="23" spans="1:45" s="6" customFormat="1" x14ac:dyDescent="0.25">
      <c r="A23" s="6">
        <v>2040</v>
      </c>
      <c r="B23" s="6">
        <v>10</v>
      </c>
      <c r="C23" s="6">
        <f t="shared" si="2"/>
        <v>0.5083492921347178</v>
      </c>
      <c r="D23" s="6">
        <f t="shared" si="3"/>
        <v>898653.3600000001</v>
      </c>
      <c r="E23" s="6">
        <f t="shared" si="4"/>
        <v>44539758.837032788</v>
      </c>
      <c r="F23" s="6">
        <f t="shared" si="5"/>
        <v>22641754.876656659</v>
      </c>
      <c r="I23" s="6">
        <v>5</v>
      </c>
      <c r="J23" s="6">
        <f t="shared" si="6"/>
        <v>99</v>
      </c>
      <c r="K23" s="6">
        <f t="shared" si="7"/>
        <v>42982825.384226359</v>
      </c>
      <c r="L23" s="6">
        <f>$D23-(J23*8760)</f>
        <v>31413.360000000102</v>
      </c>
      <c r="M23" s="6">
        <f t="shared" si="8"/>
        <v>1556933.4528064264</v>
      </c>
      <c r="N23" s="6">
        <f>I23*($N$5+$N$9)*0.7</f>
        <v>20045115.700037099</v>
      </c>
      <c r="O23" s="6">
        <f>I23*$J$7*1000*$J$4</f>
        <v>8855055</v>
      </c>
      <c r="P23" s="6">
        <f>SUM(M23:O23)</f>
        <v>30457104.152843527</v>
      </c>
      <c r="Q23" s="6">
        <f>P23*C23</f>
        <v>15482847.33657138</v>
      </c>
      <c r="R23" s="6">
        <f t="shared" si="10"/>
        <v>14082654.68418926</v>
      </c>
      <c r="S23" s="6">
        <f t="shared" si="11"/>
        <v>7158907.5400852785</v>
      </c>
      <c r="V23" s="6">
        <v>5</v>
      </c>
      <c r="W23" s="6">
        <f t="shared" si="12"/>
        <v>99</v>
      </c>
      <c r="X23" s="6">
        <f t="shared" si="13"/>
        <v>42982825.384226359</v>
      </c>
      <c r="Y23" s="6">
        <f>$D23-(W23*8760)</f>
        <v>31413.360000000102</v>
      </c>
      <c r="Z23" s="6">
        <f t="shared" si="14"/>
        <v>1556933.4528064264</v>
      </c>
      <c r="AA23" s="6">
        <f t="shared" si="26"/>
        <v>20706168.715846092</v>
      </c>
      <c r="AB23" s="6">
        <f>V23*$J$7*1000*$J$4</f>
        <v>8855055</v>
      </c>
      <c r="AC23" s="6">
        <f t="shared" si="15"/>
        <v>31118157.16865252</v>
      </c>
      <c r="AD23" s="6">
        <f>AC23*$C23</f>
        <v>15818893.169221403</v>
      </c>
      <c r="AE23" s="6">
        <f t="shared" si="16"/>
        <v>13421601.668380268</v>
      </c>
      <c r="AF23" s="6">
        <f t="shared" si="17"/>
        <v>6822861.7074352568</v>
      </c>
      <c r="AI23" s="6">
        <v>5</v>
      </c>
      <c r="AJ23" s="6">
        <f t="shared" si="18"/>
        <v>99</v>
      </c>
      <c r="AK23" s="6">
        <f t="shared" si="19"/>
        <v>42982825.384226359</v>
      </c>
      <c r="AL23" s="6">
        <f>$D23-(AJ23*8760)</f>
        <v>31413.360000000102</v>
      </c>
      <c r="AM23" s="6">
        <f t="shared" si="20"/>
        <v>1556933.4528064264</v>
      </c>
      <c r="AN23" s="6">
        <f t="shared" si="25"/>
        <v>17835676.33199314</v>
      </c>
      <c r="AO23" s="6">
        <f>AI23*$J$7*1000*$J$4</f>
        <v>8855055</v>
      </c>
      <c r="AP23" s="6">
        <f t="shared" si="21"/>
        <v>28247664.784799568</v>
      </c>
      <c r="AQ23" s="6">
        <f>AP23*$C23</f>
        <v>14359680.397811657</v>
      </c>
      <c r="AR23" s="6">
        <f t="shared" si="22"/>
        <v>16292094.052233219</v>
      </c>
      <c r="AS23" s="6">
        <f t="shared" si="23"/>
        <v>8282074.4788450031</v>
      </c>
    </row>
    <row r="24" spans="1:45" s="6" customFormat="1" x14ac:dyDescent="0.25">
      <c r="A24" s="6">
        <v>2041</v>
      </c>
      <c r="B24" s="6">
        <v>11</v>
      </c>
      <c r="C24" s="6">
        <f t="shared" si="2"/>
        <v>0.47509279638758667</v>
      </c>
      <c r="D24" s="6">
        <f t="shared" si="3"/>
        <v>898653.3600000001</v>
      </c>
      <c r="E24" s="6">
        <f t="shared" si="4"/>
        <v>44539758.837032788</v>
      </c>
      <c r="F24" s="6">
        <f t="shared" si="5"/>
        <v>21160518.576314632</v>
      </c>
      <c r="I24" s="6">
        <v>5</v>
      </c>
      <c r="J24" s="6">
        <f t="shared" si="6"/>
        <v>99</v>
      </c>
      <c r="K24" s="6">
        <f t="shared" si="7"/>
        <v>42982825.384226359</v>
      </c>
      <c r="L24" s="6">
        <f>$D24-(J24*8760)</f>
        <v>31413.360000000102</v>
      </c>
      <c r="M24" s="6">
        <f t="shared" si="8"/>
        <v>1556933.4528064264</v>
      </c>
      <c r="N24" s="6">
        <f>I24*($N$5+$N$9)*0.7</f>
        <v>20045115.700037099</v>
      </c>
      <c r="O24" s="6">
        <f>I24*$J$7*1000*$J$4</f>
        <v>8855055</v>
      </c>
      <c r="P24" s="6">
        <f>SUM(M24:O24)</f>
        <v>30457104.152843527</v>
      </c>
      <c r="Q24" s="6">
        <f>P24*C24</f>
        <v>14469950.781842411</v>
      </c>
      <c r="R24" s="6">
        <f t="shared" si="10"/>
        <v>14082654.68418926</v>
      </c>
      <c r="S24" s="6">
        <f t="shared" si="11"/>
        <v>6690567.7944722213</v>
      </c>
      <c r="V24" s="6">
        <v>5</v>
      </c>
      <c r="W24" s="6">
        <f t="shared" si="12"/>
        <v>99</v>
      </c>
      <c r="X24" s="6">
        <f t="shared" si="13"/>
        <v>42982825.384226359</v>
      </c>
      <c r="Y24" s="6">
        <f>$D24-(W24*8760)</f>
        <v>31413.360000000102</v>
      </c>
      <c r="Z24" s="6">
        <f t="shared" si="14"/>
        <v>1556933.4528064264</v>
      </c>
      <c r="AA24" s="6">
        <f t="shared" si="26"/>
        <v>20706168.715846092</v>
      </c>
      <c r="AB24" s="6">
        <f>V24*$J$7*1000*$J$4</f>
        <v>8855055</v>
      </c>
      <c r="AC24" s="6">
        <f t="shared" si="15"/>
        <v>31118157.16865252</v>
      </c>
      <c r="AD24" s="6">
        <f>AC24*$C24</f>
        <v>14784012.307683552</v>
      </c>
      <c r="AE24" s="6">
        <f t="shared" si="16"/>
        <v>13421601.668380268</v>
      </c>
      <c r="AF24" s="6">
        <f t="shared" si="17"/>
        <v>6376506.2686310802</v>
      </c>
      <c r="AI24" s="6">
        <v>5</v>
      </c>
      <c r="AJ24" s="6">
        <f t="shared" si="18"/>
        <v>99</v>
      </c>
      <c r="AK24" s="6">
        <f t="shared" si="19"/>
        <v>42982825.384226359</v>
      </c>
      <c r="AL24" s="6">
        <f>$D24-(AJ24*8760)</f>
        <v>31413.360000000102</v>
      </c>
      <c r="AM24" s="6">
        <f t="shared" si="20"/>
        <v>1556933.4528064264</v>
      </c>
      <c r="AN24" s="6">
        <f t="shared" si="25"/>
        <v>17835676.33199314</v>
      </c>
      <c r="AO24" s="6">
        <f>AI24*$J$7*1000*$J$4</f>
        <v>8855055</v>
      </c>
      <c r="AP24" s="6">
        <f t="shared" si="21"/>
        <v>28247664.784799568</v>
      </c>
      <c r="AQ24" s="6">
        <f>AP24*$C24</f>
        <v>13420262.054029584</v>
      </c>
      <c r="AR24" s="6">
        <f t="shared" si="22"/>
        <v>16292094.052233219</v>
      </c>
      <c r="AS24" s="6">
        <f t="shared" si="23"/>
        <v>7740256.5222850488</v>
      </c>
    </row>
    <row r="25" spans="1:45" s="6" customFormat="1" x14ac:dyDescent="0.25">
      <c r="A25" s="6">
        <v>2042</v>
      </c>
      <c r="B25" s="6">
        <v>12</v>
      </c>
      <c r="C25" s="6">
        <f t="shared" si="2"/>
        <v>0.44401195924073528</v>
      </c>
      <c r="D25" s="6">
        <f t="shared" si="3"/>
        <v>898653.3600000001</v>
      </c>
      <c r="E25" s="6">
        <f t="shared" si="4"/>
        <v>44539758.837032788</v>
      </c>
      <c r="F25" s="6">
        <f t="shared" si="5"/>
        <v>19776185.585340779</v>
      </c>
      <c r="I25" s="6">
        <v>5</v>
      </c>
      <c r="J25" s="6">
        <f t="shared" si="6"/>
        <v>99</v>
      </c>
      <c r="K25" s="6">
        <f t="shared" si="7"/>
        <v>42982825.384226359</v>
      </c>
      <c r="L25" s="6">
        <f>$D25-(J25*8760)</f>
        <v>31413.360000000102</v>
      </c>
      <c r="M25" s="6">
        <f t="shared" si="8"/>
        <v>1556933.4528064264</v>
      </c>
      <c r="N25" s="6">
        <f>I25*($N$5+$N$9)*0.7</f>
        <v>20045115.700037099</v>
      </c>
      <c r="O25" s="6">
        <f>I25*$J$7*1000*$J$4</f>
        <v>8855055</v>
      </c>
      <c r="P25" s="6">
        <f>SUM(M25:O25)</f>
        <v>30457104.152843527</v>
      </c>
      <c r="Q25" s="6">
        <f>P25*C25</f>
        <v>13523318.487703189</v>
      </c>
      <c r="R25" s="6">
        <f t="shared" si="10"/>
        <v>14082654.68418926</v>
      </c>
      <c r="S25" s="6">
        <f t="shared" si="11"/>
        <v>6252867.0976375919</v>
      </c>
      <c r="V25" s="6">
        <v>5</v>
      </c>
      <c r="W25" s="6">
        <f t="shared" si="12"/>
        <v>99</v>
      </c>
      <c r="X25" s="6">
        <f t="shared" si="13"/>
        <v>42982825.384226359</v>
      </c>
      <c r="Y25" s="6">
        <f>$D25-(W25*8760)</f>
        <v>31413.360000000102</v>
      </c>
      <c r="Z25" s="6">
        <f t="shared" si="14"/>
        <v>1556933.4528064264</v>
      </c>
      <c r="AA25" s="6">
        <f t="shared" si="26"/>
        <v>20706168.715846092</v>
      </c>
      <c r="AB25" s="6">
        <f>V25*$J$7*1000*$J$4</f>
        <v>8855055</v>
      </c>
      <c r="AC25" s="6">
        <f t="shared" si="15"/>
        <v>31118157.16865252</v>
      </c>
      <c r="AD25" s="6">
        <f>AC25*$C25</f>
        <v>13816833.932414537</v>
      </c>
      <c r="AE25" s="6">
        <f t="shared" si="16"/>
        <v>13421601.668380268</v>
      </c>
      <c r="AF25" s="6">
        <f t="shared" si="17"/>
        <v>5959351.6529262438</v>
      </c>
      <c r="AI25" s="6">
        <v>5</v>
      </c>
      <c r="AJ25" s="6">
        <f t="shared" si="18"/>
        <v>99</v>
      </c>
      <c r="AK25" s="6">
        <f t="shared" si="19"/>
        <v>42982825.384226359</v>
      </c>
      <c r="AL25" s="6">
        <f>$D25-(AJ25*8760)</f>
        <v>31413.360000000102</v>
      </c>
      <c r="AM25" s="6">
        <f t="shared" si="20"/>
        <v>1556933.4528064264</v>
      </c>
      <c r="AN25" s="6">
        <f t="shared" si="25"/>
        <v>17835676.33199314</v>
      </c>
      <c r="AO25" s="6">
        <f>AI25*$J$7*1000*$J$4</f>
        <v>8855055</v>
      </c>
      <c r="AP25" s="6">
        <f t="shared" si="21"/>
        <v>28247664.784799568</v>
      </c>
      <c r="AQ25" s="6">
        <f>AP25*$C25</f>
        <v>12542300.985074379</v>
      </c>
      <c r="AR25" s="6">
        <f t="shared" si="22"/>
        <v>16292094.052233219</v>
      </c>
      <c r="AS25" s="6">
        <f t="shared" si="23"/>
        <v>7233884.6002664017</v>
      </c>
    </row>
    <row r="26" spans="1:45" s="6" customFormat="1" x14ac:dyDescent="0.25">
      <c r="A26" s="6">
        <v>2043</v>
      </c>
      <c r="B26" s="6">
        <v>13</v>
      </c>
      <c r="C26" s="6">
        <f t="shared" si="2"/>
        <v>0.41496444788853759</v>
      </c>
      <c r="D26" s="6">
        <f t="shared" si="3"/>
        <v>898653.3600000001</v>
      </c>
      <c r="E26" s="6">
        <f t="shared" si="4"/>
        <v>44539758.837032788</v>
      </c>
      <c r="F26" s="6">
        <f t="shared" si="5"/>
        <v>18482416.434897922</v>
      </c>
      <c r="I26" s="6">
        <v>5</v>
      </c>
      <c r="J26" s="6">
        <f t="shared" si="6"/>
        <v>99</v>
      </c>
      <c r="K26" s="6">
        <f t="shared" si="7"/>
        <v>42982825.384226359</v>
      </c>
      <c r="L26" s="6">
        <f>$D26-(J26*8760)</f>
        <v>31413.360000000102</v>
      </c>
      <c r="M26" s="6">
        <f t="shared" si="8"/>
        <v>1556933.4528064264</v>
      </c>
      <c r="N26" s="6">
        <f>I26*($N$5+$N$9)*0.7</f>
        <v>20045115.700037099</v>
      </c>
      <c r="O26" s="6">
        <f>I26*$J$7*1000*$J$4</f>
        <v>8855055</v>
      </c>
      <c r="P26" s="6">
        <f>SUM(M26:O26)</f>
        <v>30457104.152843527</v>
      </c>
      <c r="Q26" s="6">
        <f>P26*C26</f>
        <v>12638615.4090684</v>
      </c>
      <c r="R26" s="6">
        <f t="shared" si="10"/>
        <v>14082654.68418926</v>
      </c>
      <c r="S26" s="6">
        <f t="shared" si="11"/>
        <v>5843801.0258295238</v>
      </c>
      <c r="V26" s="6">
        <v>5</v>
      </c>
      <c r="W26" s="6">
        <f t="shared" si="12"/>
        <v>99</v>
      </c>
      <c r="X26" s="6">
        <f t="shared" si="13"/>
        <v>42982825.384226359</v>
      </c>
      <c r="Y26" s="6">
        <f>$D26-(W26*8760)</f>
        <v>31413.360000000102</v>
      </c>
      <c r="Z26" s="6">
        <f t="shared" si="14"/>
        <v>1556933.4528064264</v>
      </c>
      <c r="AA26" s="6">
        <f t="shared" si="26"/>
        <v>20706168.715846092</v>
      </c>
      <c r="AB26" s="6">
        <f>V26*$J$7*1000*$J$4</f>
        <v>8855055</v>
      </c>
      <c r="AC26" s="6">
        <f t="shared" si="15"/>
        <v>31118157.16865252</v>
      </c>
      <c r="AD26" s="6">
        <f>AC26*$C26</f>
        <v>12912928.908798631</v>
      </c>
      <c r="AE26" s="6">
        <f t="shared" si="16"/>
        <v>13421601.668380268</v>
      </c>
      <c r="AF26" s="6">
        <f t="shared" si="17"/>
        <v>5569487.5260992926</v>
      </c>
      <c r="AI26" s="6">
        <v>5</v>
      </c>
      <c r="AJ26" s="6">
        <f t="shared" si="18"/>
        <v>99</v>
      </c>
      <c r="AK26" s="6">
        <f t="shared" si="19"/>
        <v>42982825.384226359</v>
      </c>
      <c r="AL26" s="6">
        <f>$D26-(AJ26*8760)</f>
        <v>31413.360000000102</v>
      </c>
      <c r="AM26" s="6">
        <f t="shared" si="20"/>
        <v>1556933.4528064264</v>
      </c>
      <c r="AN26" s="6">
        <f t="shared" si="25"/>
        <v>17835676.33199314</v>
      </c>
      <c r="AO26" s="6">
        <f>AI26*$J$7*1000*$J$4</f>
        <v>8855055</v>
      </c>
      <c r="AP26" s="6">
        <f t="shared" si="21"/>
        <v>28247664.784799568</v>
      </c>
      <c r="AQ26" s="6">
        <f>AP26*$C26</f>
        <v>11721776.621564839</v>
      </c>
      <c r="AR26" s="6">
        <f t="shared" si="22"/>
        <v>16292094.052233219</v>
      </c>
      <c r="AS26" s="6">
        <f t="shared" si="23"/>
        <v>6760639.8133330848</v>
      </c>
    </row>
    <row r="27" spans="1:45" s="6" customFormat="1" x14ac:dyDescent="0.25">
      <c r="A27" s="6">
        <v>2044</v>
      </c>
      <c r="B27" s="6">
        <v>14</v>
      </c>
      <c r="C27" s="6">
        <f t="shared" si="2"/>
        <v>0.3878172410173249</v>
      </c>
      <c r="D27" s="6">
        <f t="shared" si="3"/>
        <v>898653.3600000001</v>
      </c>
      <c r="E27" s="6">
        <f t="shared" si="4"/>
        <v>44539758.837032788</v>
      </c>
      <c r="F27" s="6">
        <f t="shared" si="5"/>
        <v>17273286.38775507</v>
      </c>
      <c r="I27" s="6">
        <v>5</v>
      </c>
      <c r="J27" s="6">
        <f t="shared" si="6"/>
        <v>99</v>
      </c>
      <c r="K27" s="6">
        <f t="shared" si="7"/>
        <v>42982825.384226359</v>
      </c>
      <c r="L27" s="6">
        <f>$D27-(J27*8760)</f>
        <v>31413.360000000102</v>
      </c>
      <c r="M27" s="6">
        <f t="shared" si="8"/>
        <v>1556933.4528064264</v>
      </c>
      <c r="N27" s="6">
        <f>I27*($N$5+$N$9)*0.7</f>
        <v>20045115.700037099</v>
      </c>
      <c r="O27" s="6">
        <f>I27*$J$7*1000*$J$4</f>
        <v>8855055</v>
      </c>
      <c r="P27" s="6">
        <f>SUM(M27:O27)</f>
        <v>30457104.152843527</v>
      </c>
      <c r="Q27" s="6">
        <f>P27*C27</f>
        <v>11811790.101933086</v>
      </c>
      <c r="R27" s="6">
        <f t="shared" si="10"/>
        <v>14082654.68418926</v>
      </c>
      <c r="S27" s="6">
        <f t="shared" si="11"/>
        <v>5461496.2858219855</v>
      </c>
      <c r="V27" s="6">
        <v>5</v>
      </c>
      <c r="W27" s="6">
        <f t="shared" si="12"/>
        <v>99</v>
      </c>
      <c r="X27" s="6">
        <f t="shared" si="13"/>
        <v>42982825.384226359</v>
      </c>
      <c r="Y27" s="6">
        <f>$D27-(W27*8760)</f>
        <v>31413.360000000102</v>
      </c>
      <c r="Z27" s="6">
        <f t="shared" si="14"/>
        <v>1556933.4528064264</v>
      </c>
      <c r="AA27" s="6">
        <f t="shared" si="26"/>
        <v>20706168.715846092</v>
      </c>
      <c r="AB27" s="6">
        <f>V27*$J$7*1000*$J$4</f>
        <v>8855055</v>
      </c>
      <c r="AC27" s="6">
        <f t="shared" si="15"/>
        <v>31118157.16865252</v>
      </c>
      <c r="AD27" s="6">
        <f>AC27*$C27</f>
        <v>12068157.85869031</v>
      </c>
      <c r="AE27" s="6">
        <f t="shared" si="16"/>
        <v>13421601.668380268</v>
      </c>
      <c r="AF27" s="6">
        <f t="shared" si="17"/>
        <v>5205128.5290647605</v>
      </c>
      <c r="AI27" s="6">
        <v>5</v>
      </c>
      <c r="AJ27" s="6">
        <f t="shared" si="18"/>
        <v>99</v>
      </c>
      <c r="AK27" s="6">
        <f t="shared" si="19"/>
        <v>42982825.384226359</v>
      </c>
      <c r="AL27" s="6">
        <f>$D27-(AJ27*8760)</f>
        <v>31413.360000000102</v>
      </c>
      <c r="AM27" s="6">
        <f t="shared" si="20"/>
        <v>1556933.4528064264</v>
      </c>
      <c r="AN27" s="6">
        <f t="shared" si="25"/>
        <v>17835676.33199314</v>
      </c>
      <c r="AO27" s="6">
        <f>AI27*$J$7*1000*$J$4</f>
        <v>8855055</v>
      </c>
      <c r="AP27" s="6">
        <f t="shared" si="21"/>
        <v>28247664.784799568</v>
      </c>
      <c r="AQ27" s="6">
        <f>AP27*$C27</f>
        <v>10954931.422023214</v>
      </c>
      <c r="AR27" s="6">
        <f t="shared" si="22"/>
        <v>16292094.052233219</v>
      </c>
      <c r="AS27" s="6">
        <f t="shared" si="23"/>
        <v>6318354.9657318555</v>
      </c>
    </row>
    <row r="28" spans="1:45" s="6" customFormat="1" x14ac:dyDescent="0.25">
      <c r="A28" s="6">
        <v>2045</v>
      </c>
      <c r="B28" s="6">
        <v>15</v>
      </c>
      <c r="C28" s="6">
        <f t="shared" si="2"/>
        <v>0.36244601964235967</v>
      </c>
      <c r="D28" s="6">
        <f t="shared" si="3"/>
        <v>898653.3600000001</v>
      </c>
      <c r="E28" s="6">
        <f t="shared" si="4"/>
        <v>44539758.837032788</v>
      </c>
      <c r="F28" s="6">
        <f t="shared" si="5"/>
        <v>16143258.306313148</v>
      </c>
      <c r="I28" s="6">
        <v>5</v>
      </c>
      <c r="J28" s="6">
        <f t="shared" si="6"/>
        <v>99</v>
      </c>
      <c r="K28" s="6">
        <f t="shared" si="7"/>
        <v>42982825.384226359</v>
      </c>
      <c r="L28" s="6">
        <f>$D28-(J28*8760)</f>
        <v>31413.360000000102</v>
      </c>
      <c r="M28" s="6">
        <f t="shared" si="8"/>
        <v>1556933.4528064264</v>
      </c>
      <c r="N28" s="6">
        <f>I28*($N$5+$N$9)*0.7</f>
        <v>20045115.700037099</v>
      </c>
      <c r="O28" s="6">
        <f>I28*$J$7*1000*$J$4</f>
        <v>8855055</v>
      </c>
      <c r="P28" s="6">
        <f>SUM(M28:O28)</f>
        <v>30457104.152843527</v>
      </c>
      <c r="Q28" s="6">
        <f>P28*C28</f>
        <v>11039056.17003092</v>
      </c>
      <c r="R28" s="6">
        <f t="shared" si="10"/>
        <v>14082654.68418926</v>
      </c>
      <c r="S28" s="6">
        <f t="shared" si="11"/>
        <v>5104202.1362822289</v>
      </c>
      <c r="V28" s="6">
        <v>5</v>
      </c>
      <c r="W28" s="6">
        <f t="shared" si="12"/>
        <v>99</v>
      </c>
      <c r="X28" s="6">
        <f t="shared" si="13"/>
        <v>42982825.384226359</v>
      </c>
      <c r="Y28" s="6">
        <f>$D28-(W28*8760)</f>
        <v>31413.360000000102</v>
      </c>
      <c r="Z28" s="6">
        <f t="shared" si="14"/>
        <v>1556933.4528064264</v>
      </c>
      <c r="AA28" s="6">
        <f t="shared" si="26"/>
        <v>20706168.715846092</v>
      </c>
      <c r="AB28" s="6">
        <f>V28*$J$7*1000*$J$4</f>
        <v>8855055</v>
      </c>
      <c r="AC28" s="6">
        <f t="shared" si="15"/>
        <v>31118157.16865252</v>
      </c>
      <c r="AD28" s="6">
        <f>AC28*$C28</f>
        <v>11278652.204383466</v>
      </c>
      <c r="AE28" s="6">
        <f t="shared" si="16"/>
        <v>13421601.668380268</v>
      </c>
      <c r="AF28" s="6">
        <f t="shared" si="17"/>
        <v>4864606.1019296823</v>
      </c>
      <c r="AI28" s="6">
        <v>5</v>
      </c>
      <c r="AJ28" s="6">
        <f t="shared" si="18"/>
        <v>99</v>
      </c>
      <c r="AK28" s="6">
        <f t="shared" si="19"/>
        <v>42982825.384226359</v>
      </c>
      <c r="AL28" s="6">
        <f>$D28-(AJ28*8760)</f>
        <v>31413.360000000102</v>
      </c>
      <c r="AM28" s="6">
        <f t="shared" si="20"/>
        <v>1556933.4528064264</v>
      </c>
      <c r="AN28" s="6">
        <f t="shared" si="25"/>
        <v>17835676.33199314</v>
      </c>
      <c r="AO28" s="6">
        <f>AI28*$J$7*1000*$J$4</f>
        <v>8855055</v>
      </c>
      <c r="AP28" s="6">
        <f t="shared" si="21"/>
        <v>28247664.784799568</v>
      </c>
      <c r="AQ28" s="6">
        <f>AP28*$C28</f>
        <v>10238253.665442256</v>
      </c>
      <c r="AR28" s="6">
        <f t="shared" si="22"/>
        <v>16292094.052233219</v>
      </c>
      <c r="AS28" s="6">
        <f t="shared" si="23"/>
        <v>5905004.6408708924</v>
      </c>
    </row>
    <row r="29" spans="1:45" s="6" customFormat="1" x14ac:dyDescent="0.25">
      <c r="A29" s="6">
        <v>2046</v>
      </c>
      <c r="B29" s="6">
        <v>16</v>
      </c>
      <c r="C29" s="6">
        <f t="shared" si="2"/>
        <v>0.33873459779659787</v>
      </c>
      <c r="D29" s="6">
        <f t="shared" si="3"/>
        <v>898653.3600000001</v>
      </c>
      <c r="E29" s="6">
        <f t="shared" si="4"/>
        <v>44539758.837032788</v>
      </c>
      <c r="F29" s="6">
        <f t="shared" si="5"/>
        <v>15087157.295619767</v>
      </c>
      <c r="I29" s="6">
        <v>5</v>
      </c>
      <c r="J29" s="6">
        <f t="shared" si="6"/>
        <v>99</v>
      </c>
      <c r="K29" s="6">
        <f t="shared" si="7"/>
        <v>42982825.384226359</v>
      </c>
      <c r="L29" s="6">
        <f>$D29-(J29*8760)</f>
        <v>31413.360000000102</v>
      </c>
      <c r="M29" s="6">
        <f t="shared" si="8"/>
        <v>1556933.4528064264</v>
      </c>
      <c r="N29" s="6">
        <f>I29*($N$5+$N$9)*0.7</f>
        <v>20045115.700037099</v>
      </c>
      <c r="O29" s="6">
        <f>I29*$J$7*1000*$J$4</f>
        <v>8855055</v>
      </c>
      <c r="P29" s="6">
        <f>SUM(M29:O29)</f>
        <v>30457104.152843527</v>
      </c>
      <c r="Q29" s="6">
        <f>P29*C29</f>
        <v>10316874.925262542</v>
      </c>
      <c r="R29" s="6">
        <f t="shared" si="10"/>
        <v>14082654.68418926</v>
      </c>
      <c r="S29" s="6">
        <f t="shared" si="11"/>
        <v>4770282.3703572238</v>
      </c>
      <c r="V29" s="6">
        <v>5</v>
      </c>
      <c r="W29" s="6">
        <f t="shared" si="12"/>
        <v>99</v>
      </c>
      <c r="X29" s="6">
        <f t="shared" si="13"/>
        <v>42982825.384226359</v>
      </c>
      <c r="Y29" s="6">
        <f>$D29-(W29*8760)</f>
        <v>31413.360000000102</v>
      </c>
      <c r="Z29" s="6">
        <f t="shared" si="14"/>
        <v>1556933.4528064264</v>
      </c>
      <c r="AA29" s="6">
        <f t="shared" si="26"/>
        <v>20706168.715846092</v>
      </c>
      <c r="AB29" s="6">
        <f>V29*$J$7*1000*$J$4</f>
        <v>8855055</v>
      </c>
      <c r="AC29" s="6">
        <f t="shared" si="15"/>
        <v>31118157.16865252</v>
      </c>
      <c r="AD29" s="6">
        <f>AC29*$C29</f>
        <v>10540796.45269483</v>
      </c>
      <c r="AE29" s="6">
        <f t="shared" si="16"/>
        <v>13421601.668380268</v>
      </c>
      <c r="AF29" s="6">
        <f t="shared" si="17"/>
        <v>4546360.8429249367</v>
      </c>
      <c r="AI29" s="6">
        <v>5</v>
      </c>
      <c r="AJ29" s="6">
        <f t="shared" si="18"/>
        <v>99</v>
      </c>
      <c r="AK29" s="6">
        <f t="shared" si="19"/>
        <v>42982825.384226359</v>
      </c>
      <c r="AL29" s="6">
        <f>$D29-(AJ29*8760)</f>
        <v>31413.360000000102</v>
      </c>
      <c r="AM29" s="6">
        <f t="shared" si="20"/>
        <v>1556933.4528064264</v>
      </c>
      <c r="AN29" s="6">
        <f t="shared" si="25"/>
        <v>17835676.33199314</v>
      </c>
      <c r="AO29" s="6">
        <f>AI29*$J$7*1000*$J$4</f>
        <v>8855055</v>
      </c>
      <c r="AP29" s="6">
        <f t="shared" si="21"/>
        <v>28247664.784799568</v>
      </c>
      <c r="AQ29" s="6">
        <f>AP29*$C29</f>
        <v>9568461.3695722036</v>
      </c>
      <c r="AR29" s="6">
        <f t="shared" si="22"/>
        <v>16292094.052233219</v>
      </c>
      <c r="AS29" s="6">
        <f t="shared" si="23"/>
        <v>5518695.9260475636</v>
      </c>
    </row>
    <row r="30" spans="1:45" s="6" customFormat="1" x14ac:dyDescent="0.25">
      <c r="A30" s="6">
        <v>2047</v>
      </c>
      <c r="B30" s="6">
        <v>17</v>
      </c>
      <c r="C30" s="6">
        <f t="shared" si="2"/>
        <v>0.31657439046411018</v>
      </c>
      <c r="D30" s="6">
        <f t="shared" si="3"/>
        <v>898653.3600000001</v>
      </c>
      <c r="E30" s="6">
        <f t="shared" si="4"/>
        <v>44539758.837032788</v>
      </c>
      <c r="F30" s="6">
        <f t="shared" si="5"/>
        <v>14100147.005252119</v>
      </c>
      <c r="I30" s="6">
        <v>5</v>
      </c>
      <c r="J30" s="6">
        <f t="shared" si="6"/>
        <v>99</v>
      </c>
      <c r="K30" s="6">
        <f t="shared" si="7"/>
        <v>42982825.384226359</v>
      </c>
      <c r="L30" s="6">
        <f>$D30-(J30*8760)</f>
        <v>31413.360000000102</v>
      </c>
      <c r="M30" s="6">
        <f t="shared" si="8"/>
        <v>1556933.4528064264</v>
      </c>
      <c r="N30" s="6">
        <f>I30*($N$5+$N$9)*0.7</f>
        <v>20045115.700037099</v>
      </c>
      <c r="O30" s="6">
        <f>I30*$J$7*1000*$J$4</f>
        <v>8855055</v>
      </c>
      <c r="P30" s="6">
        <f>SUM(M30:O30)</f>
        <v>30457104.152843527</v>
      </c>
      <c r="Q30" s="6">
        <f>P30*C30</f>
        <v>9641939.1824883576</v>
      </c>
      <c r="R30" s="6">
        <f t="shared" si="10"/>
        <v>14082654.68418926</v>
      </c>
      <c r="S30" s="6">
        <f t="shared" si="11"/>
        <v>4458207.8227637606</v>
      </c>
      <c r="V30" s="6">
        <v>5</v>
      </c>
      <c r="W30" s="6">
        <f t="shared" si="12"/>
        <v>99</v>
      </c>
      <c r="X30" s="6">
        <f t="shared" si="13"/>
        <v>42982825.384226359</v>
      </c>
      <c r="Y30" s="6">
        <f>$D30-(W30*8760)</f>
        <v>31413.360000000102</v>
      </c>
      <c r="Z30" s="6">
        <f t="shared" si="14"/>
        <v>1556933.4528064264</v>
      </c>
      <c r="AA30" s="6">
        <f t="shared" si="26"/>
        <v>20706168.715846092</v>
      </c>
      <c r="AB30" s="6">
        <f>V30*$J$7*1000*$J$4</f>
        <v>8855055</v>
      </c>
      <c r="AC30" s="6">
        <f t="shared" si="15"/>
        <v>31118157.16865252</v>
      </c>
      <c r="AD30" s="6">
        <f>AC30*$C30</f>
        <v>9851211.6380325519</v>
      </c>
      <c r="AE30" s="6">
        <f t="shared" si="16"/>
        <v>13421601.668380268</v>
      </c>
      <c r="AF30" s="6">
        <f t="shared" si="17"/>
        <v>4248935.3672195673</v>
      </c>
      <c r="AI30" s="6">
        <v>5</v>
      </c>
      <c r="AJ30" s="6">
        <f t="shared" si="18"/>
        <v>99</v>
      </c>
      <c r="AK30" s="6">
        <f t="shared" si="19"/>
        <v>42982825.384226359</v>
      </c>
      <c r="AL30" s="6">
        <f>$D30-(AJ30*8760)</f>
        <v>31413.360000000102</v>
      </c>
      <c r="AM30" s="6">
        <f t="shared" si="20"/>
        <v>1556933.4528064264</v>
      </c>
      <c r="AN30" s="6">
        <f t="shared" si="25"/>
        <v>17835676.33199314</v>
      </c>
      <c r="AO30" s="6">
        <f>AI30*$J$7*1000*$J$4</f>
        <v>8855055</v>
      </c>
      <c r="AP30" s="6">
        <f t="shared" si="21"/>
        <v>28247664.784799568</v>
      </c>
      <c r="AQ30" s="6">
        <f>AP30*$C30</f>
        <v>8942487.2612824328</v>
      </c>
      <c r="AR30" s="6">
        <f t="shared" si="22"/>
        <v>16292094.052233219</v>
      </c>
      <c r="AS30" s="6">
        <f t="shared" si="23"/>
        <v>5157659.7439696863</v>
      </c>
    </row>
    <row r="31" spans="1:45" s="6" customFormat="1" x14ac:dyDescent="0.25">
      <c r="A31" s="6">
        <v>2048</v>
      </c>
      <c r="B31" s="6">
        <v>18</v>
      </c>
      <c r="C31" s="6">
        <f t="shared" si="2"/>
        <v>0.29586391632159825</v>
      </c>
      <c r="D31" s="6">
        <f t="shared" si="3"/>
        <v>898653.3600000001</v>
      </c>
      <c r="E31" s="6">
        <f t="shared" si="4"/>
        <v>44539758.837032788</v>
      </c>
      <c r="F31" s="6">
        <f t="shared" si="5"/>
        <v>13177707.481544035</v>
      </c>
      <c r="I31" s="6">
        <v>5</v>
      </c>
      <c r="J31" s="6">
        <f t="shared" si="6"/>
        <v>99</v>
      </c>
      <c r="K31" s="6">
        <f t="shared" si="7"/>
        <v>42982825.384226359</v>
      </c>
      <c r="L31" s="6">
        <f>$D31-(J31*8760)</f>
        <v>31413.360000000102</v>
      </c>
      <c r="M31" s="6">
        <f t="shared" si="8"/>
        <v>1556933.4528064264</v>
      </c>
      <c r="N31" s="6">
        <f>I31*($N$5+$N$9)*0.7</f>
        <v>20045115.700037099</v>
      </c>
      <c r="O31" s="6">
        <f>I31*$J$7*1000*$J$4</f>
        <v>8855055</v>
      </c>
      <c r="P31" s="6">
        <f>SUM(M31:O31)</f>
        <v>30457104.152843527</v>
      </c>
      <c r="Q31" s="6">
        <f>P31*C31</f>
        <v>9011158.1144750994</v>
      </c>
      <c r="R31" s="6">
        <f t="shared" si="10"/>
        <v>14082654.68418926</v>
      </c>
      <c r="S31" s="6">
        <f t="shared" si="11"/>
        <v>4166549.3670689347</v>
      </c>
      <c r="V31" s="6">
        <v>5</v>
      </c>
      <c r="W31" s="6">
        <f t="shared" si="12"/>
        <v>99</v>
      </c>
      <c r="X31" s="6">
        <f t="shared" si="13"/>
        <v>42982825.384226359</v>
      </c>
      <c r="Y31" s="6">
        <f>$D31-(W31*8760)</f>
        <v>31413.360000000102</v>
      </c>
      <c r="Z31" s="6">
        <f t="shared" si="14"/>
        <v>1556933.4528064264</v>
      </c>
      <c r="AA31" s="6">
        <f t="shared" si="26"/>
        <v>20706168.715846092</v>
      </c>
      <c r="AB31" s="6">
        <f>V31*$J$7*1000*$J$4</f>
        <v>8855055</v>
      </c>
      <c r="AC31" s="6">
        <f t="shared" si="15"/>
        <v>31118157.16865252</v>
      </c>
      <c r="AD31" s="6">
        <f>AC31*$C31</f>
        <v>9206739.8486285526</v>
      </c>
      <c r="AE31" s="6">
        <f t="shared" si="16"/>
        <v>13421601.668380268</v>
      </c>
      <c r="AF31" s="6">
        <f t="shared" si="17"/>
        <v>3970967.6329154829</v>
      </c>
      <c r="AI31" s="6">
        <v>5</v>
      </c>
      <c r="AJ31" s="6">
        <f t="shared" si="18"/>
        <v>99</v>
      </c>
      <c r="AK31" s="6">
        <f t="shared" si="19"/>
        <v>42982825.384226359</v>
      </c>
      <c r="AL31" s="6">
        <f>$D31-(AJ31*8760)</f>
        <v>31413.360000000102</v>
      </c>
      <c r="AM31" s="6">
        <f t="shared" si="20"/>
        <v>1556933.4528064264</v>
      </c>
      <c r="AN31" s="6">
        <f t="shared" si="25"/>
        <v>17835676.33199314</v>
      </c>
      <c r="AO31" s="6">
        <f>AI31*$J$7*1000*$J$4</f>
        <v>8855055</v>
      </c>
      <c r="AP31" s="6">
        <f t="shared" si="21"/>
        <v>28247664.784799568</v>
      </c>
      <c r="AQ31" s="6">
        <f>AP31*$C31</f>
        <v>8357464.7301704967</v>
      </c>
      <c r="AR31" s="6">
        <f t="shared" si="22"/>
        <v>16292094.052233219</v>
      </c>
      <c r="AS31" s="6">
        <f t="shared" si="23"/>
        <v>4820242.7513735378</v>
      </c>
    </row>
    <row r="32" spans="1:45" s="6" customFormat="1" x14ac:dyDescent="0.25">
      <c r="A32" s="6">
        <v>2049</v>
      </c>
      <c r="B32" s="6">
        <v>19</v>
      </c>
      <c r="C32" s="6">
        <f t="shared" si="2"/>
        <v>0.27650833301083949</v>
      </c>
      <c r="D32" s="6">
        <f t="shared" si="3"/>
        <v>898653.3600000001</v>
      </c>
      <c r="E32" s="6">
        <f t="shared" si="4"/>
        <v>44539758.837032788</v>
      </c>
      <c r="F32" s="6">
        <f t="shared" si="5"/>
        <v>12315614.468732743</v>
      </c>
      <c r="I32" s="6">
        <v>5</v>
      </c>
      <c r="J32" s="6">
        <f t="shared" si="6"/>
        <v>99</v>
      </c>
      <c r="K32" s="6">
        <f t="shared" si="7"/>
        <v>42982825.384226359</v>
      </c>
      <c r="L32" s="6">
        <f>$D32-(J32*8760)</f>
        <v>31413.360000000102</v>
      </c>
      <c r="M32" s="6">
        <f t="shared" si="8"/>
        <v>1556933.4528064264</v>
      </c>
      <c r="N32" s="6">
        <f>I32*($N$5+$N$9)*0.7</f>
        <v>20045115.700037099</v>
      </c>
      <c r="O32" s="6">
        <f>I32*$J$7*1000*$J$4</f>
        <v>8855055</v>
      </c>
      <c r="P32" s="6">
        <f>SUM(M32:O32)</f>
        <v>30457104.152843527</v>
      </c>
      <c r="Q32" s="6">
        <f>P32*C32</f>
        <v>8421643.0976402797</v>
      </c>
      <c r="R32" s="6">
        <f t="shared" si="10"/>
        <v>14082654.68418926</v>
      </c>
      <c r="S32" s="6">
        <f t="shared" si="11"/>
        <v>3893971.3710924624</v>
      </c>
      <c r="V32" s="6">
        <v>5</v>
      </c>
      <c r="W32" s="6">
        <f t="shared" si="12"/>
        <v>99</v>
      </c>
      <c r="X32" s="6">
        <f t="shared" si="13"/>
        <v>42982825.384226359</v>
      </c>
      <c r="Y32" s="6">
        <f>$D32-(W32*8760)</f>
        <v>31413.360000000102</v>
      </c>
      <c r="Z32" s="6">
        <f t="shared" si="14"/>
        <v>1556933.4528064264</v>
      </c>
      <c r="AA32" s="6">
        <f t="shared" si="26"/>
        <v>20706168.715846092</v>
      </c>
      <c r="AB32" s="6">
        <f>V32*$J$7*1000*$J$4</f>
        <v>8855055</v>
      </c>
      <c r="AC32" s="6">
        <f t="shared" si="15"/>
        <v>31118157.16865252</v>
      </c>
      <c r="AD32" s="6">
        <f>AC32*$C32</f>
        <v>8604429.765073413</v>
      </c>
      <c r="AE32" s="6">
        <f t="shared" si="16"/>
        <v>13421601.668380268</v>
      </c>
      <c r="AF32" s="6">
        <f t="shared" si="17"/>
        <v>3711184.70365933</v>
      </c>
      <c r="AI32" s="6">
        <v>5</v>
      </c>
      <c r="AJ32" s="6">
        <f t="shared" si="18"/>
        <v>99</v>
      </c>
      <c r="AK32" s="6">
        <f t="shared" si="19"/>
        <v>42982825.384226359</v>
      </c>
      <c r="AL32" s="6">
        <f>$D32-(AJ32*8760)</f>
        <v>31413.360000000102</v>
      </c>
      <c r="AM32" s="6">
        <f t="shared" si="20"/>
        <v>1556933.4528064264</v>
      </c>
      <c r="AN32" s="6">
        <f t="shared" si="25"/>
        <v>17835676.33199314</v>
      </c>
      <c r="AO32" s="6">
        <f>AI32*$J$7*1000*$J$4</f>
        <v>8855055</v>
      </c>
      <c r="AP32" s="6">
        <f t="shared" si="21"/>
        <v>28247664.784799568</v>
      </c>
      <c r="AQ32" s="6">
        <f>AP32*$C32</f>
        <v>7810714.7010939224</v>
      </c>
      <c r="AR32" s="6">
        <f t="shared" si="22"/>
        <v>16292094.052233219</v>
      </c>
      <c r="AS32" s="6">
        <f t="shared" si="23"/>
        <v>4504899.7676388202</v>
      </c>
    </row>
    <row r="33" spans="1:45" s="6" customFormat="1" x14ac:dyDescent="0.25">
      <c r="A33" s="6">
        <v>2050</v>
      </c>
      <c r="B33" s="6">
        <v>20</v>
      </c>
      <c r="C33" s="6">
        <f t="shared" si="2"/>
        <v>0.2584190028138687</v>
      </c>
      <c r="D33" s="6">
        <f t="shared" si="3"/>
        <v>898653.3600000001</v>
      </c>
      <c r="E33" s="6">
        <f t="shared" si="4"/>
        <v>44539758.837032788</v>
      </c>
      <c r="F33" s="6">
        <f t="shared" si="5"/>
        <v>11509920.064236209</v>
      </c>
      <c r="I33" s="6">
        <v>5</v>
      </c>
      <c r="J33" s="6">
        <f t="shared" si="6"/>
        <v>99</v>
      </c>
      <c r="K33" s="6">
        <f t="shared" si="7"/>
        <v>42982825.384226359</v>
      </c>
      <c r="L33" s="6">
        <f>$D33-(J33*8760)</f>
        <v>31413.360000000102</v>
      </c>
      <c r="M33" s="6">
        <f t="shared" si="8"/>
        <v>1556933.4528064264</v>
      </c>
      <c r="N33" s="6">
        <f>I33*($N$5+$N$9)*0.7</f>
        <v>20045115.700037099</v>
      </c>
      <c r="O33" s="6">
        <f>I33*$J$7*1000*$J$4</f>
        <v>8855055</v>
      </c>
      <c r="P33" s="6">
        <f>SUM(M33:O33)</f>
        <v>30457104.152843527</v>
      </c>
      <c r="Q33" s="6">
        <f>P33*C33</f>
        <v>7870694.483775964</v>
      </c>
      <c r="R33" s="6">
        <f t="shared" si="10"/>
        <v>14082654.68418926</v>
      </c>
      <c r="S33" s="6">
        <f t="shared" si="11"/>
        <v>3639225.5804602457</v>
      </c>
      <c r="V33" s="6">
        <v>5</v>
      </c>
      <c r="W33" s="6">
        <f t="shared" si="12"/>
        <v>99</v>
      </c>
      <c r="X33" s="6">
        <f t="shared" si="13"/>
        <v>42982825.384226359</v>
      </c>
      <c r="Y33" s="6">
        <f>$D33-(W33*8760)</f>
        <v>31413.360000000102</v>
      </c>
      <c r="Z33" s="6">
        <f t="shared" si="14"/>
        <v>1556933.4528064264</v>
      </c>
      <c r="AA33" s="6">
        <f t="shared" si="26"/>
        <v>20706168.715846092</v>
      </c>
      <c r="AB33" s="6">
        <f>V33*$J$7*1000*$J$4</f>
        <v>8855055</v>
      </c>
      <c r="AC33" s="6">
        <f t="shared" si="15"/>
        <v>31118157.16865252</v>
      </c>
      <c r="AD33" s="6">
        <f>AC33*$C33</f>
        <v>8041523.1449284237</v>
      </c>
      <c r="AE33" s="6">
        <f t="shared" si="16"/>
        <v>13421601.668380268</v>
      </c>
      <c r="AF33" s="6">
        <f t="shared" si="17"/>
        <v>3468396.9193077851</v>
      </c>
      <c r="AI33" s="6">
        <v>5</v>
      </c>
      <c r="AJ33" s="6">
        <f t="shared" si="18"/>
        <v>99</v>
      </c>
      <c r="AK33" s="6">
        <f t="shared" si="19"/>
        <v>42982825.384226359</v>
      </c>
      <c r="AL33" s="6">
        <f>$D33-(AJ33*8760)</f>
        <v>31413.360000000102</v>
      </c>
      <c r="AM33" s="6">
        <f t="shared" si="20"/>
        <v>1556933.4528064264</v>
      </c>
      <c r="AN33" s="6">
        <f t="shared" si="25"/>
        <v>17835676.33199314</v>
      </c>
      <c r="AO33" s="6">
        <f>AI33*$J$7*1000*$J$4</f>
        <v>8855055</v>
      </c>
      <c r="AP33" s="6">
        <f t="shared" si="21"/>
        <v>28247664.784799568</v>
      </c>
      <c r="AQ33" s="6">
        <f>AP33*$C33</f>
        <v>7299733.3655083394</v>
      </c>
      <c r="AR33" s="6">
        <f t="shared" si="22"/>
        <v>16292094.052233219</v>
      </c>
      <c r="AS33" s="6">
        <f t="shared" si="23"/>
        <v>4210186.6987278694</v>
      </c>
    </row>
    <row r="34" spans="1:45" s="6" customFormat="1" x14ac:dyDescent="0.25">
      <c r="A34" s="6">
        <v>2051</v>
      </c>
      <c r="B34" s="6">
        <v>21</v>
      </c>
      <c r="C34" s="6">
        <f t="shared" si="2"/>
        <v>0.24151308674193336</v>
      </c>
      <c r="D34" s="6">
        <f t="shared" si="3"/>
        <v>898653.3600000001</v>
      </c>
      <c r="E34" s="6">
        <f t="shared" si="4"/>
        <v>44539758.837032788</v>
      </c>
      <c r="F34" s="6">
        <f t="shared" si="5"/>
        <v>10756934.639473092</v>
      </c>
      <c r="I34" s="6">
        <v>5</v>
      </c>
      <c r="J34" s="6">
        <f t="shared" si="6"/>
        <v>99</v>
      </c>
      <c r="K34" s="6">
        <f t="shared" si="7"/>
        <v>42982825.384226359</v>
      </c>
      <c r="L34" s="6">
        <f>$D34-(J34*8760)</f>
        <v>31413.360000000102</v>
      </c>
      <c r="M34" s="6">
        <f t="shared" si="8"/>
        <v>1556933.4528064264</v>
      </c>
      <c r="N34" s="6">
        <f>I34*($N$5+$N$9)*0.7</f>
        <v>20045115.700037099</v>
      </c>
      <c r="O34" s="6">
        <f>I34*$J$7*1000*$J$4</f>
        <v>8855055</v>
      </c>
      <c r="P34" s="6">
        <f>SUM(M34:O34)</f>
        <v>30457104.152843527</v>
      </c>
      <c r="Q34" s="6">
        <f>P34*C34</f>
        <v>7355789.2371737976</v>
      </c>
      <c r="R34" s="6">
        <f t="shared" si="10"/>
        <v>14082654.68418926</v>
      </c>
      <c r="S34" s="6">
        <f t="shared" si="11"/>
        <v>3401145.4022992952</v>
      </c>
      <c r="V34" s="6">
        <v>5</v>
      </c>
      <c r="W34" s="6">
        <f t="shared" si="12"/>
        <v>99</v>
      </c>
      <c r="X34" s="6">
        <f t="shared" si="13"/>
        <v>42982825.384226359</v>
      </c>
      <c r="Y34" s="6">
        <f>$D34-(W34*8760)</f>
        <v>31413.360000000102</v>
      </c>
      <c r="Z34" s="6">
        <f t="shared" si="14"/>
        <v>1556933.4528064264</v>
      </c>
      <c r="AA34" s="6">
        <f t="shared" si="26"/>
        <v>20706168.715846092</v>
      </c>
      <c r="AB34" s="6">
        <f>V34*$J$7*1000*$J$4</f>
        <v>8855055</v>
      </c>
      <c r="AC34" s="6">
        <f t="shared" si="15"/>
        <v>31118157.16865252</v>
      </c>
      <c r="AD34" s="6">
        <f>AC34*$C34</f>
        <v>7515442.1915218914</v>
      </c>
      <c r="AE34" s="6">
        <f t="shared" si="16"/>
        <v>13421601.668380268</v>
      </c>
      <c r="AF34" s="6">
        <f t="shared" si="17"/>
        <v>3241492.4479512013</v>
      </c>
      <c r="AI34" s="6">
        <v>5</v>
      </c>
      <c r="AJ34" s="6">
        <f t="shared" si="18"/>
        <v>99</v>
      </c>
      <c r="AK34" s="6">
        <f t="shared" si="19"/>
        <v>42982825.384226359</v>
      </c>
      <c r="AL34" s="6">
        <f>$D34-(AJ34*8760)</f>
        <v>31413.360000000102</v>
      </c>
      <c r="AM34" s="6">
        <f t="shared" si="20"/>
        <v>1556933.4528064264</v>
      </c>
      <c r="AN34" s="6">
        <f t="shared" si="25"/>
        <v>17835676.33199314</v>
      </c>
      <c r="AO34" s="6">
        <f>AI34*$J$7*1000*$J$4</f>
        <v>8855055</v>
      </c>
      <c r="AP34" s="6">
        <f t="shared" si="21"/>
        <v>28247664.784799568</v>
      </c>
      <c r="AQ34" s="6">
        <f>AP34*$C34</f>
        <v>6822180.7154283542</v>
      </c>
      <c r="AR34" s="6">
        <f t="shared" si="22"/>
        <v>16292094.052233219</v>
      </c>
      <c r="AS34" s="6">
        <f t="shared" si="23"/>
        <v>3934753.9240447381</v>
      </c>
    </row>
    <row r="35" spans="1:45" s="6" customFormat="1" x14ac:dyDescent="0.25">
      <c r="A35" s="6">
        <v>2052</v>
      </c>
      <c r="B35" s="6">
        <v>22</v>
      </c>
      <c r="C35" s="6">
        <f t="shared" si="2"/>
        <v>0.22571316517937698</v>
      </c>
      <c r="D35" s="6">
        <f t="shared" si="3"/>
        <v>898653.3600000001</v>
      </c>
      <c r="E35" s="6">
        <f t="shared" si="4"/>
        <v>44539758.837032788</v>
      </c>
      <c r="F35" s="6">
        <f t="shared" si="5"/>
        <v>10053209.943432797</v>
      </c>
      <c r="I35" s="6">
        <v>5</v>
      </c>
      <c r="J35" s="6">
        <f t="shared" si="6"/>
        <v>99</v>
      </c>
      <c r="K35" s="6">
        <f t="shared" si="7"/>
        <v>42982825.384226359</v>
      </c>
      <c r="L35" s="6">
        <f>$D35-(J35*8760)</f>
        <v>31413.360000000102</v>
      </c>
      <c r="M35" s="6">
        <f t="shared" si="8"/>
        <v>1556933.4528064264</v>
      </c>
      <c r="N35" s="6">
        <f>I35*($N$5+$N$9)*0.7</f>
        <v>20045115.700037099</v>
      </c>
      <c r="O35" s="6">
        <f>I35*$J$7*1000*$J$4</f>
        <v>8855055</v>
      </c>
      <c r="P35" s="6">
        <f>SUM(M35:O35)</f>
        <v>30457104.152843527</v>
      </c>
      <c r="Q35" s="6">
        <f>P35*C35</f>
        <v>6874569.3805362601</v>
      </c>
      <c r="R35" s="6">
        <f t="shared" si="10"/>
        <v>14082654.68418926</v>
      </c>
      <c r="S35" s="6">
        <f t="shared" si="11"/>
        <v>3178640.5628965376</v>
      </c>
      <c r="V35" s="6">
        <v>5</v>
      </c>
      <c r="W35" s="6">
        <f t="shared" si="12"/>
        <v>99</v>
      </c>
      <c r="X35" s="6">
        <f t="shared" si="13"/>
        <v>42982825.384226359</v>
      </c>
      <c r="Y35" s="6">
        <f>$D35-(W35*8760)</f>
        <v>31413.360000000102</v>
      </c>
      <c r="Z35" s="6">
        <f t="shared" si="14"/>
        <v>1556933.4528064264</v>
      </c>
      <c r="AA35" s="6">
        <f t="shared" si="26"/>
        <v>20706168.715846092</v>
      </c>
      <c r="AB35" s="6">
        <f>V35*$J$7*1000*$J$4</f>
        <v>8855055</v>
      </c>
      <c r="AC35" s="6">
        <f t="shared" si="15"/>
        <v>31118157.16865252</v>
      </c>
      <c r="AD35" s="6">
        <f>AC35*$C35</f>
        <v>7023777.7490858799</v>
      </c>
      <c r="AE35" s="6">
        <f t="shared" si="16"/>
        <v>13421601.668380268</v>
      </c>
      <c r="AF35" s="6">
        <f t="shared" si="17"/>
        <v>3029432.1943469169</v>
      </c>
      <c r="AI35" s="6">
        <v>5</v>
      </c>
      <c r="AJ35" s="6">
        <f t="shared" si="18"/>
        <v>99</v>
      </c>
      <c r="AK35" s="6">
        <f t="shared" si="19"/>
        <v>42982825.384226359</v>
      </c>
      <c r="AL35" s="6">
        <f>$D35-(AJ35*8760)</f>
        <v>31413.360000000102</v>
      </c>
      <c r="AM35" s="6">
        <f t="shared" si="20"/>
        <v>1556933.4528064264</v>
      </c>
      <c r="AN35" s="6">
        <f t="shared" si="25"/>
        <v>17835676.33199314</v>
      </c>
      <c r="AO35" s="6">
        <f>AI35*$J$7*1000*$J$4</f>
        <v>8855055</v>
      </c>
      <c r="AP35" s="6">
        <f t="shared" si="21"/>
        <v>28247664.784799568</v>
      </c>
      <c r="AQ35" s="6">
        <f>AP35*$C35</f>
        <v>6375869.8275031354</v>
      </c>
      <c r="AR35" s="6">
        <f t="shared" si="22"/>
        <v>16292094.052233219</v>
      </c>
      <c r="AS35" s="6">
        <f t="shared" si="23"/>
        <v>3677340.1159296618</v>
      </c>
    </row>
    <row r="36" spans="1:45" s="6" customFormat="1" x14ac:dyDescent="0.25">
      <c r="A36" s="6">
        <v>2053</v>
      </c>
      <c r="B36" s="6">
        <v>23</v>
      </c>
      <c r="C36" s="6">
        <f t="shared" si="2"/>
        <v>0.21094688334521211</v>
      </c>
      <c r="D36" s="6">
        <f t="shared" si="3"/>
        <v>898653.3600000001</v>
      </c>
      <c r="E36" s="6">
        <f t="shared" si="4"/>
        <v>44539758.837032788</v>
      </c>
      <c r="F36" s="6">
        <f t="shared" si="5"/>
        <v>9395523.3116194364</v>
      </c>
      <c r="I36" s="6">
        <v>5</v>
      </c>
      <c r="J36" s="6">
        <f t="shared" si="6"/>
        <v>99</v>
      </c>
      <c r="K36" s="6">
        <f t="shared" si="7"/>
        <v>42982825.384226359</v>
      </c>
      <c r="L36" s="6">
        <f>$D36-(J36*8760)</f>
        <v>31413.360000000102</v>
      </c>
      <c r="M36" s="6">
        <f t="shared" si="8"/>
        <v>1556933.4528064264</v>
      </c>
      <c r="N36" s="6">
        <f>I36*($N$5+$N$9)*0.7</f>
        <v>20045115.700037099</v>
      </c>
      <c r="O36" s="6">
        <f>I36*$J$7*1000*$J$4</f>
        <v>8855055</v>
      </c>
      <c r="P36" s="6">
        <f>SUM(M36:O36)</f>
        <v>30457104.152843527</v>
      </c>
      <c r="Q36" s="6">
        <f>P36*C36</f>
        <v>6424831.1967628589</v>
      </c>
      <c r="R36" s="6">
        <f t="shared" si="10"/>
        <v>14082654.68418926</v>
      </c>
      <c r="S36" s="6">
        <f t="shared" si="11"/>
        <v>2970692.1148565765</v>
      </c>
      <c r="V36" s="6">
        <v>5</v>
      </c>
      <c r="W36" s="6">
        <f t="shared" si="12"/>
        <v>99</v>
      </c>
      <c r="X36" s="6">
        <f t="shared" si="13"/>
        <v>42982825.384226359</v>
      </c>
      <c r="Y36" s="6">
        <f>$D36-(W36*8760)</f>
        <v>31413.360000000102</v>
      </c>
      <c r="Z36" s="6">
        <f t="shared" si="14"/>
        <v>1556933.4528064264</v>
      </c>
      <c r="AA36" s="6">
        <f t="shared" si="26"/>
        <v>20706168.715846092</v>
      </c>
      <c r="AB36" s="6">
        <f>V36*$J$7*1000*$J$4</f>
        <v>8855055</v>
      </c>
      <c r="AC36" s="6">
        <f t="shared" si="15"/>
        <v>31118157.16865252</v>
      </c>
      <c r="AD36" s="6">
        <f>AC36*$C36</f>
        <v>6564278.2701737192</v>
      </c>
      <c r="AE36" s="6">
        <f t="shared" si="16"/>
        <v>13421601.668380268</v>
      </c>
      <c r="AF36" s="6">
        <f t="shared" si="17"/>
        <v>2831245.0414457167</v>
      </c>
      <c r="AI36" s="6">
        <v>5</v>
      </c>
      <c r="AJ36" s="6">
        <f t="shared" si="18"/>
        <v>99</v>
      </c>
      <c r="AK36" s="6">
        <f t="shared" si="19"/>
        <v>42982825.384226359</v>
      </c>
      <c r="AL36" s="6">
        <f>$D36-(AJ36*8760)</f>
        <v>31413.360000000102</v>
      </c>
      <c r="AM36" s="6">
        <f t="shared" si="20"/>
        <v>1556933.4528064264</v>
      </c>
      <c r="AN36" s="6">
        <f t="shared" si="25"/>
        <v>17835676.33199314</v>
      </c>
      <c r="AO36" s="6">
        <f>AI36*$J$7*1000*$J$4</f>
        <v>8855055</v>
      </c>
      <c r="AP36" s="6">
        <f t="shared" si="21"/>
        <v>28247664.784799568</v>
      </c>
      <c r="AQ36" s="6">
        <f>AP36*$C36</f>
        <v>5958756.8481337707</v>
      </c>
      <c r="AR36" s="6">
        <f t="shared" si="22"/>
        <v>16292094.052233219</v>
      </c>
      <c r="AS36" s="6">
        <f t="shared" si="23"/>
        <v>3436766.4634856652</v>
      </c>
    </row>
    <row r="37" spans="1:45" s="6" customFormat="1" x14ac:dyDescent="0.25">
      <c r="A37" s="6">
        <v>2054</v>
      </c>
      <c r="B37" s="6">
        <v>24</v>
      </c>
      <c r="C37" s="6">
        <f t="shared" si="2"/>
        <v>0.19714661994879637</v>
      </c>
      <c r="D37" s="6">
        <f t="shared" si="3"/>
        <v>898653.3600000001</v>
      </c>
      <c r="E37" s="6">
        <f t="shared" si="4"/>
        <v>44539758.837032788</v>
      </c>
      <c r="F37" s="6">
        <f t="shared" si="5"/>
        <v>8780862.9080555476</v>
      </c>
      <c r="I37" s="6">
        <v>5</v>
      </c>
      <c r="J37" s="6">
        <f t="shared" si="6"/>
        <v>99</v>
      </c>
      <c r="K37" s="6">
        <f t="shared" si="7"/>
        <v>42982825.384226359</v>
      </c>
      <c r="L37" s="6">
        <f>$D37-(J37*8760)</f>
        <v>31413.360000000102</v>
      </c>
      <c r="M37" s="6">
        <f t="shared" si="8"/>
        <v>1556933.4528064264</v>
      </c>
      <c r="N37" s="6">
        <f>I37*($N$5+$N$9)*0.7</f>
        <v>20045115.700037099</v>
      </c>
      <c r="O37" s="6">
        <f>I37*$J$7*1000*$J$4</f>
        <v>8855055</v>
      </c>
      <c r="P37" s="6">
        <f>SUM(M37:O37)</f>
        <v>30457104.152843527</v>
      </c>
      <c r="Q37" s="6">
        <f>P37*C37</f>
        <v>6004515.1371615501</v>
      </c>
      <c r="R37" s="6">
        <f t="shared" si="10"/>
        <v>14082654.68418926</v>
      </c>
      <c r="S37" s="6">
        <f t="shared" si="11"/>
        <v>2776347.770893997</v>
      </c>
      <c r="V37" s="6">
        <v>5</v>
      </c>
      <c r="W37" s="6">
        <f t="shared" si="12"/>
        <v>99</v>
      </c>
      <c r="X37" s="6">
        <f t="shared" si="13"/>
        <v>42982825.384226359</v>
      </c>
      <c r="Y37" s="6">
        <f>$D37-(W37*8760)</f>
        <v>31413.360000000102</v>
      </c>
      <c r="Z37" s="6">
        <f t="shared" si="14"/>
        <v>1556933.4528064264</v>
      </c>
      <c r="AA37" s="6">
        <f t="shared" si="26"/>
        <v>20706168.715846092</v>
      </c>
      <c r="AB37" s="6">
        <f>V37*$J$7*1000*$J$4</f>
        <v>8855055</v>
      </c>
      <c r="AC37" s="6">
        <f t="shared" si="15"/>
        <v>31118157.16865252</v>
      </c>
      <c r="AD37" s="6">
        <f>AC37*$C37</f>
        <v>6134839.5048352517</v>
      </c>
      <c r="AE37" s="6">
        <f t="shared" si="16"/>
        <v>13421601.668380268</v>
      </c>
      <c r="AF37" s="6">
        <f t="shared" si="17"/>
        <v>2646023.4032202959</v>
      </c>
      <c r="AI37" s="6">
        <v>5</v>
      </c>
      <c r="AJ37" s="6">
        <f t="shared" si="18"/>
        <v>99</v>
      </c>
      <c r="AK37" s="6">
        <f t="shared" si="19"/>
        <v>42982825.384226359</v>
      </c>
      <c r="AL37" s="6">
        <f>$D37-(AJ37*8760)</f>
        <v>31413.360000000102</v>
      </c>
      <c r="AM37" s="6">
        <f t="shared" si="20"/>
        <v>1556933.4528064264</v>
      </c>
      <c r="AN37" s="6">
        <f t="shared" si="25"/>
        <v>17835676.33199314</v>
      </c>
      <c r="AO37" s="6">
        <f>AI37*$J$7*1000*$J$4</f>
        <v>8855055</v>
      </c>
      <c r="AP37" s="6">
        <f t="shared" si="21"/>
        <v>28247664.784799568</v>
      </c>
      <c r="AQ37" s="6">
        <f>AP37*$C37</f>
        <v>5568931.6337698791</v>
      </c>
      <c r="AR37" s="6">
        <f t="shared" si="22"/>
        <v>16292094.052233219</v>
      </c>
      <c r="AS37" s="6">
        <f t="shared" si="23"/>
        <v>3211931.274285668</v>
      </c>
    </row>
    <row r="38" spans="1:45" s="6" customFormat="1" x14ac:dyDescent="0.25">
      <c r="A38" s="6">
        <v>2055</v>
      </c>
      <c r="B38" s="6">
        <v>25</v>
      </c>
      <c r="C38" s="6">
        <f t="shared" si="2"/>
        <v>0.18424917752223957</v>
      </c>
      <c r="D38" s="6">
        <f t="shared" si="3"/>
        <v>898653.3600000001</v>
      </c>
      <c r="E38" s="6">
        <f t="shared" si="4"/>
        <v>44539758.837032788</v>
      </c>
      <c r="F38" s="6">
        <f t="shared" si="5"/>
        <v>8206413.9327621926</v>
      </c>
      <c r="I38" s="6">
        <v>5</v>
      </c>
      <c r="J38" s="6">
        <f t="shared" si="6"/>
        <v>99</v>
      </c>
      <c r="K38" s="6">
        <f t="shared" si="7"/>
        <v>42982825.384226359</v>
      </c>
      <c r="L38" s="6">
        <f>$D38-(J38*8760)</f>
        <v>31413.360000000102</v>
      </c>
      <c r="M38" s="6">
        <f t="shared" si="8"/>
        <v>1556933.4528064264</v>
      </c>
      <c r="N38" s="6">
        <f>I38*($N$5+$N$9)*0.7</f>
        <v>20045115.700037099</v>
      </c>
      <c r="O38" s="6">
        <f>I38*$J$7*1000*$J$4</f>
        <v>8855055</v>
      </c>
      <c r="P38" s="6">
        <f>SUM(M38:O38)</f>
        <v>30457104.152843527</v>
      </c>
      <c r="Q38" s="6">
        <f>P38*C38</f>
        <v>5611696.3898706073</v>
      </c>
      <c r="R38" s="6">
        <f t="shared" si="10"/>
        <v>14082654.68418926</v>
      </c>
      <c r="S38" s="6">
        <f t="shared" si="11"/>
        <v>2594717.5428915857</v>
      </c>
      <c r="V38" s="6">
        <v>5</v>
      </c>
      <c r="W38" s="6">
        <f t="shared" si="12"/>
        <v>99</v>
      </c>
      <c r="X38" s="6">
        <f t="shared" si="13"/>
        <v>42982825.384226359</v>
      </c>
      <c r="Y38" s="6">
        <f>$D38-(W38*8760)</f>
        <v>31413.360000000102</v>
      </c>
      <c r="Z38" s="6">
        <f t="shared" si="14"/>
        <v>1556933.4528064264</v>
      </c>
      <c r="AA38" s="6">
        <f t="shared" si="26"/>
        <v>20706168.715846092</v>
      </c>
      <c r="AB38" s="6">
        <f>V38*$J$7*1000*$J$4</f>
        <v>8855055</v>
      </c>
      <c r="AC38" s="6">
        <f t="shared" si="15"/>
        <v>31118157.16865252</v>
      </c>
      <c r="AD38" s="6">
        <f>AC38*$C38</f>
        <v>5733494.86433201</v>
      </c>
      <c r="AE38" s="6">
        <f t="shared" si="16"/>
        <v>13421601.668380268</v>
      </c>
      <c r="AF38" s="6">
        <f t="shared" si="17"/>
        <v>2472919.068430183</v>
      </c>
      <c r="AI38" s="6">
        <v>5</v>
      </c>
      <c r="AJ38" s="6">
        <f t="shared" si="18"/>
        <v>99</v>
      </c>
      <c r="AK38" s="6">
        <f t="shared" si="19"/>
        <v>42982825.384226359</v>
      </c>
      <c r="AL38" s="6">
        <f>$D38-(AJ38*8760)</f>
        <v>31413.360000000102</v>
      </c>
      <c r="AM38" s="6">
        <f t="shared" si="20"/>
        <v>1556933.4528064264</v>
      </c>
      <c r="AN38" s="6">
        <f t="shared" si="25"/>
        <v>17835676.33199314</v>
      </c>
      <c r="AO38" s="6">
        <f>AI38*$J$7*1000*$J$4</f>
        <v>8855055</v>
      </c>
      <c r="AP38" s="6">
        <f t="shared" si="21"/>
        <v>28247664.784799568</v>
      </c>
      <c r="AQ38" s="6">
        <f>AP38*$C38</f>
        <v>5204609.003523251</v>
      </c>
      <c r="AR38" s="6">
        <f t="shared" si="22"/>
        <v>16292094.052233219</v>
      </c>
      <c r="AS38" s="6">
        <f t="shared" si="23"/>
        <v>3001804.929238942</v>
      </c>
    </row>
    <row r="39" spans="1:45" s="6" customFormat="1" x14ac:dyDescent="0.25">
      <c r="A39" s="6">
        <v>2056</v>
      </c>
      <c r="B39" s="6">
        <v>26</v>
      </c>
      <c r="C39" s="6">
        <f t="shared" si="2"/>
        <v>0.17219549301143888</v>
      </c>
      <c r="D39" s="6">
        <f t="shared" si="3"/>
        <v>898653.3600000001</v>
      </c>
      <c r="E39" s="6">
        <f t="shared" si="4"/>
        <v>44539758.837032788</v>
      </c>
      <c r="F39" s="6">
        <f t="shared" si="5"/>
        <v>7669545.731553453</v>
      </c>
      <c r="I39" s="6">
        <v>5</v>
      </c>
      <c r="J39" s="6">
        <f t="shared" si="6"/>
        <v>99</v>
      </c>
      <c r="K39" s="6">
        <f t="shared" si="7"/>
        <v>42982825.384226359</v>
      </c>
      <c r="L39" s="6">
        <f>$D39-(J39*8760)</f>
        <v>31413.360000000102</v>
      </c>
      <c r="M39" s="6">
        <f t="shared" si="8"/>
        <v>1556933.4528064264</v>
      </c>
      <c r="N39" s="6">
        <f>I39*($N$5+$N$9)*0.7</f>
        <v>20045115.700037099</v>
      </c>
      <c r="O39" s="6">
        <f>I39*$J$7*1000*$J$4</f>
        <v>8855055</v>
      </c>
      <c r="P39" s="6">
        <f>SUM(M39:O39)</f>
        <v>30457104.152843527</v>
      </c>
      <c r="Q39" s="6">
        <f>P39*C39</f>
        <v>5244576.0652996339</v>
      </c>
      <c r="R39" s="6">
        <f t="shared" si="10"/>
        <v>14082654.68418926</v>
      </c>
      <c r="S39" s="6">
        <f t="shared" si="11"/>
        <v>2424969.6662538187</v>
      </c>
      <c r="V39" s="6">
        <v>5</v>
      </c>
      <c r="W39" s="6">
        <f t="shared" si="12"/>
        <v>99</v>
      </c>
      <c r="X39" s="6">
        <f t="shared" si="13"/>
        <v>42982825.384226359</v>
      </c>
      <c r="Y39" s="6">
        <f>$D39-(W39*8760)</f>
        <v>31413.360000000102</v>
      </c>
      <c r="Z39" s="6">
        <f t="shared" si="14"/>
        <v>1556933.4528064264</v>
      </c>
      <c r="AA39" s="6">
        <f t="shared" si="26"/>
        <v>20706168.715846092</v>
      </c>
      <c r="AB39" s="6">
        <f>V39*$J$7*1000*$J$4</f>
        <v>8855055</v>
      </c>
      <c r="AC39" s="6">
        <f t="shared" si="15"/>
        <v>31118157.16865252</v>
      </c>
      <c r="AD39" s="6">
        <f>AC39*$C39</f>
        <v>5358406.4152635615</v>
      </c>
      <c r="AE39" s="6">
        <f t="shared" si="16"/>
        <v>13421601.668380268</v>
      </c>
      <c r="AF39" s="6">
        <f t="shared" si="17"/>
        <v>2311139.316289891</v>
      </c>
      <c r="AI39" s="6">
        <v>5</v>
      </c>
      <c r="AJ39" s="6">
        <f t="shared" si="18"/>
        <v>99</v>
      </c>
      <c r="AK39" s="6">
        <f t="shared" si="19"/>
        <v>42982825.384226359</v>
      </c>
      <c r="AL39" s="6">
        <f>$D39-(AJ39*8760)</f>
        <v>31413.360000000102</v>
      </c>
      <c r="AM39" s="6">
        <f t="shared" si="20"/>
        <v>1556933.4528064264</v>
      </c>
      <c r="AN39" s="6">
        <f t="shared" si="25"/>
        <v>17835676.33199314</v>
      </c>
      <c r="AO39" s="6">
        <f>AI39*$J$7*1000*$J$4</f>
        <v>8855055</v>
      </c>
      <c r="AP39" s="6">
        <f t="shared" si="21"/>
        <v>28247664.784799568</v>
      </c>
      <c r="AQ39" s="6">
        <f>AP39*$C39</f>
        <v>4864120.5640404224</v>
      </c>
      <c r="AR39" s="6">
        <f t="shared" si="22"/>
        <v>16292094.052233219</v>
      </c>
      <c r="AS39" s="6">
        <f t="shared" si="23"/>
        <v>2805425.1675130301</v>
      </c>
    </row>
    <row r="40" spans="1:45" s="6" customFormat="1" x14ac:dyDescent="0.25">
      <c r="A40" s="6">
        <v>2057</v>
      </c>
      <c r="B40" s="6">
        <v>27</v>
      </c>
      <c r="C40" s="6">
        <f t="shared" si="2"/>
        <v>0.16093036730041013</v>
      </c>
      <c r="D40" s="6">
        <f t="shared" si="3"/>
        <v>898653.3600000001</v>
      </c>
      <c r="E40" s="6">
        <f t="shared" si="4"/>
        <v>44539758.837032788</v>
      </c>
      <c r="F40" s="6">
        <f t="shared" si="5"/>
        <v>7167799.7491153749</v>
      </c>
      <c r="I40" s="6">
        <v>5</v>
      </c>
      <c r="J40" s="6">
        <f t="shared" si="6"/>
        <v>99</v>
      </c>
      <c r="K40" s="6">
        <f t="shared" si="7"/>
        <v>42982825.384226359</v>
      </c>
      <c r="L40" s="6">
        <f>$D40-(J40*8760)</f>
        <v>31413.360000000102</v>
      </c>
      <c r="M40" s="6">
        <f t="shared" si="8"/>
        <v>1556933.4528064264</v>
      </c>
      <c r="N40" s="6">
        <f>I40*($N$5+$N$9)*0.7</f>
        <v>20045115.700037099</v>
      </c>
      <c r="O40" s="6">
        <f>I40*$J$7*1000*$J$4</f>
        <v>8855055</v>
      </c>
      <c r="P40" s="6">
        <f>SUM(M40:O40)</f>
        <v>30457104.152843527</v>
      </c>
      <c r="Q40" s="6">
        <f>P40*C40</f>
        <v>4901472.9582239557</v>
      </c>
      <c r="R40" s="6">
        <f t="shared" si="10"/>
        <v>14082654.68418926</v>
      </c>
      <c r="S40" s="6">
        <f t="shared" si="11"/>
        <v>2266326.7908914187</v>
      </c>
      <c r="V40" s="6">
        <v>5</v>
      </c>
      <c r="W40" s="6">
        <f t="shared" si="12"/>
        <v>99</v>
      </c>
      <c r="X40" s="6">
        <f t="shared" si="13"/>
        <v>42982825.384226359</v>
      </c>
      <c r="Y40" s="6">
        <f>$D40-(W40*8760)</f>
        <v>31413.360000000102</v>
      </c>
      <c r="Z40" s="6">
        <f t="shared" si="14"/>
        <v>1556933.4528064264</v>
      </c>
      <c r="AA40" s="6">
        <f t="shared" si="26"/>
        <v>20706168.715846092</v>
      </c>
      <c r="AB40" s="6">
        <f>V40*$J$7*1000*$J$4</f>
        <v>8855055</v>
      </c>
      <c r="AC40" s="6">
        <f t="shared" si="15"/>
        <v>31118157.16865252</v>
      </c>
      <c r="AD40" s="6">
        <f>AC40*$C40</f>
        <v>5007856.4628631407</v>
      </c>
      <c r="AE40" s="6">
        <f t="shared" si="16"/>
        <v>13421601.668380268</v>
      </c>
      <c r="AF40" s="6">
        <f t="shared" si="17"/>
        <v>2159943.2862522341</v>
      </c>
      <c r="AI40" s="6">
        <v>5</v>
      </c>
      <c r="AJ40" s="6">
        <f t="shared" si="18"/>
        <v>99</v>
      </c>
      <c r="AK40" s="6">
        <f t="shared" si="19"/>
        <v>42982825.384226359</v>
      </c>
      <c r="AL40" s="6">
        <f>$D40-(AJ40*8760)</f>
        <v>31413.360000000102</v>
      </c>
      <c r="AM40" s="6">
        <f t="shared" si="20"/>
        <v>1556933.4528064264</v>
      </c>
      <c r="AN40" s="6">
        <f t="shared" si="25"/>
        <v>17835676.33199314</v>
      </c>
      <c r="AO40" s="6">
        <f>AI40*$J$7*1000*$J$4</f>
        <v>8855055</v>
      </c>
      <c r="AP40" s="6">
        <f t="shared" si="21"/>
        <v>28247664.784799568</v>
      </c>
      <c r="AQ40" s="6">
        <f>AP40*$C40</f>
        <v>4545907.0691966554</v>
      </c>
      <c r="AR40" s="6">
        <f t="shared" si="22"/>
        <v>16292094.052233219</v>
      </c>
      <c r="AS40" s="6">
        <f t="shared" si="23"/>
        <v>2621892.6799187195</v>
      </c>
    </row>
    <row r="41" spans="1:45" s="6" customFormat="1" x14ac:dyDescent="0.25">
      <c r="A41" s="6">
        <v>2058</v>
      </c>
      <c r="B41" s="6">
        <v>28</v>
      </c>
      <c r="C41" s="6">
        <f t="shared" si="2"/>
        <v>0.15040221243028987</v>
      </c>
      <c r="D41" s="6">
        <f t="shared" si="3"/>
        <v>898653.3600000001</v>
      </c>
      <c r="E41" s="6">
        <f t="shared" si="4"/>
        <v>44539758.837032788</v>
      </c>
      <c r="F41" s="6">
        <f t="shared" si="5"/>
        <v>6698878.2702012854</v>
      </c>
      <c r="I41" s="6">
        <v>5</v>
      </c>
      <c r="J41" s="6">
        <f t="shared" si="6"/>
        <v>99</v>
      </c>
      <c r="K41" s="6">
        <f t="shared" si="7"/>
        <v>42982825.384226359</v>
      </c>
      <c r="L41" s="6">
        <f>$D41-(J41*8760)</f>
        <v>31413.360000000102</v>
      </c>
      <c r="M41" s="6">
        <f t="shared" si="8"/>
        <v>1556933.4528064264</v>
      </c>
      <c r="N41" s="6">
        <f>I41*($N$5+$N$9)*0.7</f>
        <v>20045115.700037099</v>
      </c>
      <c r="O41" s="6">
        <f>I41*$J$7*1000*$J$4</f>
        <v>8855055</v>
      </c>
      <c r="P41" s="6">
        <f>SUM(M41:O41)</f>
        <v>30457104.152843527</v>
      </c>
      <c r="Q41" s="6">
        <f>P41*C41</f>
        <v>4580815.8488074355</v>
      </c>
      <c r="R41" s="6">
        <f t="shared" si="10"/>
        <v>14082654.68418926</v>
      </c>
      <c r="S41" s="6">
        <f t="shared" si="11"/>
        <v>2118062.4213938499</v>
      </c>
      <c r="V41" s="6">
        <v>5</v>
      </c>
      <c r="W41" s="6">
        <f t="shared" si="12"/>
        <v>99</v>
      </c>
      <c r="X41" s="6">
        <f t="shared" si="13"/>
        <v>42982825.384226359</v>
      </c>
      <c r="Y41" s="6">
        <f>$D41-(W41*8760)</f>
        <v>31413.360000000102</v>
      </c>
      <c r="Z41" s="6">
        <f t="shared" si="14"/>
        <v>1556933.4528064264</v>
      </c>
      <c r="AA41" s="6">
        <f t="shared" si="26"/>
        <v>20706168.715846092</v>
      </c>
      <c r="AB41" s="6">
        <f>V41*$J$7*1000*$J$4</f>
        <v>8855055</v>
      </c>
      <c r="AC41" s="6">
        <f t="shared" si="15"/>
        <v>31118157.16865252</v>
      </c>
      <c r="AD41" s="6">
        <f>AC41*$C41</f>
        <v>4680239.6849188237</v>
      </c>
      <c r="AE41" s="6">
        <f t="shared" si="16"/>
        <v>13421601.668380268</v>
      </c>
      <c r="AF41" s="6">
        <f t="shared" si="17"/>
        <v>2018638.585282462</v>
      </c>
      <c r="AI41" s="6">
        <v>5</v>
      </c>
      <c r="AJ41" s="6">
        <f t="shared" si="18"/>
        <v>99</v>
      </c>
      <c r="AK41" s="6">
        <f t="shared" si="19"/>
        <v>42982825.384226359</v>
      </c>
      <c r="AL41" s="6">
        <f>$D41-(AJ41*8760)</f>
        <v>31413.360000000102</v>
      </c>
      <c r="AM41" s="6">
        <f t="shared" si="20"/>
        <v>1556933.4528064264</v>
      </c>
      <c r="AN41" s="6">
        <f t="shared" si="25"/>
        <v>17835676.33199314</v>
      </c>
      <c r="AO41" s="6">
        <f>AI41*$J$7*1000*$J$4</f>
        <v>8855055</v>
      </c>
      <c r="AP41" s="6">
        <f t="shared" si="21"/>
        <v>28247664.784799568</v>
      </c>
      <c r="AQ41" s="6">
        <f>AP41*$C41</f>
        <v>4248511.2796230428</v>
      </c>
      <c r="AR41" s="6">
        <f t="shared" si="22"/>
        <v>16292094.052233219</v>
      </c>
      <c r="AS41" s="6">
        <f t="shared" si="23"/>
        <v>2450366.9905782426</v>
      </c>
    </row>
    <row r="42" spans="1:45" s="6" customFormat="1" x14ac:dyDescent="0.25">
      <c r="A42" s="6">
        <v>2059</v>
      </c>
      <c r="B42" s="6">
        <v>29</v>
      </c>
      <c r="C42" s="6">
        <f t="shared" si="2"/>
        <v>0.1405628153554111</v>
      </c>
      <c r="D42" s="6">
        <f t="shared" si="3"/>
        <v>898653.3600000001</v>
      </c>
      <c r="E42" s="6">
        <f t="shared" si="4"/>
        <v>44539758.837032788</v>
      </c>
      <c r="F42" s="6">
        <f t="shared" si="5"/>
        <v>6260633.8973843791</v>
      </c>
      <c r="I42" s="6">
        <v>5</v>
      </c>
      <c r="J42" s="6">
        <f t="shared" si="6"/>
        <v>99</v>
      </c>
      <c r="K42" s="6">
        <f t="shared" si="7"/>
        <v>42982825.384226359</v>
      </c>
      <c r="L42" s="6">
        <f>$D42-(J42*8760)</f>
        <v>31413.360000000102</v>
      </c>
      <c r="M42" s="6">
        <f t="shared" si="8"/>
        <v>1556933.4528064264</v>
      </c>
      <c r="N42" s="6">
        <f>I42*($N$5+$N$9)*0.7</f>
        <v>20045115.700037099</v>
      </c>
      <c r="O42" s="6">
        <f>I42*$J$7*1000*$J$4</f>
        <v>8855055</v>
      </c>
      <c r="P42" s="6">
        <f>SUM(M42:O42)</f>
        <v>30457104.152843527</v>
      </c>
      <c r="Q42" s="6">
        <f>P42*C42</f>
        <v>4281136.3072966691</v>
      </c>
      <c r="R42" s="6">
        <f t="shared" si="10"/>
        <v>14082654.68418926</v>
      </c>
      <c r="S42" s="6">
        <f t="shared" si="11"/>
        <v>1979497.5900877102</v>
      </c>
      <c r="V42" s="6">
        <v>5</v>
      </c>
      <c r="W42" s="6">
        <f t="shared" si="12"/>
        <v>99</v>
      </c>
      <c r="X42" s="6">
        <f t="shared" si="13"/>
        <v>42982825.384226359</v>
      </c>
      <c r="Y42" s="6">
        <f>$D42-(W42*8760)</f>
        <v>31413.360000000102</v>
      </c>
      <c r="Z42" s="6">
        <f t="shared" si="14"/>
        <v>1556933.4528064264</v>
      </c>
      <c r="AA42" s="6">
        <f t="shared" si="26"/>
        <v>20706168.715846092</v>
      </c>
      <c r="AB42" s="6">
        <f>V42*$J$7*1000*$J$4</f>
        <v>8855055</v>
      </c>
      <c r="AC42" s="6">
        <f t="shared" si="15"/>
        <v>31118157.16865252</v>
      </c>
      <c r="AD42" s="6">
        <f>AC42*$C42</f>
        <v>4374055.7802979667</v>
      </c>
      <c r="AE42" s="6">
        <f t="shared" si="16"/>
        <v>13421601.668380268</v>
      </c>
      <c r="AF42" s="6">
        <f t="shared" si="17"/>
        <v>1886578.1170864131</v>
      </c>
      <c r="AI42" s="6">
        <v>5</v>
      </c>
      <c r="AJ42" s="6">
        <f t="shared" si="18"/>
        <v>99</v>
      </c>
      <c r="AK42" s="6">
        <f t="shared" si="19"/>
        <v>42982825.384226359</v>
      </c>
      <c r="AL42" s="6">
        <f>$D42-(AJ42*8760)</f>
        <v>31413.360000000102</v>
      </c>
      <c r="AM42" s="6">
        <f t="shared" si="20"/>
        <v>1556933.4528064264</v>
      </c>
      <c r="AN42" s="6">
        <f t="shared" si="25"/>
        <v>17835676.33199314</v>
      </c>
      <c r="AO42" s="6">
        <f>AI42*$J$7*1000*$J$4</f>
        <v>8855055</v>
      </c>
      <c r="AP42" s="6">
        <f t="shared" si="21"/>
        <v>28247664.784799568</v>
      </c>
      <c r="AQ42" s="6">
        <f>AP42*$C42</f>
        <v>3970571.2893673303</v>
      </c>
      <c r="AR42" s="6">
        <f t="shared" si="22"/>
        <v>16292094.052233219</v>
      </c>
      <c r="AS42" s="6">
        <f t="shared" si="23"/>
        <v>2290062.6080170493</v>
      </c>
    </row>
    <row r="43" spans="1:45" s="6" customFormat="1" x14ac:dyDescent="0.25">
      <c r="A43" s="6">
        <v>2060</v>
      </c>
      <c r="B43" s="6">
        <v>30</v>
      </c>
      <c r="C43" s="6">
        <f t="shared" si="2"/>
        <v>0.13136711715458982</v>
      </c>
      <c r="D43" s="6">
        <f t="shared" si="3"/>
        <v>898653.3600000001</v>
      </c>
      <c r="E43" s="6">
        <f t="shared" si="4"/>
        <v>44539758.837032788</v>
      </c>
      <c r="F43" s="6">
        <f t="shared" si="5"/>
        <v>5851059.717181663</v>
      </c>
      <c r="I43" s="6">
        <v>5</v>
      </c>
      <c r="J43" s="6">
        <f t="shared" si="6"/>
        <v>99</v>
      </c>
      <c r="K43" s="6">
        <f t="shared" si="7"/>
        <v>42982825.384226359</v>
      </c>
      <c r="L43" s="6">
        <f>$D43-(J43*8760)</f>
        <v>31413.360000000102</v>
      </c>
      <c r="M43" s="6">
        <f t="shared" si="8"/>
        <v>1556933.4528064264</v>
      </c>
      <c r="N43" s="6">
        <f>I43*($N$5+$N$9)*0.7</f>
        <v>20045115.700037099</v>
      </c>
      <c r="O43" s="6">
        <f>I43*$J$7*1000*$J$4</f>
        <v>8855055</v>
      </c>
      <c r="P43" s="6">
        <f>SUM(M43:O43)</f>
        <v>30457104.152843527</v>
      </c>
      <c r="Q43" s="6">
        <f>P43*C43</f>
        <v>4001061.9694361398</v>
      </c>
      <c r="R43" s="6">
        <f t="shared" si="10"/>
        <v>14082654.68418926</v>
      </c>
      <c r="S43" s="6">
        <f t="shared" si="11"/>
        <v>1849997.7477455237</v>
      </c>
      <c r="V43" s="6">
        <v>5</v>
      </c>
      <c r="W43" s="6">
        <f t="shared" si="12"/>
        <v>99</v>
      </c>
      <c r="X43" s="6">
        <f t="shared" si="13"/>
        <v>42982825.384226359</v>
      </c>
      <c r="Y43" s="6">
        <f>$D43-(W43*8760)</f>
        <v>31413.360000000102</v>
      </c>
      <c r="Z43" s="6">
        <f t="shared" si="14"/>
        <v>1556933.4528064264</v>
      </c>
      <c r="AA43" s="6">
        <f t="shared" si="26"/>
        <v>20706168.715846092</v>
      </c>
      <c r="AB43" s="6">
        <f>V43*$J$7*1000*$J$4</f>
        <v>8855055</v>
      </c>
      <c r="AC43" s="6">
        <f t="shared" si="15"/>
        <v>31118157.16865252</v>
      </c>
      <c r="AD43" s="6">
        <f>AC43*$C43</f>
        <v>4087902.5984093146</v>
      </c>
      <c r="AE43" s="6">
        <f t="shared" si="16"/>
        <v>13421601.668380268</v>
      </c>
      <c r="AF43" s="6">
        <f t="shared" si="17"/>
        <v>1763157.1187723489</v>
      </c>
      <c r="AI43" s="6">
        <v>5</v>
      </c>
      <c r="AJ43" s="6">
        <f t="shared" si="18"/>
        <v>99</v>
      </c>
      <c r="AK43" s="6">
        <f t="shared" si="19"/>
        <v>42982825.384226359</v>
      </c>
      <c r="AL43" s="6">
        <f>$D43-(AJ43*8760)</f>
        <v>31413.360000000102</v>
      </c>
      <c r="AM43" s="6">
        <f t="shared" si="20"/>
        <v>1556933.4528064264</v>
      </c>
      <c r="AN43" s="6">
        <f t="shared" si="25"/>
        <v>17835676.33199314</v>
      </c>
      <c r="AO43" s="6">
        <f>AI43*$J$7*1000*$J$4</f>
        <v>8855055</v>
      </c>
      <c r="AP43" s="6">
        <f t="shared" si="21"/>
        <v>28247664.784799568</v>
      </c>
      <c r="AQ43" s="6">
        <f>AP43*$C43</f>
        <v>3710814.2891283459</v>
      </c>
      <c r="AR43" s="6">
        <f t="shared" si="22"/>
        <v>16292094.052233219</v>
      </c>
      <c r="AS43" s="6">
        <f t="shared" si="23"/>
        <v>2140245.4280533171</v>
      </c>
    </row>
    <row r="44" spans="1:45" s="6" customFormat="1" x14ac:dyDescent="0.25">
      <c r="A44" s="6">
        <v>2061</v>
      </c>
      <c r="B44" s="6">
        <v>31</v>
      </c>
      <c r="C44" s="6">
        <f t="shared" si="2"/>
        <v>0.1227730066865325</v>
      </c>
      <c r="D44" s="6">
        <f t="shared" si="3"/>
        <v>898653.3600000001</v>
      </c>
      <c r="E44" s="6">
        <f t="shared" si="4"/>
        <v>44539758.837032788</v>
      </c>
      <c r="F44" s="6">
        <f t="shared" si="5"/>
        <v>5468280.109515571</v>
      </c>
      <c r="I44" s="6">
        <v>5</v>
      </c>
      <c r="J44" s="6">
        <f t="shared" si="6"/>
        <v>99</v>
      </c>
      <c r="K44" s="6">
        <f t="shared" si="7"/>
        <v>42982825.384226359</v>
      </c>
      <c r="L44" s="6">
        <f>$D44-(J44*8760)</f>
        <v>31413.360000000102</v>
      </c>
      <c r="M44" s="6">
        <f t="shared" si="8"/>
        <v>1556933.4528064264</v>
      </c>
      <c r="N44" s="6">
        <f>I44*($N$5+$N$9)*0.7</f>
        <v>20045115.700037099</v>
      </c>
      <c r="O44" s="6">
        <f>I44*$J$7*1000*$J$4</f>
        <v>8855055</v>
      </c>
      <c r="P44" s="6">
        <f>SUM(M44:O44)</f>
        <v>30457104.152843527</v>
      </c>
      <c r="Q44" s="6">
        <f>P44*C44</f>
        <v>3739310.251809475</v>
      </c>
      <c r="R44" s="6">
        <f t="shared" si="10"/>
        <v>14082654.68418926</v>
      </c>
      <c r="S44" s="6">
        <f t="shared" si="11"/>
        <v>1728969.8577060963</v>
      </c>
      <c r="V44" s="6">
        <v>5</v>
      </c>
      <c r="W44" s="6">
        <f t="shared" si="12"/>
        <v>99</v>
      </c>
      <c r="X44" s="6">
        <f t="shared" si="13"/>
        <v>42982825.384226359</v>
      </c>
      <c r="Y44" s="6">
        <f>$D44-(W44*8760)</f>
        <v>31413.360000000102</v>
      </c>
      <c r="Z44" s="6">
        <f t="shared" si="14"/>
        <v>1556933.4528064264</v>
      </c>
      <c r="AA44" s="6">
        <f t="shared" si="26"/>
        <v>20706168.715846092</v>
      </c>
      <c r="AB44" s="6">
        <f>V44*$J$7*1000*$J$4</f>
        <v>8855055</v>
      </c>
      <c r="AC44" s="6">
        <f t="shared" si="15"/>
        <v>31118157.16865252</v>
      </c>
      <c r="AD44" s="6">
        <f>AC44*$C44</f>
        <v>3820469.7181395451</v>
      </c>
      <c r="AE44" s="6">
        <f t="shared" si="16"/>
        <v>13421601.668380268</v>
      </c>
      <c r="AF44" s="6">
        <f t="shared" si="17"/>
        <v>1647810.3913760264</v>
      </c>
      <c r="AI44" s="6">
        <v>5</v>
      </c>
      <c r="AJ44" s="6">
        <f t="shared" si="18"/>
        <v>99</v>
      </c>
      <c r="AK44" s="6">
        <f t="shared" si="19"/>
        <v>42982825.384226359</v>
      </c>
      <c r="AL44" s="6">
        <f>$D44-(AJ44*8760)</f>
        <v>31413.360000000102</v>
      </c>
      <c r="AM44" s="6">
        <f t="shared" si="20"/>
        <v>1556933.4528064264</v>
      </c>
      <c r="AN44" s="6">
        <f t="shared" si="25"/>
        <v>17835676.33199314</v>
      </c>
      <c r="AO44" s="6">
        <f>AI44*$J$7*1000*$J$4</f>
        <v>8855055</v>
      </c>
      <c r="AP44" s="6">
        <f t="shared" si="21"/>
        <v>28247664.784799568</v>
      </c>
      <c r="AQ44" s="6">
        <f>AP44*$C44</f>
        <v>3468050.7375031263</v>
      </c>
      <c r="AR44" s="6">
        <f t="shared" si="22"/>
        <v>16292094.052233219</v>
      </c>
      <c r="AS44" s="6">
        <f t="shared" si="23"/>
        <v>2000229.3720124455</v>
      </c>
    </row>
    <row r="45" spans="1:45" s="6" customFormat="1" x14ac:dyDescent="0.25">
      <c r="A45" s="6">
        <v>2062</v>
      </c>
      <c r="B45" s="6">
        <v>32</v>
      </c>
      <c r="C45" s="6">
        <f t="shared" si="2"/>
        <v>0.11474112774442291</v>
      </c>
      <c r="D45" s="6">
        <f t="shared" si="3"/>
        <v>898653.3600000001</v>
      </c>
      <c r="E45" s="6">
        <f t="shared" si="4"/>
        <v>44539758.837032788</v>
      </c>
      <c r="F45" s="6">
        <f t="shared" si="5"/>
        <v>5110542.1584257679</v>
      </c>
      <c r="I45" s="6">
        <v>5</v>
      </c>
      <c r="J45" s="6">
        <f t="shared" si="6"/>
        <v>99</v>
      </c>
      <c r="K45" s="6">
        <f t="shared" si="7"/>
        <v>42982825.384226359</v>
      </c>
      <c r="L45" s="6">
        <f>$D45-(J45*8760)</f>
        <v>31413.360000000102</v>
      </c>
      <c r="M45" s="6">
        <f t="shared" si="8"/>
        <v>1556933.4528064264</v>
      </c>
      <c r="N45" s="6">
        <f>I45*($N$5+$N$9)*0.7</f>
        <v>20045115.700037099</v>
      </c>
      <c r="O45" s="6">
        <f>I45*$J$7*1000*$J$4</f>
        <v>8855055</v>
      </c>
      <c r="P45" s="6">
        <f>SUM(M45:O45)</f>
        <v>30457104.152843527</v>
      </c>
      <c r="Q45" s="6">
        <f>P45*C45</f>
        <v>3494682.4783266126</v>
      </c>
      <c r="R45" s="6">
        <f t="shared" si="10"/>
        <v>14082654.68418926</v>
      </c>
      <c r="S45" s="6">
        <f t="shared" si="11"/>
        <v>1615859.6800991555</v>
      </c>
      <c r="V45" s="6">
        <v>5</v>
      </c>
      <c r="W45" s="6">
        <f t="shared" si="12"/>
        <v>99</v>
      </c>
      <c r="X45" s="6">
        <f t="shared" si="13"/>
        <v>42982825.384226359</v>
      </c>
      <c r="Y45" s="6">
        <f>$D45-(W45*8760)</f>
        <v>31413.360000000102</v>
      </c>
      <c r="Z45" s="6">
        <f t="shared" si="14"/>
        <v>1556933.4528064264</v>
      </c>
      <c r="AA45" s="6">
        <f t="shared" si="26"/>
        <v>20706168.715846092</v>
      </c>
      <c r="AB45" s="6">
        <f>V45*$J$7*1000*$J$4</f>
        <v>8855055</v>
      </c>
      <c r="AC45" s="6">
        <f t="shared" si="15"/>
        <v>31118157.16865252</v>
      </c>
      <c r="AD45" s="6">
        <f>AC45*$C45</f>
        <v>3570532.4468593881</v>
      </c>
      <c r="AE45" s="6">
        <f t="shared" si="16"/>
        <v>13421601.668380268</v>
      </c>
      <c r="AF45" s="6">
        <f t="shared" si="17"/>
        <v>1540009.71156638</v>
      </c>
      <c r="AI45" s="6">
        <v>5</v>
      </c>
      <c r="AJ45" s="6">
        <f t="shared" si="18"/>
        <v>99</v>
      </c>
      <c r="AK45" s="6">
        <f t="shared" si="19"/>
        <v>42982825.384226359</v>
      </c>
      <c r="AL45" s="6">
        <f>$D45-(AJ45*8760)</f>
        <v>31413.360000000102</v>
      </c>
      <c r="AM45" s="6">
        <f t="shared" si="20"/>
        <v>1556933.4528064264</v>
      </c>
      <c r="AN45" s="6">
        <f t="shared" si="25"/>
        <v>17835676.33199314</v>
      </c>
      <c r="AO45" s="6">
        <f>AI45*$J$7*1000*$J$4</f>
        <v>8855055</v>
      </c>
      <c r="AP45" s="6">
        <f t="shared" si="21"/>
        <v>28247664.784799568</v>
      </c>
      <c r="AQ45" s="6">
        <f>AP45*$C45</f>
        <v>3241168.9135543238</v>
      </c>
      <c r="AR45" s="6">
        <f t="shared" si="22"/>
        <v>16292094.052233219</v>
      </c>
      <c r="AS45" s="6">
        <f t="shared" si="23"/>
        <v>1869373.2448714445</v>
      </c>
    </row>
    <row r="46" spans="1:45" s="6" customFormat="1" x14ac:dyDescent="0.25">
      <c r="A46" s="6">
        <v>2063</v>
      </c>
      <c r="B46" s="6">
        <v>33</v>
      </c>
      <c r="C46" s="6">
        <f t="shared" si="2"/>
        <v>0.10723469882656347</v>
      </c>
      <c r="D46" s="6">
        <f t="shared" si="3"/>
        <v>898653.3600000001</v>
      </c>
      <c r="E46" s="6">
        <f t="shared" si="4"/>
        <v>44539758.837032788</v>
      </c>
      <c r="F46" s="6">
        <f t="shared" si="5"/>
        <v>4776207.6246969802</v>
      </c>
      <c r="I46" s="6">
        <v>5</v>
      </c>
      <c r="J46" s="6">
        <f t="shared" si="6"/>
        <v>99</v>
      </c>
      <c r="K46" s="6">
        <f t="shared" si="7"/>
        <v>42982825.384226359</v>
      </c>
      <c r="L46" s="6">
        <f>$D46-(J46*8760)</f>
        <v>31413.360000000102</v>
      </c>
      <c r="M46" s="6">
        <f t="shared" si="8"/>
        <v>1556933.4528064264</v>
      </c>
      <c r="N46" s="6">
        <f>I46*($N$5+$N$9)*0.7</f>
        <v>20045115.700037099</v>
      </c>
      <c r="O46" s="6">
        <f>I46*$J$7*1000*$J$4</f>
        <v>8855055</v>
      </c>
      <c r="P46" s="6">
        <f>SUM(M46:O46)</f>
        <v>30457104.152843527</v>
      </c>
      <c r="Q46" s="6">
        <f>P46*C46</f>
        <v>3266058.3909594514</v>
      </c>
      <c r="R46" s="6">
        <f t="shared" si="10"/>
        <v>14082654.68418926</v>
      </c>
      <c r="S46" s="6">
        <f t="shared" si="11"/>
        <v>1510149.2337375286</v>
      </c>
      <c r="V46" s="6">
        <v>5</v>
      </c>
      <c r="W46" s="6">
        <f t="shared" si="12"/>
        <v>99</v>
      </c>
      <c r="X46" s="6">
        <f t="shared" si="13"/>
        <v>42982825.384226359</v>
      </c>
      <c r="Y46" s="6">
        <f>$D46-(W46*8760)</f>
        <v>31413.360000000102</v>
      </c>
      <c r="Z46" s="6">
        <f t="shared" si="14"/>
        <v>1556933.4528064264</v>
      </c>
      <c r="AA46" s="6">
        <f t="shared" si="26"/>
        <v>20706168.715846092</v>
      </c>
      <c r="AB46" s="6">
        <f>V46*$J$7*1000*$J$4</f>
        <v>8855055</v>
      </c>
      <c r="AC46" s="6">
        <f t="shared" si="15"/>
        <v>31118157.16865252</v>
      </c>
      <c r="AD46" s="6">
        <f>AC46*$C46</f>
        <v>3336946.2120181201</v>
      </c>
      <c r="AE46" s="6">
        <f t="shared" si="16"/>
        <v>13421601.668380268</v>
      </c>
      <c r="AF46" s="6">
        <f t="shared" si="17"/>
        <v>1439261.4126788599</v>
      </c>
      <c r="AI46" s="6">
        <v>5</v>
      </c>
      <c r="AJ46" s="6">
        <f t="shared" si="18"/>
        <v>99</v>
      </c>
      <c r="AK46" s="6">
        <f t="shared" si="19"/>
        <v>42982825.384226359</v>
      </c>
      <c r="AL46" s="6">
        <f>$D46-(AJ46*8760)</f>
        <v>31413.360000000102</v>
      </c>
      <c r="AM46" s="6">
        <f t="shared" si="20"/>
        <v>1556933.4528064264</v>
      </c>
      <c r="AN46" s="6">
        <f t="shared" si="25"/>
        <v>17835676.33199314</v>
      </c>
      <c r="AO46" s="6">
        <f>AI46*$J$7*1000*$J$4</f>
        <v>8855055</v>
      </c>
      <c r="AP46" s="6">
        <f t="shared" si="21"/>
        <v>28247664.784799568</v>
      </c>
      <c r="AQ46" s="6">
        <f>AP46*$C46</f>
        <v>3029129.8257517046</v>
      </c>
      <c r="AR46" s="6">
        <f t="shared" si="22"/>
        <v>16292094.052233219</v>
      </c>
      <c r="AS46" s="6">
        <f t="shared" si="23"/>
        <v>1747077.7989452754</v>
      </c>
    </row>
    <row r="47" spans="1:45" s="6" customFormat="1" x14ac:dyDescent="0.25">
      <c r="A47" s="6">
        <v>2064</v>
      </c>
      <c r="B47" s="6">
        <v>34</v>
      </c>
      <c r="C47" s="6">
        <f t="shared" si="2"/>
        <v>0.10021934469772288</v>
      </c>
      <c r="D47" s="6">
        <f t="shared" si="3"/>
        <v>898653.3600000001</v>
      </c>
      <c r="E47" s="6">
        <f t="shared" si="4"/>
        <v>44539758.837032788</v>
      </c>
      <c r="F47" s="6">
        <f t="shared" si="5"/>
        <v>4463745.4436420379</v>
      </c>
      <c r="I47" s="6">
        <v>5</v>
      </c>
      <c r="J47" s="6">
        <f t="shared" si="6"/>
        <v>99</v>
      </c>
      <c r="K47" s="6">
        <f t="shared" si="7"/>
        <v>42982825.384226359</v>
      </c>
      <c r="L47" s="6">
        <f>$D47-(J47*8760)</f>
        <v>31413.360000000102</v>
      </c>
      <c r="M47" s="6">
        <f t="shared" si="8"/>
        <v>1556933.4528064264</v>
      </c>
      <c r="N47" s="6">
        <f>I47*($N$5+$N$9)*0.7</f>
        <v>20045115.700037099</v>
      </c>
      <c r="O47" s="6">
        <f>I47*$J$7*1000*$J$4</f>
        <v>8855055</v>
      </c>
      <c r="P47" s="6">
        <f>SUM(M47:O47)</f>
        <v>30457104.152843527</v>
      </c>
      <c r="Q47" s="6">
        <f>P47*C47</f>
        <v>3052391.0195882726</v>
      </c>
      <c r="R47" s="6">
        <f t="shared" si="10"/>
        <v>14082654.68418926</v>
      </c>
      <c r="S47" s="6">
        <f t="shared" si="11"/>
        <v>1411354.4240537651</v>
      </c>
      <c r="V47" s="6">
        <v>5</v>
      </c>
      <c r="W47" s="6">
        <f t="shared" si="12"/>
        <v>99</v>
      </c>
      <c r="X47" s="6">
        <f t="shared" si="13"/>
        <v>42982825.384226359</v>
      </c>
      <c r="Y47" s="6">
        <f>$D47-(W47*8760)</f>
        <v>31413.360000000102</v>
      </c>
      <c r="Z47" s="6">
        <f t="shared" si="14"/>
        <v>1556933.4528064264</v>
      </c>
      <c r="AA47" s="6">
        <f t="shared" si="26"/>
        <v>20706168.715846092</v>
      </c>
      <c r="AB47" s="6">
        <f>V47*$J$7*1000*$J$4</f>
        <v>8855055</v>
      </c>
      <c r="AC47" s="6">
        <f t="shared" si="15"/>
        <v>31118157.16865252</v>
      </c>
      <c r="AD47" s="6">
        <f>AC47*$C47</f>
        <v>3118641.3196431031</v>
      </c>
      <c r="AE47" s="6">
        <f t="shared" si="16"/>
        <v>13421601.668380268</v>
      </c>
      <c r="AF47" s="6">
        <f t="shared" si="17"/>
        <v>1345104.1239989346</v>
      </c>
      <c r="AI47" s="6">
        <v>5</v>
      </c>
      <c r="AJ47" s="6">
        <f t="shared" si="18"/>
        <v>99</v>
      </c>
      <c r="AK47" s="6">
        <f t="shared" si="19"/>
        <v>42982825.384226359</v>
      </c>
      <c r="AL47" s="6">
        <f>$D47-(AJ47*8760)</f>
        <v>31413.360000000102</v>
      </c>
      <c r="AM47" s="6">
        <f t="shared" si="20"/>
        <v>1556933.4528064264</v>
      </c>
      <c r="AN47" s="6">
        <f t="shared" si="25"/>
        <v>17835676.33199314</v>
      </c>
      <c r="AO47" s="6">
        <f>AI47*$J$7*1000*$J$4</f>
        <v>8855055</v>
      </c>
      <c r="AP47" s="6">
        <f t="shared" si="21"/>
        <v>28247664.784799568</v>
      </c>
      <c r="AQ47" s="6">
        <f>AP47*$C47</f>
        <v>2830962.4539735559</v>
      </c>
      <c r="AR47" s="6">
        <f t="shared" si="22"/>
        <v>16292094.052233219</v>
      </c>
      <c r="AS47" s="6">
        <f t="shared" si="23"/>
        <v>1632782.9896684818</v>
      </c>
    </row>
    <row r="48" spans="1:45" s="6" customFormat="1" x14ac:dyDescent="0.25">
      <c r="A48" s="6">
        <v>2065</v>
      </c>
      <c r="B48" s="6">
        <v>35</v>
      </c>
      <c r="C48" s="6">
        <f t="shared" si="2"/>
        <v>9.366293896983445E-2</v>
      </c>
      <c r="D48" s="6">
        <f t="shared" si="3"/>
        <v>898653.3600000001</v>
      </c>
      <c r="E48" s="6">
        <f t="shared" si="4"/>
        <v>44539758.837032788</v>
      </c>
      <c r="F48" s="6">
        <f t="shared" si="5"/>
        <v>4171724.7136841468</v>
      </c>
      <c r="I48" s="6">
        <v>5</v>
      </c>
      <c r="J48" s="6">
        <f t="shared" si="6"/>
        <v>99</v>
      </c>
      <c r="K48" s="6">
        <f t="shared" si="7"/>
        <v>42982825.384226359</v>
      </c>
      <c r="L48" s="6">
        <f>$D48-(J48*8760)</f>
        <v>31413.360000000102</v>
      </c>
      <c r="M48" s="6">
        <f t="shared" si="8"/>
        <v>1556933.4528064264</v>
      </c>
      <c r="N48" s="6">
        <f>I48*($N$5+$N$9)*0.7</f>
        <v>20045115.700037099</v>
      </c>
      <c r="O48" s="6">
        <f>I48*$J$7*1000*$J$4</f>
        <v>8855055</v>
      </c>
      <c r="P48" s="6">
        <f>SUM(M48:O48)</f>
        <v>30457104.152843527</v>
      </c>
      <c r="Q48" s="6">
        <f>P48*C48</f>
        <v>2852701.8874656749</v>
      </c>
      <c r="R48" s="6">
        <f t="shared" si="10"/>
        <v>14082654.68418926</v>
      </c>
      <c r="S48" s="6">
        <f t="shared" si="11"/>
        <v>1319022.8262184719</v>
      </c>
      <c r="V48" s="6">
        <v>5</v>
      </c>
      <c r="W48" s="6">
        <f t="shared" si="12"/>
        <v>99</v>
      </c>
      <c r="X48" s="6">
        <f t="shared" si="13"/>
        <v>42982825.384226359</v>
      </c>
      <c r="Y48" s="6">
        <f>$D48-(W48*8760)</f>
        <v>31413.360000000102</v>
      </c>
      <c r="Z48" s="6">
        <f t="shared" si="14"/>
        <v>1556933.4528064264</v>
      </c>
      <c r="AA48" s="6">
        <f t="shared" si="26"/>
        <v>20706168.715846092</v>
      </c>
      <c r="AB48" s="6">
        <f>V48*$J$7*1000*$J$4</f>
        <v>8855055</v>
      </c>
      <c r="AC48" s="6">
        <f t="shared" si="15"/>
        <v>31118157.16865252</v>
      </c>
      <c r="AD48" s="6">
        <f>AC48*$C48</f>
        <v>2914618.0557412175</v>
      </c>
      <c r="AE48" s="6">
        <f t="shared" si="16"/>
        <v>13421601.668380268</v>
      </c>
      <c r="AF48" s="6">
        <f t="shared" si="17"/>
        <v>1257106.6579429293</v>
      </c>
      <c r="AI48" s="6">
        <v>5</v>
      </c>
      <c r="AJ48" s="6">
        <f t="shared" si="18"/>
        <v>99</v>
      </c>
      <c r="AK48" s="6">
        <f t="shared" si="19"/>
        <v>42982825.384226359</v>
      </c>
      <c r="AL48" s="6">
        <f>$D48-(AJ48*8760)</f>
        <v>31413.360000000102</v>
      </c>
      <c r="AM48" s="6">
        <f t="shared" si="20"/>
        <v>1556933.4528064264</v>
      </c>
      <c r="AN48" s="6">
        <f t="shared" si="25"/>
        <v>17835676.33199314</v>
      </c>
      <c r="AO48" s="6">
        <f>AI48*$J$7*1000*$J$4</f>
        <v>8855055</v>
      </c>
      <c r="AP48" s="6">
        <f t="shared" si="21"/>
        <v>28247664.784799568</v>
      </c>
      <c r="AQ48" s="6">
        <f>AP48*$C48</f>
        <v>2645759.3027790235</v>
      </c>
      <c r="AR48" s="6">
        <f t="shared" si="22"/>
        <v>16292094.052233219</v>
      </c>
      <c r="AS48" s="6">
        <f t="shared" si="23"/>
        <v>1525965.4109051228</v>
      </c>
    </row>
    <row r="49" spans="1:45" s="6" customFormat="1" x14ac:dyDescent="0.25">
      <c r="A49" s="6">
        <v>2066</v>
      </c>
      <c r="B49" s="6">
        <v>36</v>
      </c>
      <c r="C49" s="6">
        <f t="shared" si="2"/>
        <v>8.7535456981153698E-2</v>
      </c>
      <c r="D49" s="6">
        <f t="shared" si="3"/>
        <v>898653.3600000001</v>
      </c>
      <c r="E49" s="6">
        <f t="shared" si="4"/>
        <v>44539758.837032788</v>
      </c>
      <c r="F49" s="6">
        <f t="shared" si="5"/>
        <v>3898808.1436300436</v>
      </c>
      <c r="I49" s="6">
        <v>0</v>
      </c>
      <c r="J49" s="6">
        <f t="shared" si="6"/>
        <v>0</v>
      </c>
      <c r="K49" s="6">
        <f t="shared" si="7"/>
        <v>0</v>
      </c>
      <c r="L49" s="6">
        <f>$D49-(J49*8760)</f>
        <v>898653.3600000001</v>
      </c>
      <c r="M49" s="6">
        <f t="shared" si="8"/>
        <v>44539758.837032788</v>
      </c>
      <c r="N49" s="6">
        <f>I49*($N$5+$N$9)*0.7</f>
        <v>0</v>
      </c>
      <c r="O49" s="6">
        <f>I49*$J$7*1000*$J$4</f>
        <v>0</v>
      </c>
      <c r="P49" s="6">
        <f>SUM(M49:O49)</f>
        <v>44539758.837032788</v>
      </c>
      <c r="Q49" s="6">
        <f>P49*C49</f>
        <v>3898808.1436300436</v>
      </c>
      <c r="R49" s="6">
        <f t="shared" si="10"/>
        <v>0</v>
      </c>
      <c r="S49" s="6">
        <f t="shared" si="11"/>
        <v>0</v>
      </c>
      <c r="V49" s="6">
        <v>4</v>
      </c>
      <c r="W49" s="6">
        <f t="shared" si="12"/>
        <v>79.2</v>
      </c>
      <c r="X49" s="6">
        <f t="shared" si="13"/>
        <v>34386260.307381086</v>
      </c>
      <c r="Y49" s="6">
        <f>$D49-(W49*8760)</f>
        <v>204861.3600000001</v>
      </c>
      <c r="Z49" s="6">
        <f t="shared" si="14"/>
        <v>10153498.529651698</v>
      </c>
      <c r="AA49" s="6">
        <f>SUM($O$5,$N$9,$P$5,$N$9,$N$9,$Q$5)*0.7+SUM(,$R$5,$N$9)</f>
        <v>16697145.575838672</v>
      </c>
      <c r="AB49" s="6">
        <f>V49*$J$7*1000*$J$4</f>
        <v>7084044</v>
      </c>
      <c r="AC49" s="6">
        <f t="shared" si="15"/>
        <v>33934688.105490372</v>
      </c>
      <c r="AD49" s="6">
        <f>AC49*$C49</f>
        <v>2970488.4308270207</v>
      </c>
      <c r="AE49" s="6">
        <f t="shared" si="16"/>
        <v>10605070.731542416</v>
      </c>
      <c r="AF49" s="6">
        <f t="shared" si="17"/>
        <v>928319.71280302329</v>
      </c>
      <c r="AI49" s="6">
        <v>4</v>
      </c>
      <c r="AJ49" s="6">
        <f t="shared" si="18"/>
        <v>79.2</v>
      </c>
      <c r="AK49" s="6">
        <f t="shared" si="19"/>
        <v>34386260.307381086</v>
      </c>
      <c r="AL49" s="6">
        <f>$D49-(AJ49*8760)</f>
        <v>204861.3600000001</v>
      </c>
      <c r="AM49" s="6">
        <f t="shared" si="20"/>
        <v>10153498.529651698</v>
      </c>
      <c r="AN49" s="6">
        <f>SUM($O$5,$R$9,$P$5,$Q$9,$P$9,$Q$5)*0.7+SUM(,$R$5,$O$9)</f>
        <v>13682328.358945455</v>
      </c>
      <c r="AO49" s="6">
        <f>AI49*$J$7*1000*$J$4</f>
        <v>7084044</v>
      </c>
      <c r="AP49" s="6">
        <f t="shared" si="21"/>
        <v>30919870.888597153</v>
      </c>
      <c r="AQ49" s="6">
        <f>AP49*$C49</f>
        <v>2706585.0280316225</v>
      </c>
      <c r="AR49" s="6">
        <f t="shared" si="22"/>
        <v>13619887.948435631</v>
      </c>
      <c r="AS49" s="6">
        <f t="shared" si="23"/>
        <v>1192223.1155984208</v>
      </c>
    </row>
    <row r="50" spans="1:45" s="6" customFormat="1" x14ac:dyDescent="0.25">
      <c r="A50" s="6">
        <v>2067</v>
      </c>
      <c r="B50" s="6">
        <v>37</v>
      </c>
      <c r="C50" s="6">
        <f t="shared" si="2"/>
        <v>8.1808838300143641E-2</v>
      </c>
      <c r="D50" s="6">
        <f t="shared" si="3"/>
        <v>898653.3600000001</v>
      </c>
      <c r="E50" s="6">
        <f t="shared" si="4"/>
        <v>44539758.837032788</v>
      </c>
      <c r="F50" s="6">
        <f t="shared" si="5"/>
        <v>3643745.928626209</v>
      </c>
      <c r="I50" s="6">
        <v>0</v>
      </c>
      <c r="J50" s="6">
        <f t="shared" si="6"/>
        <v>0</v>
      </c>
      <c r="K50" s="6">
        <f t="shared" si="7"/>
        <v>0</v>
      </c>
      <c r="L50" s="6">
        <f>$D50-(J50*8760)</f>
        <v>898653.3600000001</v>
      </c>
      <c r="M50" s="6">
        <f t="shared" si="8"/>
        <v>44539758.837032788</v>
      </c>
      <c r="N50" s="6">
        <f>I50*($N$5+$N$9)*0.7</f>
        <v>0</v>
      </c>
      <c r="O50" s="6">
        <f>I50*$J$7*1000*$J$4</f>
        <v>0</v>
      </c>
      <c r="P50" s="6">
        <f>SUM(M50:O50)</f>
        <v>44539758.837032788</v>
      </c>
      <c r="Q50" s="6">
        <f>P50*C50</f>
        <v>3643745.928626209</v>
      </c>
      <c r="R50" s="6">
        <f t="shared" si="10"/>
        <v>0</v>
      </c>
      <c r="S50" s="6">
        <f t="shared" si="11"/>
        <v>0</v>
      </c>
      <c r="V50" s="6">
        <v>3</v>
      </c>
      <c r="W50" s="6">
        <f t="shared" si="12"/>
        <v>59.400000000000006</v>
      </c>
      <c r="X50" s="6">
        <f t="shared" si="13"/>
        <v>25789695.230535816</v>
      </c>
      <c r="Y50" s="6">
        <f>$D50-(W50*8760)</f>
        <v>378309.36000000004</v>
      </c>
      <c r="Z50" s="6">
        <f t="shared" si="14"/>
        <v>18750063.606496967</v>
      </c>
      <c r="AA50" s="6">
        <f>SUM($P$5,$N$9,$N$9,$Q$5)*0.7+SUM(,$R$5,$N$9)</f>
        <v>12783336.735406429</v>
      </c>
      <c r="AB50" s="6">
        <f>V50*$J$7*1000*$J$4</f>
        <v>5313033</v>
      </c>
      <c r="AC50" s="6">
        <f t="shared" si="15"/>
        <v>36846433.341903396</v>
      </c>
      <c r="AD50" s="6">
        <f>AC50*$C50</f>
        <v>3014363.9072047961</v>
      </c>
      <c r="AE50" s="6">
        <f t="shared" si="16"/>
        <v>7693325.4951293878</v>
      </c>
      <c r="AF50" s="6">
        <f t="shared" si="17"/>
        <v>629382.02142141259</v>
      </c>
      <c r="AI50" s="6">
        <v>3</v>
      </c>
      <c r="AJ50" s="6">
        <f t="shared" si="18"/>
        <v>59.400000000000006</v>
      </c>
      <c r="AK50" s="6">
        <f t="shared" si="19"/>
        <v>25789695.230535816</v>
      </c>
      <c r="AL50" s="6">
        <f>$D50-(AJ50*8760)</f>
        <v>378309.36000000004</v>
      </c>
      <c r="AM50" s="6">
        <f t="shared" si="20"/>
        <v>18750063.606496967</v>
      </c>
      <c r="AN50" s="6">
        <f>SUM($P$5,$R$9,$Q$9,$Q$5)*0.7+SUM(,$R$5,$P$9)</f>
        <v>9984044.6025200114</v>
      </c>
      <c r="AO50" s="6">
        <f>AI50*$J$7*1000*$J$4</f>
        <v>5313033</v>
      </c>
      <c r="AP50" s="6">
        <f t="shared" si="21"/>
        <v>34047141.209016979</v>
      </c>
      <c r="AQ50" s="6">
        <f>AP50*$C50</f>
        <v>2785357.069750627</v>
      </c>
      <c r="AR50" s="6">
        <f t="shared" si="22"/>
        <v>10492617.628015805</v>
      </c>
      <c r="AS50" s="6">
        <f t="shared" si="23"/>
        <v>858388.85887558176</v>
      </c>
    </row>
    <row r="51" spans="1:45" s="6" customFormat="1" x14ac:dyDescent="0.25">
      <c r="A51" s="6">
        <v>2068</v>
      </c>
      <c r="B51" s="6">
        <v>38</v>
      </c>
      <c r="C51" s="6">
        <f t="shared" si="2"/>
        <v>7.6456858224433308E-2</v>
      </c>
      <c r="D51" s="6">
        <f t="shared" si="3"/>
        <v>898653.3600000001</v>
      </c>
      <c r="E51" s="6">
        <f t="shared" si="4"/>
        <v>44539758.837032788</v>
      </c>
      <c r="F51" s="6">
        <f t="shared" si="5"/>
        <v>3405370.0267534666</v>
      </c>
      <c r="I51" s="6">
        <v>0</v>
      </c>
      <c r="J51" s="6">
        <f t="shared" si="6"/>
        <v>0</v>
      </c>
      <c r="K51" s="6">
        <f t="shared" si="7"/>
        <v>0</v>
      </c>
      <c r="L51" s="6">
        <f>$D51-(J51*8760)</f>
        <v>898653.3600000001</v>
      </c>
      <c r="M51" s="6">
        <f t="shared" si="8"/>
        <v>44539758.837032788</v>
      </c>
      <c r="N51" s="6">
        <f>I51*($N$5+$N$9)*0.7</f>
        <v>0</v>
      </c>
      <c r="O51" s="6">
        <f>I51*$J$7*1000*$J$4</f>
        <v>0</v>
      </c>
      <c r="P51" s="6">
        <f>SUM(M51:O51)</f>
        <v>44539758.837032788</v>
      </c>
      <c r="Q51" s="6">
        <f>P51*C51</f>
        <v>3405370.0267534666</v>
      </c>
      <c r="R51" s="6">
        <f t="shared" si="10"/>
        <v>0</v>
      </c>
      <c r="S51" s="6">
        <f t="shared" si="11"/>
        <v>0</v>
      </c>
      <c r="V51" s="6">
        <v>2</v>
      </c>
      <c r="W51" s="6">
        <f t="shared" si="12"/>
        <v>39.6</v>
      </c>
      <c r="X51" s="6">
        <f t="shared" si="13"/>
        <v>17193130.153690543</v>
      </c>
      <c r="Y51" s="6">
        <f>$D51-(W51*8760)</f>
        <v>551757.3600000001</v>
      </c>
      <c r="Z51" s="6">
        <f t="shared" si="14"/>
        <v>27346628.683342241</v>
      </c>
      <c r="AA51" s="6">
        <f>SUM($N$9,$Q$5)*0.7+SUM(,$R$5,$N$9)</f>
        <v>8959981.4795706049</v>
      </c>
      <c r="AB51" s="6">
        <f>V51*$J$7*1000*$J$4</f>
        <v>3542022</v>
      </c>
      <c r="AC51" s="6">
        <f t="shared" si="15"/>
        <v>39848632.162912846</v>
      </c>
      <c r="AD51" s="6">
        <f>AC51*$C51</f>
        <v>3046701.2197174206</v>
      </c>
      <c r="AE51" s="6">
        <f t="shared" si="16"/>
        <v>4691126.6741199382</v>
      </c>
      <c r="AF51" s="6">
        <f t="shared" si="17"/>
        <v>358668.80703604547</v>
      </c>
      <c r="AI51" s="6">
        <v>2</v>
      </c>
      <c r="AJ51" s="6">
        <f t="shared" si="18"/>
        <v>39.6</v>
      </c>
      <c r="AK51" s="6">
        <f t="shared" si="19"/>
        <v>17193130.153690543</v>
      </c>
      <c r="AL51" s="6">
        <f>$D51-(AJ51*8760)</f>
        <v>551757.3600000001</v>
      </c>
      <c r="AM51" s="6">
        <f t="shared" si="20"/>
        <v>27346628.683342241</v>
      </c>
      <c r="AN51" s="6">
        <f>SUM($R$9,$Q$5)*0.7+SUM(,$R$5,$Q$9)</f>
        <v>6678488.3610105179</v>
      </c>
      <c r="AO51" s="6">
        <f>AI51*$J$7*1000*$J$4</f>
        <v>3542022</v>
      </c>
      <c r="AP51" s="6">
        <f t="shared" si="21"/>
        <v>37567139.044352755</v>
      </c>
      <c r="AQ51" s="6">
        <f>AP51*$C51</f>
        <v>2872265.4238116518</v>
      </c>
      <c r="AR51" s="6">
        <f t="shared" si="22"/>
        <v>6972619.7926800251</v>
      </c>
      <c r="AS51" s="6">
        <f t="shared" si="23"/>
        <v>533104.60294181423</v>
      </c>
    </row>
    <row r="52" spans="1:45" s="6" customFormat="1" x14ac:dyDescent="0.25">
      <c r="A52" s="6">
        <v>2069</v>
      </c>
      <c r="B52" s="6">
        <v>39</v>
      </c>
      <c r="C52" s="6">
        <f t="shared" si="2"/>
        <v>7.1455007686386268E-2</v>
      </c>
      <c r="D52" s="6">
        <f t="shared" si="3"/>
        <v>898653.3600000001</v>
      </c>
      <c r="E52" s="6">
        <f t="shared" si="4"/>
        <v>44539758.837032788</v>
      </c>
      <c r="F52" s="6">
        <f t="shared" si="5"/>
        <v>3182588.8100499688</v>
      </c>
      <c r="I52" s="6">
        <v>0</v>
      </c>
      <c r="J52" s="6">
        <f t="shared" si="6"/>
        <v>0</v>
      </c>
      <c r="K52" s="6">
        <f t="shared" si="7"/>
        <v>0</v>
      </c>
      <c r="L52" s="6">
        <f>$D52-(J52*8760)</f>
        <v>898653.3600000001</v>
      </c>
      <c r="M52" s="6">
        <f t="shared" si="8"/>
        <v>44539758.837032788</v>
      </c>
      <c r="N52" s="6">
        <f>I52*($N$5+$N$9)*0.7</f>
        <v>0</v>
      </c>
      <c r="O52" s="6">
        <f>I52*$J$7*1000*$J$4</f>
        <v>0</v>
      </c>
      <c r="P52" s="6">
        <f>SUM(M52:O52)</f>
        <v>44539758.837032788</v>
      </c>
      <c r="Q52" s="6">
        <f>P52*C52</f>
        <v>3182588.8100499688</v>
      </c>
      <c r="R52" s="6">
        <f t="shared" si="10"/>
        <v>0</v>
      </c>
      <c r="S52" s="6">
        <f t="shared" si="11"/>
        <v>0</v>
      </c>
      <c r="V52" s="6">
        <v>1</v>
      </c>
      <c r="W52" s="6">
        <f t="shared" si="12"/>
        <v>19.8</v>
      </c>
      <c r="X52" s="6">
        <f t="shared" si="13"/>
        <v>8596565.0768452715</v>
      </c>
      <c r="Y52" s="6">
        <f>$D52-(W52*8760)</f>
        <v>725205.3600000001</v>
      </c>
      <c r="Z52" s="6">
        <f t="shared" si="14"/>
        <v>35943193.760187514</v>
      </c>
      <c r="AA52" s="6">
        <f>SUM($R$5,$N$9)</f>
        <v>5222557.1291013751</v>
      </c>
      <c r="AB52" s="6">
        <f>V52*$J$7*1000*$J$4</f>
        <v>1771011</v>
      </c>
      <c r="AC52" s="6">
        <f t="shared" si="15"/>
        <v>42936761.889288887</v>
      </c>
      <c r="AD52" s="6">
        <f>AC52*$C52</f>
        <v>3068046.6508276747</v>
      </c>
      <c r="AE52" s="6">
        <f t="shared" si="16"/>
        <v>1602996.9477438964</v>
      </c>
      <c r="AF52" s="6">
        <f t="shared" si="17"/>
        <v>114542.15922229385</v>
      </c>
      <c r="AI52" s="6">
        <v>1</v>
      </c>
      <c r="AJ52" s="6">
        <f t="shared" si="18"/>
        <v>19.8</v>
      </c>
      <c r="AK52" s="6">
        <f t="shared" si="19"/>
        <v>8596565.0768452715</v>
      </c>
      <c r="AL52" s="6">
        <f>$D52-(AJ52*8760)</f>
        <v>725205.3600000001</v>
      </c>
      <c r="AM52" s="6">
        <f t="shared" si="20"/>
        <v>35943193.760187514</v>
      </c>
      <c r="AN52" s="6">
        <f>SUM($R$5,$R$9)</f>
        <v>3712773.1263360335</v>
      </c>
      <c r="AO52" s="6">
        <f>AI52*$J$7*1000*$J$4</f>
        <v>1771011</v>
      </c>
      <c r="AP52" s="6">
        <f t="shared" si="21"/>
        <v>41426977.886523545</v>
      </c>
      <c r="AQ52" s="6">
        <f>AP52*$C52</f>
        <v>2960165.0233052936</v>
      </c>
      <c r="AR52" s="6">
        <f t="shared" si="22"/>
        <v>3112780.9505092381</v>
      </c>
      <c r="AS52" s="6">
        <f t="shared" si="23"/>
        <v>222423.78674467435</v>
      </c>
    </row>
    <row r="53" spans="1:45" s="6" customFormat="1" x14ac:dyDescent="0.25">
      <c r="A53" s="6">
        <v>2070</v>
      </c>
      <c r="B53" s="6">
        <v>40</v>
      </c>
      <c r="C53" s="6">
        <f t="shared" si="2"/>
        <v>6.6780381015314264E-2</v>
      </c>
      <c r="D53" s="6">
        <f t="shared" si="3"/>
        <v>898653.3600000001</v>
      </c>
      <c r="E53" s="6">
        <f t="shared" si="4"/>
        <v>44539758.837032788</v>
      </c>
      <c r="F53" s="6">
        <f t="shared" si="5"/>
        <v>2974382.0654672598</v>
      </c>
      <c r="I53" s="6">
        <v>0</v>
      </c>
      <c r="J53" s="6">
        <f t="shared" si="6"/>
        <v>0</v>
      </c>
      <c r="K53" s="6">
        <f t="shared" si="7"/>
        <v>0</v>
      </c>
      <c r="L53" s="6">
        <f>$D53-(J53*8760)</f>
        <v>898653.3600000001</v>
      </c>
      <c r="M53" s="6">
        <f t="shared" si="8"/>
        <v>44539758.837032788</v>
      </c>
      <c r="N53" s="6">
        <f>I53*($N$5+$N$9)*0.7</f>
        <v>0</v>
      </c>
      <c r="O53" s="6">
        <f>I53*$J$7*1000*$J$4</f>
        <v>0</v>
      </c>
      <c r="P53" s="6">
        <f>SUM(M53:O53)</f>
        <v>44539758.837032788</v>
      </c>
      <c r="Q53" s="6">
        <f>P53*C53</f>
        <v>2974382.0654672598</v>
      </c>
      <c r="R53" s="6">
        <f t="shared" si="10"/>
        <v>0</v>
      </c>
      <c r="S53" s="6">
        <f t="shared" si="11"/>
        <v>0</v>
      </c>
      <c r="V53" s="6">
        <v>0</v>
      </c>
      <c r="W53" s="6">
        <f t="shared" si="12"/>
        <v>0</v>
      </c>
      <c r="X53" s="6">
        <f t="shared" si="13"/>
        <v>0</v>
      </c>
      <c r="Y53" s="6">
        <f>$D53-(W53*8760)</f>
        <v>898653.3600000001</v>
      </c>
      <c r="Z53" s="6">
        <f t="shared" si="14"/>
        <v>44539758.837032788</v>
      </c>
      <c r="AA53" s="6">
        <f>V53*($N$5+$N$9)</f>
        <v>0</v>
      </c>
      <c r="AB53" s="6">
        <f>V53*$J$7*1000*$J$4</f>
        <v>0</v>
      </c>
      <c r="AC53" s="6">
        <f t="shared" si="15"/>
        <v>44539758.837032788</v>
      </c>
      <c r="AD53" s="6">
        <f>AC53*$C53</f>
        <v>2974382.0654672598</v>
      </c>
      <c r="AE53" s="6">
        <f t="shared" si="16"/>
        <v>0</v>
      </c>
      <c r="AF53" s="6">
        <f t="shared" si="17"/>
        <v>0</v>
      </c>
      <c r="AI53" s="6">
        <v>0</v>
      </c>
      <c r="AJ53" s="6">
        <f t="shared" si="18"/>
        <v>0</v>
      </c>
      <c r="AK53" s="6">
        <f t="shared" si="19"/>
        <v>0</v>
      </c>
      <c r="AL53" s="6">
        <f>$D53-(AJ53*8760)</f>
        <v>898653.3600000001</v>
      </c>
      <c r="AM53" s="6">
        <f t="shared" si="20"/>
        <v>44539758.837032788</v>
      </c>
      <c r="AN53" s="6">
        <f>AI53*($N$5+$N$9)</f>
        <v>0</v>
      </c>
      <c r="AO53" s="6">
        <f>AI53*$J$7*1000*$J$4</f>
        <v>0</v>
      </c>
      <c r="AP53" s="6">
        <f t="shared" si="21"/>
        <v>44539758.837032788</v>
      </c>
      <c r="AQ53" s="6">
        <f>AP53*$C53</f>
        <v>2974382.0654672598</v>
      </c>
      <c r="AR53" s="6">
        <f t="shared" si="22"/>
        <v>0</v>
      </c>
      <c r="AS53" s="6">
        <f t="shared" si="23"/>
        <v>0</v>
      </c>
    </row>
    <row r="54" spans="1:45" s="8" customFormat="1" x14ac:dyDescent="0.25">
      <c r="A54" s="8">
        <v>2071</v>
      </c>
      <c r="B54" s="8">
        <v>41</v>
      </c>
      <c r="C54" s="8">
        <f t="shared" si="2"/>
        <v>6.2411571042349782E-2</v>
      </c>
      <c r="D54" s="8">
        <f t="shared" si="3"/>
        <v>898653.3600000001</v>
      </c>
      <c r="E54" s="8">
        <f t="shared" si="4"/>
        <v>44539758.837032788</v>
      </c>
      <c r="F54" s="8">
        <f t="shared" si="5"/>
        <v>2779796.3228665981</v>
      </c>
      <c r="I54" s="8">
        <v>0</v>
      </c>
      <c r="J54" s="8">
        <f t="shared" si="6"/>
        <v>0</v>
      </c>
      <c r="K54" s="8">
        <f t="shared" si="7"/>
        <v>0</v>
      </c>
      <c r="L54" s="8">
        <f>$D54-(J54*8760)</f>
        <v>898653.3600000001</v>
      </c>
      <c r="M54" s="8">
        <f t="shared" si="8"/>
        <v>44539758.837032788</v>
      </c>
      <c r="N54" s="8">
        <f>I54*($N$5+$N$9)*0.7</f>
        <v>0</v>
      </c>
      <c r="O54" s="8">
        <f>I54*$J$7*1000*$J$4</f>
        <v>0</v>
      </c>
      <c r="P54" s="8">
        <f>SUM(M54:O54)</f>
        <v>44539758.837032788</v>
      </c>
      <c r="Q54" s="8">
        <f>P54*C54</f>
        <v>2779796.3228665981</v>
      </c>
      <c r="R54" s="6">
        <f t="shared" si="10"/>
        <v>0</v>
      </c>
      <c r="S54" s="8">
        <f t="shared" si="11"/>
        <v>0</v>
      </c>
      <c r="T54" s="6"/>
      <c r="V54" s="8">
        <v>0</v>
      </c>
      <c r="W54" s="8">
        <f t="shared" si="12"/>
        <v>0</v>
      </c>
      <c r="X54" s="8">
        <f t="shared" si="13"/>
        <v>0</v>
      </c>
      <c r="Y54" s="8">
        <f>$D54-(W54*8760)</f>
        <v>898653.3600000001</v>
      </c>
      <c r="Z54" s="8">
        <f t="shared" si="14"/>
        <v>44539758.837032788</v>
      </c>
      <c r="AA54" s="8">
        <f>V54*($N$5+$N$9)</f>
        <v>0</v>
      </c>
      <c r="AB54" s="8">
        <f>V54*$J$7*1000*$J$4</f>
        <v>0</v>
      </c>
      <c r="AC54" s="8">
        <f t="shared" si="15"/>
        <v>44539758.837032788</v>
      </c>
      <c r="AD54" s="8">
        <f>AC54*$C54</f>
        <v>2779796.3228665981</v>
      </c>
      <c r="AE54" s="6">
        <f t="shared" si="16"/>
        <v>0</v>
      </c>
      <c r="AF54" s="8">
        <f t="shared" si="17"/>
        <v>0</v>
      </c>
      <c r="AI54" s="8">
        <v>0</v>
      </c>
      <c r="AJ54" s="8">
        <f t="shared" si="18"/>
        <v>0</v>
      </c>
      <c r="AK54" s="8">
        <f t="shared" si="19"/>
        <v>0</v>
      </c>
      <c r="AL54" s="8">
        <f>$D54-(AJ54*8760)</f>
        <v>898653.3600000001</v>
      </c>
      <c r="AM54" s="8">
        <f t="shared" si="20"/>
        <v>44539758.837032788</v>
      </c>
      <c r="AN54" s="8">
        <f>AI54*($N$5+$N$9)</f>
        <v>0</v>
      </c>
      <c r="AO54" s="8">
        <f>AI54*$J$7*1000*$J$4</f>
        <v>0</v>
      </c>
      <c r="AP54" s="8">
        <f t="shared" si="21"/>
        <v>44539758.837032788</v>
      </c>
      <c r="AQ54" s="8">
        <f>AP54*$C54</f>
        <v>2779796.3228665981</v>
      </c>
      <c r="AR54" s="6">
        <f t="shared" si="22"/>
        <v>0</v>
      </c>
      <c r="AS54" s="8">
        <f t="shared" si="23"/>
        <v>0</v>
      </c>
    </row>
    <row r="55" spans="1:45" s="8" customFormat="1" x14ac:dyDescent="0.25">
      <c r="A55" s="8">
        <v>2072</v>
      </c>
      <c r="B55" s="8">
        <v>42</v>
      </c>
      <c r="C55" s="8">
        <f t="shared" si="2"/>
        <v>5.8328571067616623E-2</v>
      </c>
      <c r="D55" s="8">
        <f t="shared" si="3"/>
        <v>898653.3600000001</v>
      </c>
      <c r="E55" s="8">
        <f t="shared" si="4"/>
        <v>44539758.837032788</v>
      </c>
      <c r="F55" s="8">
        <f t="shared" si="5"/>
        <v>2597940.4886603723</v>
      </c>
      <c r="I55" s="8">
        <v>0</v>
      </c>
      <c r="J55" s="8">
        <f t="shared" si="6"/>
        <v>0</v>
      </c>
      <c r="K55" s="8">
        <f t="shared" si="7"/>
        <v>0</v>
      </c>
      <c r="L55" s="8">
        <f>$D55-(J55*8760)</f>
        <v>898653.3600000001</v>
      </c>
      <c r="M55" s="8">
        <f t="shared" si="8"/>
        <v>44539758.837032788</v>
      </c>
      <c r="N55" s="8">
        <f>I55*($N$5+$N$9)*0.7</f>
        <v>0</v>
      </c>
      <c r="O55" s="8">
        <f>I55*$J$7*1000*$J$4</f>
        <v>0</v>
      </c>
      <c r="P55" s="8">
        <f>SUM(M55:O55)</f>
        <v>44539758.837032788</v>
      </c>
      <c r="Q55" s="8">
        <f>P55*C55</f>
        <v>2597940.4886603723</v>
      </c>
      <c r="R55" s="6">
        <f t="shared" si="10"/>
        <v>0</v>
      </c>
      <c r="S55" s="8">
        <f t="shared" si="11"/>
        <v>0</v>
      </c>
      <c r="T55" s="6"/>
      <c r="V55" s="8">
        <v>0</v>
      </c>
      <c r="W55" s="8">
        <f t="shared" si="12"/>
        <v>0</v>
      </c>
      <c r="X55" s="8">
        <f t="shared" si="13"/>
        <v>0</v>
      </c>
      <c r="Y55" s="8">
        <f>$D55-(W55*8760)</f>
        <v>898653.3600000001</v>
      </c>
      <c r="Z55" s="8">
        <f t="shared" si="14"/>
        <v>44539758.837032788</v>
      </c>
      <c r="AA55" s="8">
        <f>V55*($N$5+$N$9)</f>
        <v>0</v>
      </c>
      <c r="AB55" s="8">
        <f>V55*$J$7*1000*$J$4</f>
        <v>0</v>
      </c>
      <c r="AC55" s="8">
        <f t="shared" si="15"/>
        <v>44539758.837032788</v>
      </c>
      <c r="AD55" s="8">
        <f>AC55*$C55</f>
        <v>2597940.4886603723</v>
      </c>
      <c r="AE55" s="6">
        <f t="shared" si="16"/>
        <v>0</v>
      </c>
      <c r="AF55" s="8">
        <f t="shared" si="17"/>
        <v>0</v>
      </c>
      <c r="AI55" s="8">
        <v>0</v>
      </c>
      <c r="AJ55" s="8">
        <f t="shared" si="18"/>
        <v>0</v>
      </c>
      <c r="AK55" s="8">
        <f t="shared" si="19"/>
        <v>0</v>
      </c>
      <c r="AL55" s="8">
        <f>$D55-(AJ55*8760)</f>
        <v>898653.3600000001</v>
      </c>
      <c r="AM55" s="8">
        <f t="shared" si="20"/>
        <v>44539758.837032788</v>
      </c>
      <c r="AN55" s="8">
        <f>AI55*($N$5+$N$9)</f>
        <v>0</v>
      </c>
      <c r="AO55" s="8">
        <f>AI55*$J$7*1000*$J$4</f>
        <v>0</v>
      </c>
      <c r="AP55" s="8">
        <f t="shared" si="21"/>
        <v>44539758.837032788</v>
      </c>
      <c r="AQ55" s="8">
        <f>AP55*$C55</f>
        <v>2597940.4886603723</v>
      </c>
      <c r="AR55" s="6">
        <f t="shared" si="22"/>
        <v>0</v>
      </c>
      <c r="AS55" s="8">
        <f t="shared" si="23"/>
        <v>0</v>
      </c>
    </row>
    <row r="56" spans="1:45" s="8" customFormat="1" x14ac:dyDescent="0.25">
      <c r="A56" s="8">
        <v>2073</v>
      </c>
      <c r="B56" s="8">
        <v>43</v>
      </c>
      <c r="C56" s="8">
        <f t="shared" si="2"/>
        <v>5.4512683240763193E-2</v>
      </c>
      <c r="D56" s="8">
        <f t="shared" si="3"/>
        <v>898653.3600000001</v>
      </c>
      <c r="E56" s="8">
        <f t="shared" si="4"/>
        <v>44539758.837032788</v>
      </c>
      <c r="F56" s="8">
        <f t="shared" si="5"/>
        <v>2427981.7651031516</v>
      </c>
      <c r="I56" s="8">
        <v>0</v>
      </c>
      <c r="J56" s="8">
        <f t="shared" si="6"/>
        <v>0</v>
      </c>
      <c r="K56" s="8">
        <f t="shared" si="7"/>
        <v>0</v>
      </c>
      <c r="L56" s="8">
        <f>$D56-(J56*8760)</f>
        <v>898653.3600000001</v>
      </c>
      <c r="M56" s="8">
        <f t="shared" si="8"/>
        <v>44539758.837032788</v>
      </c>
      <c r="N56" s="8">
        <f>I56*($N$5+$N$9)*0.7</f>
        <v>0</v>
      </c>
      <c r="O56" s="8">
        <f>I56*$J$7*1000*$J$4</f>
        <v>0</v>
      </c>
      <c r="P56" s="8">
        <f>SUM(M56:O56)</f>
        <v>44539758.837032788</v>
      </c>
      <c r="Q56" s="8">
        <f>P56*C56</f>
        <v>2427981.7651031516</v>
      </c>
      <c r="R56" s="6">
        <f t="shared" si="10"/>
        <v>0</v>
      </c>
      <c r="S56" s="8">
        <f t="shared" si="11"/>
        <v>0</v>
      </c>
      <c r="T56" s="6"/>
      <c r="V56" s="8">
        <v>0</v>
      </c>
      <c r="W56" s="8">
        <f t="shared" si="12"/>
        <v>0</v>
      </c>
      <c r="X56" s="8">
        <f t="shared" si="13"/>
        <v>0</v>
      </c>
      <c r="Y56" s="8">
        <f>$D56-(W56*8760)</f>
        <v>898653.3600000001</v>
      </c>
      <c r="Z56" s="8">
        <f t="shared" si="14"/>
        <v>44539758.837032788</v>
      </c>
      <c r="AA56" s="8">
        <f>V56*($N$5+$N$9)</f>
        <v>0</v>
      </c>
      <c r="AB56" s="8">
        <f>V56*$J$7*1000*$J$4</f>
        <v>0</v>
      </c>
      <c r="AC56" s="8">
        <f t="shared" si="15"/>
        <v>44539758.837032788</v>
      </c>
      <c r="AD56" s="8">
        <f>AC56*$C56</f>
        <v>2427981.7651031516</v>
      </c>
      <c r="AE56" s="6">
        <f t="shared" si="16"/>
        <v>0</v>
      </c>
      <c r="AF56" s="8">
        <f t="shared" si="17"/>
        <v>0</v>
      </c>
      <c r="AI56" s="8">
        <v>0</v>
      </c>
      <c r="AJ56" s="8">
        <f t="shared" si="18"/>
        <v>0</v>
      </c>
      <c r="AK56" s="8">
        <f t="shared" si="19"/>
        <v>0</v>
      </c>
      <c r="AL56" s="8">
        <f>$D56-(AJ56*8760)</f>
        <v>898653.3600000001</v>
      </c>
      <c r="AM56" s="8">
        <f t="shared" si="20"/>
        <v>44539758.837032788</v>
      </c>
      <c r="AN56" s="8">
        <f>AI56*($N$5+$N$9)</f>
        <v>0</v>
      </c>
      <c r="AO56" s="8">
        <f>AI56*$J$7*1000*$J$4</f>
        <v>0</v>
      </c>
      <c r="AP56" s="8">
        <f t="shared" si="21"/>
        <v>44539758.837032788</v>
      </c>
      <c r="AQ56" s="8">
        <f>AP56*$C56</f>
        <v>2427981.7651031516</v>
      </c>
      <c r="AR56" s="6">
        <f t="shared" si="22"/>
        <v>0</v>
      </c>
      <c r="AS56" s="8">
        <f t="shared" si="23"/>
        <v>0</v>
      </c>
    </row>
    <row r="57" spans="1:45" s="8" customFormat="1" x14ac:dyDescent="0.25">
      <c r="A57" s="8">
        <v>2074</v>
      </c>
      <c r="B57" s="8">
        <v>44</v>
      </c>
      <c r="C57" s="8">
        <f t="shared" si="2"/>
        <v>5.0946432935292711E-2</v>
      </c>
      <c r="D57" s="8">
        <f t="shared" si="3"/>
        <v>898653.3600000001</v>
      </c>
      <c r="E57" s="8">
        <f t="shared" si="4"/>
        <v>44539758.837032788</v>
      </c>
      <c r="F57" s="8">
        <f t="shared" si="5"/>
        <v>2269141.8365450017</v>
      </c>
      <c r="I57" s="8">
        <v>0</v>
      </c>
      <c r="J57" s="8">
        <f t="shared" si="6"/>
        <v>0</v>
      </c>
      <c r="K57" s="8">
        <f t="shared" si="7"/>
        <v>0</v>
      </c>
      <c r="L57" s="8">
        <f>$D57-(J57*8760)</f>
        <v>898653.3600000001</v>
      </c>
      <c r="M57" s="8">
        <f t="shared" si="8"/>
        <v>44539758.837032788</v>
      </c>
      <c r="N57" s="8">
        <f>I57*($N$5+$N$9)*0.7</f>
        <v>0</v>
      </c>
      <c r="O57" s="8">
        <f>I57*$J$7*1000*$J$4</f>
        <v>0</v>
      </c>
      <c r="P57" s="8">
        <f>SUM(M57:O57)</f>
        <v>44539758.837032788</v>
      </c>
      <c r="Q57" s="8">
        <f>P57*C57</f>
        <v>2269141.8365450017</v>
      </c>
      <c r="R57" s="6">
        <f t="shared" si="10"/>
        <v>0</v>
      </c>
      <c r="S57" s="8">
        <f t="shared" si="11"/>
        <v>0</v>
      </c>
      <c r="T57" s="6"/>
      <c r="V57" s="8">
        <v>0</v>
      </c>
      <c r="W57" s="8">
        <f t="shared" si="12"/>
        <v>0</v>
      </c>
      <c r="X57" s="8">
        <f t="shared" si="13"/>
        <v>0</v>
      </c>
      <c r="Y57" s="8">
        <f>$D57-(W57*8760)</f>
        <v>898653.3600000001</v>
      </c>
      <c r="Z57" s="8">
        <f t="shared" si="14"/>
        <v>44539758.837032788</v>
      </c>
      <c r="AA57" s="8">
        <f>V57*($N$5+$N$9)</f>
        <v>0</v>
      </c>
      <c r="AB57" s="8">
        <f>V57*$J$7*1000*$J$4</f>
        <v>0</v>
      </c>
      <c r="AC57" s="8">
        <f t="shared" si="15"/>
        <v>44539758.837032788</v>
      </c>
      <c r="AD57" s="8">
        <f>AC57*$C57</f>
        <v>2269141.8365450017</v>
      </c>
      <c r="AE57" s="6">
        <f t="shared" si="16"/>
        <v>0</v>
      </c>
      <c r="AF57" s="8">
        <f t="shared" si="17"/>
        <v>0</v>
      </c>
      <c r="AI57" s="8">
        <v>0</v>
      </c>
      <c r="AJ57" s="8">
        <f t="shared" si="18"/>
        <v>0</v>
      </c>
      <c r="AK57" s="8">
        <f t="shared" si="19"/>
        <v>0</v>
      </c>
      <c r="AL57" s="8">
        <f>$D57-(AJ57*8760)</f>
        <v>898653.3600000001</v>
      </c>
      <c r="AM57" s="8">
        <f t="shared" si="20"/>
        <v>44539758.837032788</v>
      </c>
      <c r="AN57" s="8">
        <f>AI57*($N$5+$N$9)</f>
        <v>0</v>
      </c>
      <c r="AO57" s="8">
        <f>AI57*$J$7*1000*$J$4</f>
        <v>0</v>
      </c>
      <c r="AP57" s="8">
        <f t="shared" si="21"/>
        <v>44539758.837032788</v>
      </c>
      <c r="AQ57" s="8">
        <f>AP57*$C57</f>
        <v>2269141.8365450017</v>
      </c>
      <c r="AR57" s="6">
        <f t="shared" si="22"/>
        <v>0</v>
      </c>
      <c r="AS57" s="8">
        <f t="shared" si="23"/>
        <v>0</v>
      </c>
    </row>
    <row r="58" spans="1:45" s="8" customFormat="1" x14ac:dyDescent="0.25">
      <c r="A58" s="8">
        <v>2075</v>
      </c>
      <c r="B58" s="8">
        <v>45</v>
      </c>
      <c r="C58" s="8">
        <f t="shared" si="2"/>
        <v>4.761348872457262E-2</v>
      </c>
      <c r="D58" s="8">
        <f t="shared" si="3"/>
        <v>898653.3600000001</v>
      </c>
      <c r="E58" s="8">
        <f t="shared" si="4"/>
        <v>44539758.837032788</v>
      </c>
      <c r="F58" s="8">
        <f t="shared" si="5"/>
        <v>2120693.3051822442</v>
      </c>
      <c r="I58" s="8">
        <v>0</v>
      </c>
      <c r="J58" s="8">
        <f t="shared" si="6"/>
        <v>0</v>
      </c>
      <c r="K58" s="8">
        <f t="shared" si="7"/>
        <v>0</v>
      </c>
      <c r="L58" s="8">
        <f>$D58-(J58*8760)</f>
        <v>898653.3600000001</v>
      </c>
      <c r="M58" s="8">
        <f t="shared" si="8"/>
        <v>44539758.837032788</v>
      </c>
      <c r="N58" s="8">
        <f>I58*($N$5+$N$9)*0.7</f>
        <v>0</v>
      </c>
      <c r="O58" s="8">
        <f>I58*$J$7*1000*$J$4</f>
        <v>0</v>
      </c>
      <c r="P58" s="8">
        <f>SUM(M58:O58)</f>
        <v>44539758.837032788</v>
      </c>
      <c r="Q58" s="8">
        <f>P58*C58</f>
        <v>2120693.3051822442</v>
      </c>
      <c r="R58" s="6">
        <f t="shared" si="10"/>
        <v>0</v>
      </c>
      <c r="S58" s="8">
        <f t="shared" si="11"/>
        <v>0</v>
      </c>
      <c r="T58" s="6"/>
      <c r="V58" s="8">
        <v>0</v>
      </c>
      <c r="W58" s="8">
        <f t="shared" si="12"/>
        <v>0</v>
      </c>
      <c r="X58" s="8">
        <f t="shared" si="13"/>
        <v>0</v>
      </c>
      <c r="Y58" s="8">
        <f>$D58-(W58*8760)</f>
        <v>898653.3600000001</v>
      </c>
      <c r="Z58" s="8">
        <f t="shared" si="14"/>
        <v>44539758.837032788</v>
      </c>
      <c r="AA58" s="8">
        <f>V58*($N$5+$N$9)</f>
        <v>0</v>
      </c>
      <c r="AB58" s="8">
        <f>V58*$J$7*1000*$J$4</f>
        <v>0</v>
      </c>
      <c r="AC58" s="8">
        <f t="shared" si="15"/>
        <v>44539758.837032788</v>
      </c>
      <c r="AD58" s="8">
        <f>AC58*$C58</f>
        <v>2120693.3051822442</v>
      </c>
      <c r="AE58" s="6">
        <f t="shared" si="16"/>
        <v>0</v>
      </c>
      <c r="AF58" s="8">
        <f t="shared" si="17"/>
        <v>0</v>
      </c>
      <c r="AI58" s="8">
        <v>0</v>
      </c>
      <c r="AJ58" s="8">
        <f t="shared" si="18"/>
        <v>0</v>
      </c>
      <c r="AK58" s="8">
        <f t="shared" si="19"/>
        <v>0</v>
      </c>
      <c r="AL58" s="8">
        <f>$D58-(AJ58*8760)</f>
        <v>898653.3600000001</v>
      </c>
      <c r="AM58" s="8">
        <f t="shared" si="20"/>
        <v>44539758.837032788</v>
      </c>
      <c r="AN58" s="8">
        <f>AI58*($N$5+$N$9)</f>
        <v>0</v>
      </c>
      <c r="AO58" s="8">
        <f>AI58*$J$7*1000*$J$4</f>
        <v>0</v>
      </c>
      <c r="AP58" s="8">
        <f t="shared" si="21"/>
        <v>44539758.837032788</v>
      </c>
      <c r="AQ58" s="8">
        <f>AP58*$C58</f>
        <v>2120693.3051822442</v>
      </c>
      <c r="AR58" s="6">
        <f t="shared" si="22"/>
        <v>0</v>
      </c>
      <c r="AS58" s="8">
        <f t="shared" si="23"/>
        <v>0</v>
      </c>
    </row>
    <row r="59" spans="1:45" s="8" customFormat="1" x14ac:dyDescent="0.25">
      <c r="A59" s="8">
        <v>2076</v>
      </c>
      <c r="B59" s="8">
        <v>46</v>
      </c>
      <c r="C59" s="8">
        <f t="shared" si="2"/>
        <v>4.4498587593058525E-2</v>
      </c>
      <c r="D59" s="8">
        <f t="shared" si="3"/>
        <v>898653.3600000001</v>
      </c>
      <c r="E59" s="8">
        <f t="shared" si="4"/>
        <v>44539758.837032788</v>
      </c>
      <c r="F59" s="8">
        <f t="shared" si="5"/>
        <v>1981956.359983406</v>
      </c>
      <c r="I59" s="8">
        <v>0</v>
      </c>
      <c r="J59" s="8">
        <f t="shared" si="6"/>
        <v>0</v>
      </c>
      <c r="K59" s="8">
        <f t="shared" si="7"/>
        <v>0</v>
      </c>
      <c r="L59" s="8">
        <f>$D59-(J59*8760)</f>
        <v>898653.3600000001</v>
      </c>
      <c r="M59" s="8">
        <f t="shared" si="8"/>
        <v>44539758.837032788</v>
      </c>
      <c r="N59" s="8">
        <f>I59*($N$5+$N$9)*0.7</f>
        <v>0</v>
      </c>
      <c r="O59" s="8">
        <f>I59*$J$7*1000*$J$4</f>
        <v>0</v>
      </c>
      <c r="P59" s="8">
        <f>SUM(M59:O59)</f>
        <v>44539758.837032788</v>
      </c>
      <c r="Q59" s="8">
        <f>P59*C59</f>
        <v>1981956.359983406</v>
      </c>
      <c r="R59" s="6">
        <f t="shared" si="10"/>
        <v>0</v>
      </c>
      <c r="S59" s="8">
        <f t="shared" si="11"/>
        <v>0</v>
      </c>
      <c r="T59" s="6"/>
      <c r="V59" s="8">
        <v>0</v>
      </c>
      <c r="W59" s="8">
        <f t="shared" si="12"/>
        <v>0</v>
      </c>
      <c r="X59" s="8">
        <f t="shared" si="13"/>
        <v>0</v>
      </c>
      <c r="Y59" s="8">
        <f>$D59-(W59*8760)</f>
        <v>898653.3600000001</v>
      </c>
      <c r="Z59" s="8">
        <f t="shared" si="14"/>
        <v>44539758.837032788</v>
      </c>
      <c r="AA59" s="8">
        <f>V59*($N$5+$N$9)</f>
        <v>0</v>
      </c>
      <c r="AB59" s="8">
        <f>V59*$J$7*1000*$J$4</f>
        <v>0</v>
      </c>
      <c r="AC59" s="8">
        <f t="shared" si="15"/>
        <v>44539758.837032788</v>
      </c>
      <c r="AD59" s="8">
        <f>AC59*$C59</f>
        <v>1981956.359983406</v>
      </c>
      <c r="AE59" s="6">
        <f t="shared" si="16"/>
        <v>0</v>
      </c>
      <c r="AF59" s="8">
        <f t="shared" si="17"/>
        <v>0</v>
      </c>
      <c r="AI59" s="8">
        <v>0</v>
      </c>
      <c r="AJ59" s="8">
        <f t="shared" si="18"/>
        <v>0</v>
      </c>
      <c r="AK59" s="8">
        <f t="shared" si="19"/>
        <v>0</v>
      </c>
      <c r="AL59" s="8">
        <f>$D59-(AJ59*8760)</f>
        <v>898653.3600000001</v>
      </c>
      <c r="AM59" s="8">
        <f t="shared" si="20"/>
        <v>44539758.837032788</v>
      </c>
      <c r="AN59" s="8">
        <f>AI59*($N$5+$N$9)</f>
        <v>0</v>
      </c>
      <c r="AO59" s="8">
        <f>AI59*$J$7*1000*$J$4</f>
        <v>0</v>
      </c>
      <c r="AP59" s="8">
        <f t="shared" si="21"/>
        <v>44539758.837032788</v>
      </c>
      <c r="AQ59" s="8">
        <f>AP59*$C59</f>
        <v>1981956.359983406</v>
      </c>
      <c r="AR59" s="6">
        <f t="shared" si="22"/>
        <v>0</v>
      </c>
      <c r="AS59" s="8">
        <f t="shared" si="23"/>
        <v>0</v>
      </c>
    </row>
    <row r="60" spans="1:45" s="8" customFormat="1" x14ac:dyDescent="0.25">
      <c r="A60" s="8">
        <v>2077</v>
      </c>
      <c r="B60" s="8">
        <v>47</v>
      </c>
      <c r="C60" s="8">
        <f t="shared" si="2"/>
        <v>4.1587465040241613E-2</v>
      </c>
      <c r="D60" s="8">
        <f t="shared" si="3"/>
        <v>898653.3600000001</v>
      </c>
      <c r="E60" s="8">
        <f t="shared" si="4"/>
        <v>44539758.837032788</v>
      </c>
      <c r="F60" s="8">
        <f t="shared" si="5"/>
        <v>1852295.6635358934</v>
      </c>
      <c r="I60" s="8">
        <v>0</v>
      </c>
      <c r="J60" s="8">
        <f t="shared" si="6"/>
        <v>0</v>
      </c>
      <c r="K60" s="8">
        <f t="shared" si="7"/>
        <v>0</v>
      </c>
      <c r="L60" s="8">
        <f>$D60-(J60*8760)</f>
        <v>898653.3600000001</v>
      </c>
      <c r="M60" s="8">
        <f t="shared" si="8"/>
        <v>44539758.837032788</v>
      </c>
      <c r="N60" s="8">
        <f>I60*($N$5+$N$9)*0.7</f>
        <v>0</v>
      </c>
      <c r="O60" s="8">
        <f>I60*$J$7*1000*$J$4</f>
        <v>0</v>
      </c>
      <c r="P60" s="8">
        <f>SUM(M60:O60)</f>
        <v>44539758.837032788</v>
      </c>
      <c r="Q60" s="8">
        <f>P60*C60</f>
        <v>1852295.6635358934</v>
      </c>
      <c r="R60" s="6">
        <f t="shared" si="10"/>
        <v>0</v>
      </c>
      <c r="S60" s="8">
        <f t="shared" si="11"/>
        <v>0</v>
      </c>
      <c r="T60" s="6"/>
      <c r="V60" s="8">
        <v>0</v>
      </c>
      <c r="W60" s="8">
        <f t="shared" si="12"/>
        <v>0</v>
      </c>
      <c r="X60" s="8">
        <f t="shared" si="13"/>
        <v>0</v>
      </c>
      <c r="Y60" s="8">
        <f>$D60-(W60*8760)</f>
        <v>898653.3600000001</v>
      </c>
      <c r="Z60" s="8">
        <f t="shared" si="14"/>
        <v>44539758.837032788</v>
      </c>
      <c r="AA60" s="8">
        <f>V60*($N$5+$N$9)</f>
        <v>0</v>
      </c>
      <c r="AB60" s="8">
        <f>V60*$J$7*1000*$J$4</f>
        <v>0</v>
      </c>
      <c r="AC60" s="8">
        <f t="shared" si="15"/>
        <v>44539758.837032788</v>
      </c>
      <c r="AD60" s="8">
        <f>AC60*$C60</f>
        <v>1852295.6635358934</v>
      </c>
      <c r="AE60" s="6">
        <f t="shared" si="16"/>
        <v>0</v>
      </c>
      <c r="AF60" s="8">
        <f t="shared" si="17"/>
        <v>0</v>
      </c>
      <c r="AI60" s="8">
        <v>0</v>
      </c>
      <c r="AJ60" s="8">
        <f t="shared" si="18"/>
        <v>0</v>
      </c>
      <c r="AK60" s="8">
        <f t="shared" si="19"/>
        <v>0</v>
      </c>
      <c r="AL60" s="8">
        <f>$D60-(AJ60*8760)</f>
        <v>898653.3600000001</v>
      </c>
      <c r="AM60" s="8">
        <f t="shared" si="20"/>
        <v>44539758.837032788</v>
      </c>
      <c r="AN60" s="8">
        <f>AI60*($N$5+$N$9)</f>
        <v>0</v>
      </c>
      <c r="AO60" s="8">
        <f>AI60*$J$7*1000*$J$4</f>
        <v>0</v>
      </c>
      <c r="AP60" s="8">
        <f t="shared" si="21"/>
        <v>44539758.837032788</v>
      </c>
      <c r="AQ60" s="8">
        <f>AP60*$C60</f>
        <v>1852295.6635358934</v>
      </c>
      <c r="AR60" s="6">
        <f t="shared" si="22"/>
        <v>0</v>
      </c>
      <c r="AS60" s="8">
        <f t="shared" si="23"/>
        <v>0</v>
      </c>
    </row>
    <row r="61" spans="1:45" s="8" customFormat="1" x14ac:dyDescent="0.25">
      <c r="A61" s="8">
        <v>2078</v>
      </c>
      <c r="B61" s="8">
        <v>48</v>
      </c>
      <c r="C61" s="8">
        <f t="shared" si="2"/>
        <v>3.8866789757235155E-2</v>
      </c>
      <c r="D61" s="8">
        <f t="shared" si="3"/>
        <v>898653.3600000001</v>
      </c>
      <c r="E61" s="8">
        <f t="shared" si="4"/>
        <v>44539758.837032788</v>
      </c>
      <c r="F61" s="8">
        <f t="shared" si="5"/>
        <v>1731117.44255691</v>
      </c>
      <c r="I61" s="8">
        <v>0</v>
      </c>
      <c r="J61" s="8">
        <f t="shared" si="6"/>
        <v>0</v>
      </c>
      <c r="K61" s="8">
        <f t="shared" si="7"/>
        <v>0</v>
      </c>
      <c r="L61" s="8">
        <f>$D61-(J61*8760)</f>
        <v>898653.3600000001</v>
      </c>
      <c r="M61" s="8">
        <f t="shared" si="8"/>
        <v>44539758.837032788</v>
      </c>
      <c r="N61" s="8">
        <f>I61*($N$5+$N$9)*0.7</f>
        <v>0</v>
      </c>
      <c r="O61" s="8">
        <f>I61*$J$7*1000*$J$4</f>
        <v>0</v>
      </c>
      <c r="P61" s="8">
        <f>SUM(M61:O61)</f>
        <v>44539758.837032788</v>
      </c>
      <c r="Q61" s="8">
        <f>P61*C61</f>
        <v>1731117.44255691</v>
      </c>
      <c r="R61" s="6">
        <f t="shared" si="10"/>
        <v>0</v>
      </c>
      <c r="S61" s="8">
        <f t="shared" si="11"/>
        <v>0</v>
      </c>
      <c r="T61" s="6"/>
      <c r="V61" s="8">
        <v>0</v>
      </c>
      <c r="W61" s="8">
        <f t="shared" si="12"/>
        <v>0</v>
      </c>
      <c r="X61" s="8">
        <f t="shared" si="13"/>
        <v>0</v>
      </c>
      <c r="Y61" s="8">
        <f>$D61-(W61*8760)</f>
        <v>898653.3600000001</v>
      </c>
      <c r="Z61" s="8">
        <f t="shared" si="14"/>
        <v>44539758.837032788</v>
      </c>
      <c r="AA61" s="8">
        <f>V61*($N$5+$N$9)</f>
        <v>0</v>
      </c>
      <c r="AB61" s="8">
        <f>V61*$J$7*1000*$J$4</f>
        <v>0</v>
      </c>
      <c r="AC61" s="8">
        <f t="shared" si="15"/>
        <v>44539758.837032788</v>
      </c>
      <c r="AD61" s="8">
        <f>AC61*$C61</f>
        <v>1731117.44255691</v>
      </c>
      <c r="AE61" s="6">
        <f t="shared" si="16"/>
        <v>0</v>
      </c>
      <c r="AF61" s="8">
        <f t="shared" si="17"/>
        <v>0</v>
      </c>
      <c r="AI61" s="8">
        <v>0</v>
      </c>
      <c r="AJ61" s="8">
        <f t="shared" si="18"/>
        <v>0</v>
      </c>
      <c r="AK61" s="8">
        <f t="shared" si="19"/>
        <v>0</v>
      </c>
      <c r="AL61" s="8">
        <f>$D61-(AJ61*8760)</f>
        <v>898653.3600000001</v>
      </c>
      <c r="AM61" s="8">
        <f t="shared" si="20"/>
        <v>44539758.837032788</v>
      </c>
      <c r="AN61" s="8">
        <f>AI61*($N$5+$N$9)</f>
        <v>0</v>
      </c>
      <c r="AO61" s="8">
        <f>AI61*$J$7*1000*$J$4</f>
        <v>0</v>
      </c>
      <c r="AP61" s="8">
        <f t="shared" si="21"/>
        <v>44539758.837032788</v>
      </c>
      <c r="AQ61" s="8">
        <f>AP61*$C61</f>
        <v>1731117.44255691</v>
      </c>
      <c r="AR61" s="6">
        <f t="shared" si="22"/>
        <v>0</v>
      </c>
      <c r="AS61" s="8">
        <f t="shared" si="23"/>
        <v>0</v>
      </c>
    </row>
    <row r="62" spans="1:45" s="8" customFormat="1" x14ac:dyDescent="0.25">
      <c r="A62" s="8">
        <v>2079</v>
      </c>
      <c r="B62" s="8">
        <v>49</v>
      </c>
      <c r="C62" s="8">
        <f t="shared" si="2"/>
        <v>3.6324102576855283E-2</v>
      </c>
      <c r="D62" s="8">
        <f t="shared" si="3"/>
        <v>898653.3600000001</v>
      </c>
      <c r="E62" s="8">
        <f t="shared" si="4"/>
        <v>44539758.837032788</v>
      </c>
      <c r="F62" s="8">
        <f t="shared" si="5"/>
        <v>1617866.7687447756</v>
      </c>
      <c r="I62" s="8">
        <v>0</v>
      </c>
      <c r="J62" s="8">
        <f t="shared" si="6"/>
        <v>0</v>
      </c>
      <c r="K62" s="8">
        <f t="shared" si="7"/>
        <v>0</v>
      </c>
      <c r="L62" s="8">
        <f>$D62-(J62*8760)</f>
        <v>898653.3600000001</v>
      </c>
      <c r="M62" s="8">
        <f t="shared" si="8"/>
        <v>44539758.837032788</v>
      </c>
      <c r="N62" s="8">
        <f>I62*($N$5+$N$9)*0.7</f>
        <v>0</v>
      </c>
      <c r="O62" s="8">
        <f>I62*$J$7*1000*$J$4</f>
        <v>0</v>
      </c>
      <c r="P62" s="8">
        <f>SUM(M62:O62)</f>
        <v>44539758.837032788</v>
      </c>
      <c r="Q62" s="8">
        <f>P62*C62</f>
        <v>1617866.7687447756</v>
      </c>
      <c r="R62" s="6">
        <f t="shared" si="10"/>
        <v>0</v>
      </c>
      <c r="S62" s="8">
        <f t="shared" si="11"/>
        <v>0</v>
      </c>
      <c r="T62" s="6">
        <f>SUM(S$13:S62)</f>
        <v>92775542.591527149</v>
      </c>
      <c r="V62" s="8">
        <v>0</v>
      </c>
      <c r="W62" s="8">
        <f t="shared" si="12"/>
        <v>0</v>
      </c>
      <c r="X62" s="8">
        <f t="shared" si="13"/>
        <v>0</v>
      </c>
      <c r="Y62" s="8">
        <f>$D62-(W62*8760)</f>
        <v>898653.3600000001</v>
      </c>
      <c r="Z62" s="8">
        <f t="shared" si="14"/>
        <v>44539758.837032788</v>
      </c>
      <c r="AA62" s="8">
        <f>V62*($N$5+$N$9)</f>
        <v>0</v>
      </c>
      <c r="AB62" s="8">
        <f>V62*$J$7*1000*$J$4</f>
        <v>0</v>
      </c>
      <c r="AC62" s="8">
        <f t="shared" si="15"/>
        <v>44539758.837032788</v>
      </c>
      <c r="AD62" s="8">
        <f>AC62*$C62</f>
        <v>1617866.7687447756</v>
      </c>
      <c r="AE62" s="6">
        <f t="shared" si="16"/>
        <v>0</v>
      </c>
      <c r="AF62" s="8">
        <f t="shared" si="17"/>
        <v>0</v>
      </c>
      <c r="AI62" s="8">
        <v>0</v>
      </c>
      <c r="AJ62" s="8">
        <f t="shared" si="18"/>
        <v>0</v>
      </c>
      <c r="AK62" s="8">
        <f t="shared" si="19"/>
        <v>0</v>
      </c>
      <c r="AL62" s="8">
        <f>$D62-(AJ62*8760)</f>
        <v>898653.3600000001</v>
      </c>
      <c r="AM62" s="8">
        <f t="shared" si="20"/>
        <v>44539758.837032788</v>
      </c>
      <c r="AN62" s="8">
        <f>AI62*($N$5+$N$9)</f>
        <v>0</v>
      </c>
      <c r="AO62" s="8">
        <f>AI62*$J$7*1000*$J$4</f>
        <v>0</v>
      </c>
      <c r="AP62" s="8">
        <f t="shared" si="21"/>
        <v>44539758.837032788</v>
      </c>
      <c r="AQ62" s="8">
        <f>AP62*$C62</f>
        <v>1617866.7687447756</v>
      </c>
      <c r="AR62" s="6">
        <f t="shared" si="22"/>
        <v>0</v>
      </c>
      <c r="AS62" s="8">
        <f t="shared" si="23"/>
        <v>0</v>
      </c>
    </row>
    <row r="63" spans="1:45" s="8" customFormat="1" x14ac:dyDescent="0.25">
      <c r="A63" s="8">
        <v>2080</v>
      </c>
      <c r="B63" s="8">
        <v>50</v>
      </c>
      <c r="C63" s="8">
        <f t="shared" si="2"/>
        <v>3.3947759417621758E-2</v>
      </c>
      <c r="D63" s="8">
        <f t="shared" si="3"/>
        <v>898653.3600000001</v>
      </c>
      <c r="E63" s="8">
        <f t="shared" si="4"/>
        <v>44539758.837032788</v>
      </c>
      <c r="F63" s="8">
        <f t="shared" si="5"/>
        <v>1512025.0175184817</v>
      </c>
      <c r="I63" s="8">
        <v>0</v>
      </c>
      <c r="J63" s="8">
        <f t="shared" si="6"/>
        <v>0</v>
      </c>
      <c r="K63" s="8">
        <f t="shared" si="7"/>
        <v>0</v>
      </c>
      <c r="L63" s="8">
        <f>$D63-(J63*8760)</f>
        <v>898653.3600000001</v>
      </c>
      <c r="M63" s="8">
        <f t="shared" si="8"/>
        <v>44539758.837032788</v>
      </c>
      <c r="N63" s="8">
        <f>I63*($N$5+$N$9)*0.7</f>
        <v>0</v>
      </c>
      <c r="O63" s="8">
        <f>I63*$J$7*1000*$J$4</f>
        <v>0</v>
      </c>
      <c r="P63" s="8">
        <f>SUM(M63:O63)</f>
        <v>44539758.837032788</v>
      </c>
      <c r="Q63" s="8">
        <f>P63*C63</f>
        <v>1512025.0175184817</v>
      </c>
      <c r="R63" s="6">
        <f t="shared" si="10"/>
        <v>0</v>
      </c>
      <c r="S63" s="8">
        <f t="shared" si="11"/>
        <v>0</v>
      </c>
      <c r="T63" s="6">
        <f>SUM(S$13:S63)</f>
        <v>92775542.591527149</v>
      </c>
      <c r="V63" s="8">
        <v>0</v>
      </c>
      <c r="W63" s="8">
        <f t="shared" si="12"/>
        <v>0</v>
      </c>
      <c r="X63" s="8">
        <f t="shared" si="13"/>
        <v>0</v>
      </c>
      <c r="Y63" s="8">
        <f>$D63-(W63*8760)</f>
        <v>898653.3600000001</v>
      </c>
      <c r="Z63" s="8">
        <f t="shared" si="14"/>
        <v>44539758.837032788</v>
      </c>
      <c r="AA63" s="8">
        <f>V63*($N$5+$N$9)</f>
        <v>0</v>
      </c>
      <c r="AB63" s="8">
        <f>V63*$J$7*1000*$J$4</f>
        <v>0</v>
      </c>
      <c r="AC63" s="8">
        <f t="shared" si="15"/>
        <v>44539758.837032788</v>
      </c>
      <c r="AD63" s="8">
        <f>AC63*$C63</f>
        <v>1512025.0175184817</v>
      </c>
      <c r="AE63" s="6">
        <f t="shared" si="16"/>
        <v>0</v>
      </c>
      <c r="AF63" s="8">
        <f t="shared" si="17"/>
        <v>0</v>
      </c>
      <c r="AI63" s="8">
        <v>0</v>
      </c>
      <c r="AJ63" s="8">
        <f t="shared" si="18"/>
        <v>0</v>
      </c>
      <c r="AK63" s="8">
        <f t="shared" si="19"/>
        <v>0</v>
      </c>
      <c r="AL63" s="8">
        <f>$D63-(AJ63*8760)</f>
        <v>898653.3600000001</v>
      </c>
      <c r="AM63" s="8">
        <f t="shared" si="20"/>
        <v>44539758.837032788</v>
      </c>
      <c r="AN63" s="8">
        <f>AI63*($N$5+$N$9)</f>
        <v>0</v>
      </c>
      <c r="AO63" s="8">
        <f>AI63*$J$7*1000*$J$4</f>
        <v>0</v>
      </c>
      <c r="AP63" s="8">
        <f t="shared" si="21"/>
        <v>44539758.837032788</v>
      </c>
      <c r="AQ63" s="8">
        <f>AP63*$C63</f>
        <v>1512025.0175184817</v>
      </c>
      <c r="AR63" s="6">
        <f t="shared" si="22"/>
        <v>0</v>
      </c>
      <c r="AS63" s="8">
        <f t="shared" si="23"/>
        <v>0</v>
      </c>
    </row>
  </sheetData>
  <mergeCells count="4">
    <mergeCell ref="I11:J11"/>
    <mergeCell ref="V11:W11"/>
    <mergeCell ref="AI11:AJ11"/>
    <mergeCell ref="C11:D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Michigan ITS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Vanatta, Max</dc:creator>
  <cp:lastModifiedBy>Vanatta, Max</cp:lastModifiedBy>
  <dcterms:created xsi:type="dcterms:W3CDTF">2023-10-25T13:48:27Z</dcterms:created>
  <dcterms:modified xsi:type="dcterms:W3CDTF">2023-10-25T15:48:04Z</dcterms:modified>
</cp:coreProperties>
</file>