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trlProps/ctrlProp3.xml" ContentType="application/vnd.ms-excel.controlproperties+xml"/>
  <Override PartName="/xl/drawings/drawing4.xml" ContentType="application/vnd.openxmlformats-officedocument.drawing+xml"/>
  <Override PartName="/xl/ctrlProps/ctrlProp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arkac/Desktop/Academics/ETH/Paper 1 Magma chamber depth/supplementary info/"/>
    </mc:Choice>
  </mc:AlternateContent>
  <xr:revisionPtr revIDLastSave="0" documentId="13_ncr:1_{4AAB4D7E-1636-5A49-BAE9-9C1F8BA3DB84}" xr6:coauthVersionLast="47" xr6:coauthVersionMax="47" xr10:uidLastSave="{00000000-0000-0000-0000-000000000000}"/>
  <bookViews>
    <workbookView xWindow="0" yWindow="500" windowWidth="28800" windowHeight="17500" tabRatio="639" activeTab="1" xr2:uid="{00000000-000D-0000-FFFF-FFFF00000000}"/>
  </bookViews>
  <sheets>
    <sheet name="database" sheetId="3" r:id="rId1"/>
    <sheet name="rocks" sheetId="18" r:id="rId2"/>
    <sheet name="minerals" sheetId="44" r:id="rId3"/>
    <sheet name="rock mineral modes" sheetId="45" r:id="rId4"/>
  </sheets>
  <definedNames>
    <definedName name="anth">rocks!#REF!</definedName>
    <definedName name="atwtAl">26.982</definedName>
    <definedName name="atwtC">12.011</definedName>
    <definedName name="atwtCa">40.08</definedName>
    <definedName name="atwtFe">55.847</definedName>
    <definedName name="atwtH">1.008</definedName>
    <definedName name="atwtK">39.102</definedName>
    <definedName name="atwtMg">24.312</definedName>
    <definedName name="atwtNa">22.99</definedName>
    <definedName name="atwtO">16</definedName>
    <definedName name="atwtSi">28.086</definedName>
    <definedName name="atwtTi">47.867</definedName>
    <definedName name="chlB">#REF!</definedName>
    <definedName name="chlM">#REF!</definedName>
    <definedName name="chlP">#REF!</definedName>
    <definedName name="chlVp">#REF!</definedName>
    <definedName name="clhB">#REF!</definedName>
    <definedName name="kA" localSheetId="2">minerals!$I$49</definedName>
    <definedName name="kA">database!#REF!</definedName>
    <definedName name="kac" localSheetId="2">minerals!$I$26</definedName>
    <definedName name="kac">database!#REF!</definedName>
    <definedName name="kalm" localSheetId="2">minerals!$I$13</definedName>
    <definedName name="kalm">database!#REF!</definedName>
    <definedName name="kan" localSheetId="2">minerals!$I$10</definedName>
    <definedName name="kan">database!#REF!</definedName>
    <definedName name="kann" localSheetId="2">minerals!$I$32</definedName>
    <definedName name="kann">database!#REF!</definedName>
    <definedName name="kanth" localSheetId="2">minerals!$I$30</definedName>
    <definedName name="kanth">database!#REF!</definedName>
    <definedName name="kaqz" localSheetId="2">minerals!$I$5</definedName>
    <definedName name="kaqz">database!#REF!</definedName>
    <definedName name="kar" localSheetId="2">minerals!$I$56</definedName>
    <definedName name="kar">database!#REF!</definedName>
    <definedName name="katg" localSheetId="2">minerals!$I$38</definedName>
    <definedName name="katg">database!#REF!</definedName>
    <definedName name="kbqz" localSheetId="2">minerals!$I$6</definedName>
    <definedName name="kbqz">database!#REF!</definedName>
    <definedName name="kbr" localSheetId="2">minerals!$I$47</definedName>
    <definedName name="kbr">database!#REF!</definedName>
    <definedName name="kcc" localSheetId="2">minerals!$I$55</definedName>
    <definedName name="kcc">database!#REF!</definedName>
    <definedName name="kchum" localSheetId="2">minerals!$I$48</definedName>
    <definedName name="kchum">database!#REF!</definedName>
    <definedName name="kclin" localSheetId="2">minerals!$I$36</definedName>
    <definedName name="kclin">database!#REF!</definedName>
    <definedName name="kcoe" localSheetId="2">minerals!$I$7</definedName>
    <definedName name="kcoe">database!#REF!</definedName>
    <definedName name="kczo" localSheetId="2">minerals!$I$40</definedName>
    <definedName name="kczo">database!#REF!</definedName>
    <definedName name="kdaph" localSheetId="2">minerals!$I$37</definedName>
    <definedName name="kdaph">database!#REF!</definedName>
    <definedName name="kdi" localSheetId="2">minerals!$I$20</definedName>
    <definedName name="kdi">database!#REF!</definedName>
    <definedName name="ken" localSheetId="2">minerals!$I$18</definedName>
    <definedName name="ken">database!#REF!</definedName>
    <definedName name="kep" localSheetId="2">minerals!$I$41</definedName>
    <definedName name="kep">database!#REF!</definedName>
    <definedName name="kfa" localSheetId="2">minerals!$I$17</definedName>
    <definedName name="kfa">database!#REF!</definedName>
    <definedName name="kfgl" localSheetId="2">minerals!$I$24</definedName>
    <definedName name="kfgl">database!#REF!</definedName>
    <definedName name="kfo" localSheetId="2">minerals!$I$16</definedName>
    <definedName name="kfo">database!#REF!</definedName>
    <definedName name="kfs" localSheetId="2">minerals!$I$19</definedName>
    <definedName name="kfs">database!#REF!</definedName>
    <definedName name="kgl" localSheetId="2">minerals!$I$23</definedName>
    <definedName name="kgl">database!#REF!</definedName>
    <definedName name="kgrs" localSheetId="2">minerals!$I$14</definedName>
    <definedName name="kgrs">database!#REF!</definedName>
    <definedName name="khab" localSheetId="2">minerals!$I$8</definedName>
    <definedName name="khab">database!#REF!</definedName>
    <definedName name="khb" localSheetId="2">minerals!$I$29</definedName>
    <definedName name="khb">database!#REF!</definedName>
    <definedName name="khd" localSheetId="2">minerals!$I$21</definedName>
    <definedName name="khd">database!#REF!</definedName>
    <definedName name="kHerc" localSheetId="2">minerals!$I$53</definedName>
    <definedName name="kHerc">database!#REF!</definedName>
    <definedName name="kjd" localSheetId="2">minerals!$I$22</definedName>
    <definedName name="kjd">database!#REF!</definedName>
    <definedName name="kky" localSheetId="2">minerals!$I$51</definedName>
    <definedName name="kky">database!#REF!</definedName>
    <definedName name="klab" localSheetId="2">minerals!$I$9</definedName>
    <definedName name="klab">database!#REF!</definedName>
    <definedName name="klaw" localSheetId="2">minerals!$I$42</definedName>
    <definedName name="klaw">database!#REF!</definedName>
    <definedName name="klm" localSheetId="2">minerals!$I$45</definedName>
    <definedName name="klm">database!#REF!</definedName>
    <definedName name="kMagn" localSheetId="2">minerals!$I$54</definedName>
    <definedName name="kMagn">database!#REF!</definedName>
    <definedName name="kms" localSheetId="2">minerals!$I$33</definedName>
    <definedName name="kms">database!#REF!</definedName>
    <definedName name="kor" localSheetId="2">minerals!#REF!</definedName>
    <definedName name="kor">database!$H$11</definedName>
    <definedName name="kparg" localSheetId="2">minerals!$I$28</definedName>
    <definedName name="kparg">database!#REF!</definedName>
    <definedName name="kphl" localSheetId="2">minerals!$I$31</definedName>
    <definedName name="kphl">database!#REF!</definedName>
    <definedName name="kpm" localSheetId="2">minerals!$I$44</definedName>
    <definedName name="kpm">database!#REF!</definedName>
    <definedName name="kpr" localSheetId="2">minerals!$I$43</definedName>
    <definedName name="kpr">database!#REF!</definedName>
    <definedName name="kprp" localSheetId="2">minerals!$I$15</definedName>
    <definedName name="kprp">database!#REF!</definedName>
    <definedName name="ksan" localSheetId="2">minerals!$I$12</definedName>
    <definedName name="ksan">database!#REF!</definedName>
    <definedName name="ksil" localSheetId="2">minerals!#REF!</definedName>
    <definedName name="ksil">database!$H$53</definedName>
    <definedName name="kSpl" localSheetId="2">minerals!$I$52</definedName>
    <definedName name="kSpl">database!#REF!</definedName>
    <definedName name="ksps" localSheetId="2">minerals!#REF!</definedName>
    <definedName name="ksps">database!#REF!</definedName>
    <definedName name="kta" localSheetId="2">minerals!$I$35</definedName>
    <definedName name="kta">database!#REF!</definedName>
    <definedName name="ktr" localSheetId="2">minerals!$I$25</definedName>
    <definedName name="ktr">database!#REF!</definedName>
    <definedName name="kts" localSheetId="2">minerals!$I$27</definedName>
    <definedName name="kts">database!#REF!</definedName>
    <definedName name="kVRH">rocks!#REF!</definedName>
    <definedName name="kwr" localSheetId="2">minerals!$I$46</definedName>
    <definedName name="kwr">database!#REF!</definedName>
    <definedName name="kzo" localSheetId="2">minerals!#REF!</definedName>
    <definedName name="kzo">database!$H$42</definedName>
    <definedName name="m10A" localSheetId="2">minerals!#REF!</definedName>
    <definedName name="m10A">database!#REF!</definedName>
    <definedName name="mA" localSheetId="2">minerals!#REF!</definedName>
    <definedName name="mA">database!$D$52</definedName>
    <definedName name="mac" localSheetId="2">minerals!#REF!</definedName>
    <definedName name="mac">database!$D$29</definedName>
    <definedName name="malm" localSheetId="2">minerals!#REF!</definedName>
    <definedName name="malm">database!$D$13</definedName>
    <definedName name="man" localSheetId="2">minerals!#REF!</definedName>
    <definedName name="man">database!$D$10</definedName>
    <definedName name="mann" localSheetId="2">minerals!#REF!</definedName>
    <definedName name="mann">database!$D$35</definedName>
    <definedName name="manth" localSheetId="2">minerals!#REF!</definedName>
    <definedName name="manth">database!$D$33</definedName>
    <definedName name="maqz" localSheetId="2">minerals!#REF!</definedName>
    <definedName name="maqz">database!$D$5</definedName>
    <definedName name="mar" localSheetId="2">minerals!#REF!</definedName>
    <definedName name="mar">database!$D$64</definedName>
    <definedName name="matg" localSheetId="2">minerals!#REF!</definedName>
    <definedName name="matg">database!$D$41</definedName>
    <definedName name="mbqz" localSheetId="2">minerals!#REF!</definedName>
    <definedName name="mbqz">database!$D$6</definedName>
    <definedName name="mbr" localSheetId="2">minerals!#REF!</definedName>
    <definedName name="mbr">database!$D$50</definedName>
    <definedName name="mcc" localSheetId="2">minerals!#REF!</definedName>
    <definedName name="mcc">database!$D$63</definedName>
    <definedName name="mchum" localSheetId="2">minerals!#REF!</definedName>
    <definedName name="mchum">database!$D$51</definedName>
    <definedName name="mclin" localSheetId="2">minerals!#REF!</definedName>
    <definedName name="mclin">database!$D$39</definedName>
    <definedName name="mcoe" localSheetId="2">minerals!#REF!</definedName>
    <definedName name="mcoe">database!$D$7</definedName>
    <definedName name="mczo" localSheetId="2">minerals!#REF!</definedName>
    <definedName name="mczo">database!$D$43</definedName>
    <definedName name="mdaph" localSheetId="2">minerals!#REF!</definedName>
    <definedName name="mdaph">database!$D$40</definedName>
    <definedName name="mdi" localSheetId="2">minerals!#REF!</definedName>
    <definedName name="mdi">database!$D$21</definedName>
    <definedName name="men" localSheetId="2">minerals!#REF!</definedName>
    <definedName name="men">database!$D$18</definedName>
    <definedName name="mep" localSheetId="2">minerals!#REF!</definedName>
    <definedName name="mep">database!$D$44</definedName>
    <definedName name="mfa" localSheetId="2">minerals!#REF!</definedName>
    <definedName name="mfa">database!$D$17</definedName>
    <definedName name="mfgl" localSheetId="2">minerals!#REF!</definedName>
    <definedName name="mfgl">database!$D$27</definedName>
    <definedName name="mfo" localSheetId="2">minerals!#REF!</definedName>
    <definedName name="mfo">database!$D$16</definedName>
    <definedName name="mfs" localSheetId="2">minerals!#REF!</definedName>
    <definedName name="mfs">database!$D$19</definedName>
    <definedName name="mgl" localSheetId="2">minerals!#REF!</definedName>
    <definedName name="mgl">database!$D$26</definedName>
    <definedName name="mgrs" localSheetId="2">minerals!#REF!</definedName>
    <definedName name="mgrs">database!$D$14</definedName>
    <definedName name="mhab" localSheetId="2">minerals!#REF!</definedName>
    <definedName name="mhab">database!$D$8</definedName>
    <definedName name="mhb" localSheetId="2">minerals!#REF!</definedName>
    <definedName name="mhb">database!$D$32</definedName>
    <definedName name="mhd" localSheetId="2">minerals!#REF!</definedName>
    <definedName name="mhd">database!$D$22</definedName>
    <definedName name="mherc" localSheetId="2">minerals!#REF!</definedName>
    <definedName name="mherc">database!$D$56</definedName>
    <definedName name="mjd" localSheetId="2">minerals!#REF!</definedName>
    <definedName name="mjd">database!$D$23</definedName>
    <definedName name="mky" localSheetId="2">minerals!#REF!</definedName>
    <definedName name="mky">database!$D$54</definedName>
    <definedName name="mlab" localSheetId="2">minerals!#REF!</definedName>
    <definedName name="mlab">database!$D$9</definedName>
    <definedName name="mlaw" localSheetId="2">minerals!#REF!</definedName>
    <definedName name="mlaw">database!$D$45</definedName>
    <definedName name="mlm" localSheetId="2">minerals!#REF!</definedName>
    <definedName name="mlm">database!$D$48</definedName>
    <definedName name="mmagn" localSheetId="2">minerals!#REF!</definedName>
    <definedName name="mmagn">database!$D$57</definedName>
    <definedName name="mms" localSheetId="2">minerals!#REF!</definedName>
    <definedName name="mms">database!$D$36</definedName>
    <definedName name="molSum">rocks!#REF!</definedName>
    <definedName name="mor" localSheetId="2">minerals!#REF!</definedName>
    <definedName name="mor">database!$D$11</definedName>
    <definedName name="mparg" localSheetId="2">minerals!#REF!</definedName>
    <definedName name="mparg">database!$D$31</definedName>
    <definedName name="mphl" localSheetId="2">minerals!#REF!</definedName>
    <definedName name="mphl">database!$D$34</definedName>
    <definedName name="mpm" localSheetId="2">minerals!#REF!</definedName>
    <definedName name="mpm">database!$D$47</definedName>
    <definedName name="mpr" localSheetId="2">minerals!#REF!</definedName>
    <definedName name="mpr">database!$D$46</definedName>
    <definedName name="mprp" localSheetId="2">minerals!#REF!</definedName>
    <definedName name="mprp">database!$D$15</definedName>
    <definedName name="msan" localSheetId="2">minerals!#REF!</definedName>
    <definedName name="msan">database!$D$12</definedName>
    <definedName name="msil" localSheetId="2">minerals!#REF!</definedName>
    <definedName name="msil">database!$D$53</definedName>
    <definedName name="mspl" localSheetId="2">minerals!#REF!</definedName>
    <definedName name="mspl">database!$D$55</definedName>
    <definedName name="msps" localSheetId="2">minerals!#REF!</definedName>
    <definedName name="msps">database!#REF!</definedName>
    <definedName name="mta" localSheetId="2">minerals!#REF!</definedName>
    <definedName name="mta">database!$D$38</definedName>
    <definedName name="mtr" localSheetId="2">minerals!#REF!</definedName>
    <definedName name="mtr">database!$D$28</definedName>
    <definedName name="mts" localSheetId="2">minerals!#REF!</definedName>
    <definedName name="mts">database!$D$30</definedName>
    <definedName name="mwr" localSheetId="2">minerals!#REF!</definedName>
    <definedName name="mwr">database!$D$49</definedName>
    <definedName name="mzo" localSheetId="2">minerals!#REF!</definedName>
    <definedName name="mzo">database!$D$42</definedName>
    <definedName name="nA">rocks!$52:$52</definedName>
    <definedName name="nalm">rocks!$13:$13</definedName>
    <definedName name="nan">rocks!$10:$10</definedName>
    <definedName name="nann">rocks!$35:$35</definedName>
    <definedName name="nanth">rocks!$33:$33</definedName>
    <definedName name="naqz">rocks!$5:$5</definedName>
    <definedName name="nar">rocks!$64:$64</definedName>
    <definedName name="natg">rocks!$41:$41</definedName>
    <definedName name="nbqz">rocks!$6:$6</definedName>
    <definedName name="nbr">rocks!$50:$50</definedName>
    <definedName name="ncc">rocks!$63:$63</definedName>
    <definedName name="nchum">rocks!$51:$51</definedName>
    <definedName name="nclin">rocks!$39:$39</definedName>
    <definedName name="ncoe">rocks!$7:$7</definedName>
    <definedName name="nczo">rocks!$43:$43</definedName>
    <definedName name="ndaph">rocks!$40:$40</definedName>
    <definedName name="ndi">rocks!$21:$21</definedName>
    <definedName name="nen">rocks!$18:$18</definedName>
    <definedName name="nep">rocks!$44:$44</definedName>
    <definedName name="nfa">rocks!$17:$17</definedName>
    <definedName name="nfact">rocks!$29:$29</definedName>
    <definedName name="nfgl">rocks!$27:$27</definedName>
    <definedName name="nfo">rocks!$16:$16</definedName>
    <definedName name="nfs">rocks!$19:$19</definedName>
    <definedName name="ngl">rocks!$26:$26</definedName>
    <definedName name="ngrs">rocks!$14:$14</definedName>
    <definedName name="nhab">rocks!$8:$8</definedName>
    <definedName name="nhb">rocks!$32:$32</definedName>
    <definedName name="nhd">rocks!$22:$22</definedName>
    <definedName name="nHerc">rocks!$56:$56</definedName>
    <definedName name="njd">rocks!$23:$23</definedName>
    <definedName name="nky">rocks!$54:$54</definedName>
    <definedName name="nlab">rocks!$9:$9</definedName>
    <definedName name="nlaw">rocks!$45:$45</definedName>
    <definedName name="nlm">rocks!$48:$48</definedName>
    <definedName name="nMagn">rocks!$57:$57</definedName>
    <definedName name="nms">rocks!$36:$36</definedName>
    <definedName name="nOr">rocks!$11:$11</definedName>
    <definedName name="nparg">rocks!$31:$31</definedName>
    <definedName name="nphl">rocks!$34:$34</definedName>
    <definedName name="npm">rocks!$47:$47</definedName>
    <definedName name="npr">rocks!$46:$46</definedName>
    <definedName name="nprp">rocks!$15:$15</definedName>
    <definedName name="nqz">rocks!$5:$5</definedName>
    <definedName name="nsan">rocks!$12:$12</definedName>
    <definedName name="nSil">rocks!$53:$53</definedName>
    <definedName name="nSpl">rocks!$55:$55</definedName>
    <definedName name="nsps">rocks!#REF!</definedName>
    <definedName name="nsum">rocks!$66:$66</definedName>
    <definedName name="nta">rocks!$38:$38</definedName>
    <definedName name="ntr">rocks!$28:$28</definedName>
    <definedName name="nts">rocks!$30:$30</definedName>
    <definedName name="nwr">rocks!$49:$49</definedName>
    <definedName name="nzo">rocks!$42:$42</definedName>
    <definedName name="oxideAl">50.982</definedName>
    <definedName name="oxideC">44.011</definedName>
    <definedName name="oxideCa">56.08</definedName>
    <definedName name="oxideFe">71.85</definedName>
    <definedName name="oxideH">9.008</definedName>
    <definedName name="oxideK">47.102</definedName>
    <definedName name="oxideMg">40.312</definedName>
    <definedName name="oxideNa">30.99</definedName>
    <definedName name="oxideO">database!$W$2</definedName>
    <definedName name="oxideSi">60.09</definedName>
    <definedName name="oxideTi">79.866</definedName>
    <definedName name="P">rocks!#REF!</definedName>
    <definedName name="_xlnm.Print_Area" localSheetId="1">rocks!$A$1:$A$75</definedName>
    <definedName name="r_Voigt">rocks!#REF!</definedName>
    <definedName name="rA" localSheetId="2">minerals!$K$49</definedName>
    <definedName name="rA">database!#REF!</definedName>
    <definedName name="rac" localSheetId="2">minerals!$K$26</definedName>
    <definedName name="rac">database!#REF!</definedName>
    <definedName name="ralm" localSheetId="2">minerals!$K$13</definedName>
    <definedName name="ralm">database!#REF!</definedName>
    <definedName name="ran" localSheetId="2">minerals!$K$10</definedName>
    <definedName name="ran">database!#REF!</definedName>
    <definedName name="rann" localSheetId="2">minerals!$K$32</definedName>
    <definedName name="rann">database!#REF!</definedName>
    <definedName name="ranth" localSheetId="2">minerals!$K$30</definedName>
    <definedName name="ranth">database!#REF!</definedName>
    <definedName name="raqz" localSheetId="2">minerals!$K$5</definedName>
    <definedName name="raqz">database!#REF!</definedName>
    <definedName name="rar" localSheetId="2">minerals!$K$56</definedName>
    <definedName name="rar">database!#REF!</definedName>
    <definedName name="ratg" localSheetId="2">minerals!$K$38</definedName>
    <definedName name="ratg">database!#REF!</definedName>
    <definedName name="rbqz" localSheetId="2">minerals!$K$6</definedName>
    <definedName name="rbqz">database!#REF!</definedName>
    <definedName name="rbr" localSheetId="2">minerals!$K$47</definedName>
    <definedName name="rbr">database!#REF!</definedName>
    <definedName name="rcc" localSheetId="2">minerals!$K$55</definedName>
    <definedName name="rcc">database!#REF!</definedName>
    <definedName name="rchum" localSheetId="2">minerals!$K$48</definedName>
    <definedName name="rchum">database!#REF!</definedName>
    <definedName name="rclin" localSheetId="2">minerals!$K$36</definedName>
    <definedName name="rclin">database!#REF!</definedName>
    <definedName name="rcoe" localSheetId="2">minerals!$K$7</definedName>
    <definedName name="rcoe">database!#REF!</definedName>
    <definedName name="rczo" localSheetId="2">minerals!$K$40</definedName>
    <definedName name="rczo">database!#REF!</definedName>
    <definedName name="rdaph" localSheetId="2">minerals!$K$37</definedName>
    <definedName name="rdaph">database!#REF!</definedName>
    <definedName name="rdi" localSheetId="2">minerals!$K$20</definedName>
    <definedName name="rdi">database!#REF!</definedName>
    <definedName name="ren" localSheetId="2">minerals!$K$18</definedName>
    <definedName name="ren">database!#REF!</definedName>
    <definedName name="rep" localSheetId="2">minerals!$K$41</definedName>
    <definedName name="rep">database!#REF!</definedName>
    <definedName name="rfa" localSheetId="2">minerals!$K$17</definedName>
    <definedName name="rfa">database!#REF!</definedName>
    <definedName name="rfgl" localSheetId="2">minerals!$K$24</definedName>
    <definedName name="rfgl">database!#REF!</definedName>
    <definedName name="rfo" localSheetId="2">minerals!$K$16</definedName>
    <definedName name="rfo">database!#REF!</definedName>
    <definedName name="rfs" localSheetId="2">minerals!$K$19</definedName>
    <definedName name="rfs">database!#REF!</definedName>
    <definedName name="rgl" localSheetId="2">minerals!$K$23</definedName>
    <definedName name="rgl">database!#REF!</definedName>
    <definedName name="rgrs" localSheetId="2">minerals!$K$14</definedName>
    <definedName name="rgrs">database!#REF!</definedName>
    <definedName name="rhab" localSheetId="2">minerals!$K$8</definedName>
    <definedName name="rhab">database!#REF!</definedName>
    <definedName name="rhb" localSheetId="2">minerals!$K$29</definedName>
    <definedName name="rhb">database!#REF!</definedName>
    <definedName name="rhd" localSheetId="2">minerals!$K$21</definedName>
    <definedName name="rhd">database!#REF!</definedName>
    <definedName name="rHerc" localSheetId="2">minerals!$K$53</definedName>
    <definedName name="rHerc">database!#REF!</definedName>
    <definedName name="rjd" localSheetId="2">minerals!$K$22</definedName>
    <definedName name="rjd">database!#REF!</definedName>
    <definedName name="rky" localSheetId="2">minerals!$K$51</definedName>
    <definedName name="rky">database!#REF!</definedName>
    <definedName name="rlab" localSheetId="2">minerals!$K$9</definedName>
    <definedName name="rlab">database!#REF!</definedName>
    <definedName name="rlaw" localSheetId="2">minerals!$K$42</definedName>
    <definedName name="rlaw">database!#REF!</definedName>
    <definedName name="rlm" localSheetId="2">minerals!$K$45</definedName>
    <definedName name="rlm">database!#REF!</definedName>
    <definedName name="rMagn" localSheetId="2">minerals!$K$54</definedName>
    <definedName name="rMagn">database!#REF!</definedName>
    <definedName name="rms" localSheetId="2">minerals!$K$33</definedName>
    <definedName name="rms">database!#REF!</definedName>
    <definedName name="rOr" localSheetId="2">minerals!$K$11</definedName>
    <definedName name="rOr">database!#REF!</definedName>
    <definedName name="rparg" localSheetId="2">minerals!$K$28</definedName>
    <definedName name="rparg">database!#REF!</definedName>
    <definedName name="rphl" localSheetId="2">minerals!$K$31</definedName>
    <definedName name="rphl">database!#REF!</definedName>
    <definedName name="rpm" localSheetId="2">minerals!$K$44</definedName>
    <definedName name="rpm">database!#REF!</definedName>
    <definedName name="rpr" localSheetId="2">minerals!$K$43</definedName>
    <definedName name="rpr">database!#REF!</definedName>
    <definedName name="rprp" localSheetId="2">minerals!$K$15</definedName>
    <definedName name="rprp">database!#REF!</definedName>
    <definedName name="rReuss">rocks!$71:$71</definedName>
    <definedName name="rsan" localSheetId="2">minerals!$K$12</definedName>
    <definedName name="rsan">database!#REF!</definedName>
    <definedName name="rSil" localSheetId="2">minerals!$K$50</definedName>
    <definedName name="rSil">database!#REF!</definedName>
    <definedName name="rSpl" localSheetId="2">minerals!$K$52</definedName>
    <definedName name="rSpl">database!#REF!</definedName>
    <definedName name="rta" localSheetId="2">minerals!$K$35</definedName>
    <definedName name="rta">database!#REF!</definedName>
    <definedName name="rtr" localSheetId="2">minerals!$K$25</definedName>
    <definedName name="rtr">database!#REF!</definedName>
    <definedName name="rts" localSheetId="2">minerals!$K$27</definedName>
    <definedName name="rts">database!#REF!</definedName>
    <definedName name="rVoigt">rocks!$70:$70</definedName>
    <definedName name="rVRH">rocks!$72:$72</definedName>
    <definedName name="rwr" localSheetId="2">minerals!$K$46</definedName>
    <definedName name="rwr">database!#REF!</definedName>
    <definedName name="rzo" localSheetId="2">minerals!$K$39</definedName>
    <definedName name="rzo">database!#REF!</definedName>
    <definedName name="scB">#REF!</definedName>
    <definedName name="scbB">#REF!</definedName>
    <definedName name="scbM">#REF!</definedName>
    <definedName name="scbP">#REF!</definedName>
    <definedName name="scbVp">#REF!</definedName>
    <definedName name="scM">#REF!</definedName>
    <definedName name="scP">#REF!</definedName>
    <definedName name="scVp">#REF!</definedName>
    <definedName name="sum">rocks!$66:$66</definedName>
    <definedName name="TC">rocks!#REF!</definedName>
    <definedName name="temperature">rocks!#REF!</definedName>
    <definedName name="uA" localSheetId="2">minerals!$J$49</definedName>
    <definedName name="uA">database!#REF!</definedName>
    <definedName name="uac" localSheetId="2">minerals!$J$26</definedName>
    <definedName name="uac">database!#REF!</definedName>
    <definedName name="ualm" localSheetId="2">minerals!$J$13</definedName>
    <definedName name="ualm">database!#REF!</definedName>
    <definedName name="uan" localSheetId="2">minerals!$J$10</definedName>
    <definedName name="uan">database!#REF!</definedName>
    <definedName name="uann" localSheetId="2">minerals!$J$32</definedName>
    <definedName name="uann">database!#REF!</definedName>
    <definedName name="uanth" localSheetId="2">minerals!$J$30</definedName>
    <definedName name="uanth">database!#REF!</definedName>
    <definedName name="uaqz" localSheetId="2">minerals!$J$5</definedName>
    <definedName name="uaqz">database!#REF!</definedName>
    <definedName name="uar" localSheetId="2">minerals!$J$56</definedName>
    <definedName name="uar">database!#REF!</definedName>
    <definedName name="uatg" localSheetId="2">minerals!$J$38</definedName>
    <definedName name="uatg">database!#REF!</definedName>
    <definedName name="ubqz" localSheetId="2">minerals!$J$6</definedName>
    <definedName name="ubqz">database!#REF!</definedName>
    <definedName name="ubr" localSheetId="2">minerals!$J$47</definedName>
    <definedName name="ubr">database!#REF!</definedName>
    <definedName name="ucc" localSheetId="2">minerals!$J$55</definedName>
    <definedName name="ucc">database!#REF!</definedName>
    <definedName name="uchum" localSheetId="2">minerals!$J$48</definedName>
    <definedName name="uchum">database!#REF!</definedName>
    <definedName name="uclin" localSheetId="2">minerals!$J$36</definedName>
    <definedName name="uclin">database!#REF!</definedName>
    <definedName name="ucoe" localSheetId="2">minerals!$J$7</definedName>
    <definedName name="ucoe">database!#REF!</definedName>
    <definedName name="uczo" localSheetId="2">minerals!$J$40</definedName>
    <definedName name="uczo">database!#REF!</definedName>
    <definedName name="udaph" localSheetId="2">minerals!$J$37</definedName>
    <definedName name="udaph">database!#REF!</definedName>
    <definedName name="udi" localSheetId="2">minerals!$J$20</definedName>
    <definedName name="udi">database!#REF!</definedName>
    <definedName name="uen" localSheetId="2">minerals!$J$18</definedName>
    <definedName name="uen">database!#REF!</definedName>
    <definedName name="uep" localSheetId="2">minerals!$J$41</definedName>
    <definedName name="uep">database!#REF!</definedName>
    <definedName name="ufa" localSheetId="2">minerals!$J$17</definedName>
    <definedName name="ufa">database!#REF!</definedName>
    <definedName name="ufgl" localSheetId="2">minerals!$J$24</definedName>
    <definedName name="ufgl">database!#REF!</definedName>
    <definedName name="ufo" localSheetId="2">minerals!$J$16</definedName>
    <definedName name="ufo">database!#REF!</definedName>
    <definedName name="ufs" localSheetId="2">minerals!$J$19</definedName>
    <definedName name="ufs">database!#REF!</definedName>
    <definedName name="ugl" localSheetId="2">minerals!$J$23</definedName>
    <definedName name="ugl">database!#REF!</definedName>
    <definedName name="ugrs" localSheetId="2">minerals!$J$14</definedName>
    <definedName name="ugrs">database!#REF!</definedName>
    <definedName name="uhab" localSheetId="2">minerals!$J$8</definedName>
    <definedName name="uhab">database!#REF!</definedName>
    <definedName name="uhb" localSheetId="2">minerals!$J$29</definedName>
    <definedName name="uhb">database!#REF!</definedName>
    <definedName name="uhd" localSheetId="2">minerals!$J$21</definedName>
    <definedName name="uhd">database!#REF!</definedName>
    <definedName name="uHerc" localSheetId="2">minerals!$J$53</definedName>
    <definedName name="uHerc">database!#REF!</definedName>
    <definedName name="ujd" localSheetId="2">minerals!$J$22</definedName>
    <definedName name="ujd">database!#REF!</definedName>
    <definedName name="uky" localSheetId="2">minerals!$J$51</definedName>
    <definedName name="uky">database!#REF!</definedName>
    <definedName name="ulab" localSheetId="2">minerals!$J$9</definedName>
    <definedName name="ulab">database!#REF!</definedName>
    <definedName name="ulaw" localSheetId="2">minerals!$J$42</definedName>
    <definedName name="ulaw">database!#REF!</definedName>
    <definedName name="ulm" localSheetId="2">minerals!$J$45</definedName>
    <definedName name="ulm">database!#REF!</definedName>
    <definedName name="uMagn" localSheetId="2">minerals!$J$54</definedName>
    <definedName name="uMagn">database!#REF!</definedName>
    <definedName name="ums" localSheetId="2">minerals!$J$33</definedName>
    <definedName name="ums">database!#REF!</definedName>
    <definedName name="unaltHzB">#REF!</definedName>
    <definedName name="unaltHzM">#REF!</definedName>
    <definedName name="unaltHzP">#REF!</definedName>
    <definedName name="unaltHzVp">#REF!</definedName>
    <definedName name="uor" localSheetId="2">minerals!#REF!</definedName>
    <definedName name="uor">database!$L$11</definedName>
    <definedName name="uparg" localSheetId="2">minerals!$J$28</definedName>
    <definedName name="uparg">database!#REF!</definedName>
    <definedName name="uphl" localSheetId="2">minerals!$J$31</definedName>
    <definedName name="uphl">database!#REF!</definedName>
    <definedName name="upm" localSheetId="2">minerals!$J$44</definedName>
    <definedName name="upm">database!#REF!</definedName>
    <definedName name="upr" localSheetId="2">minerals!$J$43</definedName>
    <definedName name="upr">database!#REF!</definedName>
    <definedName name="uprp" localSheetId="2">minerals!$J$15</definedName>
    <definedName name="uprp">database!#REF!</definedName>
    <definedName name="uqz" localSheetId="2">minerals!$J$5</definedName>
    <definedName name="uqz">database!#REF!</definedName>
    <definedName name="usan" localSheetId="2">minerals!$J$12</definedName>
    <definedName name="usan">database!#REF!</definedName>
    <definedName name="usil" localSheetId="2">minerals!#REF!</definedName>
    <definedName name="usil">database!$L$53</definedName>
    <definedName name="uSpl" localSheetId="2">minerals!$J$52</definedName>
    <definedName name="uSpl">database!#REF!</definedName>
    <definedName name="usps" localSheetId="2">minerals!#REF!</definedName>
    <definedName name="usps">database!#REF!</definedName>
    <definedName name="uta" localSheetId="2">minerals!$J$35</definedName>
    <definedName name="uta">database!#REF!</definedName>
    <definedName name="utr" localSheetId="2">minerals!$J$25</definedName>
    <definedName name="utr">database!#REF!</definedName>
    <definedName name="uts" localSheetId="2">minerals!$J$27</definedName>
    <definedName name="uts">database!#REF!</definedName>
    <definedName name="uVRH">rocks!#REF!</definedName>
    <definedName name="uwr" localSheetId="2">minerals!$J$46</definedName>
    <definedName name="uwr">database!#REF!</definedName>
    <definedName name="uzo" localSheetId="2">minerals!$J$39</definedName>
    <definedName name="uzo">database!#REF!</definedName>
    <definedName name="vlab" localSheetId="2">minerals!#REF!</definedName>
    <definedName name="vlab">database!#REF!</definedName>
    <definedName name="vol10A" localSheetId="2">minerals!#REF!</definedName>
    <definedName name="vol10A">database!#REF!</definedName>
    <definedName name="volA" localSheetId="2">minerals!#REF!</definedName>
    <definedName name="volA">database!$C$52</definedName>
    <definedName name="volalm" localSheetId="2">minerals!#REF!</definedName>
    <definedName name="volalm">database!$C$13</definedName>
    <definedName name="volan" localSheetId="2">minerals!#REF!</definedName>
    <definedName name="volan">database!$C$10</definedName>
    <definedName name="volann" localSheetId="2">minerals!#REF!</definedName>
    <definedName name="volann">database!$C$35</definedName>
    <definedName name="volanth" localSheetId="2">minerals!#REF!</definedName>
    <definedName name="volanth">database!$C$33</definedName>
    <definedName name="volaqz" localSheetId="2">minerals!#REF!</definedName>
    <definedName name="volaqz">database!$C$5</definedName>
    <definedName name="volar" localSheetId="2">minerals!#REF!</definedName>
    <definedName name="volar">database!$C$64</definedName>
    <definedName name="volatg" localSheetId="2">minerals!#REF!</definedName>
    <definedName name="volatg">database!$C$41</definedName>
    <definedName name="volbqz" localSheetId="2">minerals!#REF!</definedName>
    <definedName name="volbqz">database!$C$6</definedName>
    <definedName name="volbr" localSheetId="2">minerals!#REF!</definedName>
    <definedName name="volbr">database!$C$50</definedName>
    <definedName name="volcc" localSheetId="2">minerals!#REF!</definedName>
    <definedName name="volcc">database!$C$63</definedName>
    <definedName name="volchum" localSheetId="2">minerals!#REF!</definedName>
    <definedName name="volchum">database!$C$51</definedName>
    <definedName name="volclin" localSheetId="2">minerals!#REF!</definedName>
    <definedName name="volclin">database!$C$39</definedName>
    <definedName name="volcoe" localSheetId="2">minerals!#REF!</definedName>
    <definedName name="volcoe">database!$C$7</definedName>
    <definedName name="volczo" localSheetId="2">minerals!#REF!</definedName>
    <definedName name="volczo">database!$C$43</definedName>
    <definedName name="voldaph" localSheetId="2">minerals!#REF!</definedName>
    <definedName name="voldaph">database!$C$40</definedName>
    <definedName name="voldi" localSheetId="2">minerals!#REF!</definedName>
    <definedName name="voldi">database!$C$21</definedName>
    <definedName name="volen" localSheetId="2">minerals!#REF!</definedName>
    <definedName name="volen">database!$C$18</definedName>
    <definedName name="volep" localSheetId="2">minerals!#REF!</definedName>
    <definedName name="volep">database!$C$44</definedName>
    <definedName name="volfa" localSheetId="2">minerals!#REF!</definedName>
    <definedName name="volfa">database!$C$17</definedName>
    <definedName name="volfact" localSheetId="2">minerals!#REF!</definedName>
    <definedName name="volfact">database!$C$29</definedName>
    <definedName name="volfgl" localSheetId="2">minerals!#REF!</definedName>
    <definedName name="volfgl">database!$C$27</definedName>
    <definedName name="volfo" localSheetId="2">minerals!#REF!</definedName>
    <definedName name="volfo">database!$C$16</definedName>
    <definedName name="volfs" localSheetId="2">minerals!#REF!</definedName>
    <definedName name="volfs">database!$C$19</definedName>
    <definedName name="volgl" localSheetId="2">minerals!#REF!</definedName>
    <definedName name="volgl">database!$C$26</definedName>
    <definedName name="volgrs" localSheetId="2">minerals!#REF!</definedName>
    <definedName name="volgrs">database!$C$14</definedName>
    <definedName name="volhab" localSheetId="2">minerals!#REF!</definedName>
    <definedName name="volhab">database!$C$8</definedName>
    <definedName name="volhb" localSheetId="2">minerals!#REF!</definedName>
    <definedName name="volhb">database!$C$32</definedName>
    <definedName name="volhd" localSheetId="2">minerals!#REF!</definedName>
    <definedName name="volhd">database!$C$22</definedName>
    <definedName name="volherc" localSheetId="2">minerals!#REF!</definedName>
    <definedName name="volherc">database!$C$56</definedName>
    <definedName name="voljd" localSheetId="2">minerals!#REF!</definedName>
    <definedName name="voljd">database!$C$23</definedName>
    <definedName name="volky" localSheetId="2">minerals!#REF!</definedName>
    <definedName name="volky">database!$C$54</definedName>
    <definedName name="vollab" localSheetId="2">minerals!#REF!</definedName>
    <definedName name="vollab">database!$C$9</definedName>
    <definedName name="vollaw" localSheetId="2">minerals!#REF!</definedName>
    <definedName name="vollaw">database!$C$45</definedName>
    <definedName name="vollm" localSheetId="2">minerals!#REF!</definedName>
    <definedName name="vollm">database!$C$48</definedName>
    <definedName name="volmagn" localSheetId="2">minerals!#REF!</definedName>
    <definedName name="volmagn">database!$C$57</definedName>
    <definedName name="volms" localSheetId="2">minerals!#REF!</definedName>
    <definedName name="volms">database!$C$36</definedName>
    <definedName name="volor" localSheetId="2">minerals!#REF!</definedName>
    <definedName name="volor">database!$C$11</definedName>
    <definedName name="volparg" localSheetId="2">minerals!#REF!</definedName>
    <definedName name="volparg">database!$C$31</definedName>
    <definedName name="volphl" localSheetId="2">minerals!#REF!</definedName>
    <definedName name="volphl">database!$C$34</definedName>
    <definedName name="volpm" localSheetId="2">minerals!#REF!</definedName>
    <definedName name="volpm">database!$C$47</definedName>
    <definedName name="volpr" localSheetId="2">minerals!#REF!</definedName>
    <definedName name="volpr">database!$C$46</definedName>
    <definedName name="volprp" localSheetId="2">minerals!#REF!</definedName>
    <definedName name="volprp">database!$C$15</definedName>
    <definedName name="volsan" localSheetId="2">minerals!#REF!</definedName>
    <definedName name="volsan">database!$C$12</definedName>
    <definedName name="volsil" localSheetId="2">minerals!#REF!</definedName>
    <definedName name="volsil">database!$C$53</definedName>
    <definedName name="volspl" localSheetId="2">minerals!#REF!</definedName>
    <definedName name="volspl">database!$C$55</definedName>
    <definedName name="volSum">rocks!#REF!</definedName>
    <definedName name="volta" localSheetId="2">minerals!#REF!</definedName>
    <definedName name="volta">database!$C$38</definedName>
    <definedName name="voltr" localSheetId="2">minerals!#REF!</definedName>
    <definedName name="voltr">database!$C$28</definedName>
    <definedName name="volts" localSheetId="2">minerals!#REF!</definedName>
    <definedName name="volts">database!$C$30</definedName>
    <definedName name="volwr" localSheetId="2">minerals!#REF!</definedName>
    <definedName name="volwr">database!$C$49</definedName>
    <definedName name="volzo" localSheetId="2">minerals!#REF!</definedName>
    <definedName name="volzo">database!$C$42</definedName>
    <definedName name="vpReuss">rocks!$74:$74</definedName>
    <definedName name="vpVoigt">rocks!$73:$73</definedName>
    <definedName name="VsReuss">rocks!#REF!</definedName>
    <definedName name="vsVoigt">rocks!#REF!</definedName>
    <definedName name="w10A" localSheetId="2">minerals!#REF!</definedName>
    <definedName name="w10A">database!#REF!</definedName>
    <definedName name="wA" localSheetId="2">minerals!#REF!</definedName>
    <definedName name="wA">database!$E$52</definedName>
    <definedName name="wac" localSheetId="2">minerals!#REF!</definedName>
    <definedName name="wac">database!$E$29</definedName>
    <definedName name="wann" localSheetId="2">minerals!#REF!</definedName>
    <definedName name="wann">database!$E$35</definedName>
    <definedName name="wanth" localSheetId="2">minerals!#REF!</definedName>
    <definedName name="wanth">database!$E$33</definedName>
    <definedName name="watg" localSheetId="2">minerals!#REF!</definedName>
    <definedName name="watg">database!$E$41</definedName>
    <definedName name="wbr" localSheetId="2">minerals!#REF!</definedName>
    <definedName name="wbr">database!$E$50</definedName>
    <definedName name="wchum" localSheetId="2">minerals!#REF!</definedName>
    <definedName name="wchum">database!$E$51</definedName>
    <definedName name="wclin" localSheetId="2">minerals!#REF!</definedName>
    <definedName name="wclin">database!$E$39</definedName>
    <definedName name="wczo" localSheetId="2">minerals!#REF!</definedName>
    <definedName name="wczo">database!$E$43</definedName>
    <definedName name="wdaph" localSheetId="2">minerals!#REF!</definedName>
    <definedName name="wdaph">database!$E$40</definedName>
    <definedName name="wep" localSheetId="2">minerals!#REF!</definedName>
    <definedName name="wep">database!$E$44</definedName>
    <definedName name="wfact" localSheetId="2">minerals!#REF!</definedName>
    <definedName name="wfact">database!$E$29</definedName>
    <definedName name="wfgl" localSheetId="2">minerals!#REF!</definedName>
    <definedName name="wfgl">database!$E$27</definedName>
    <definedName name="wgl" localSheetId="2">minerals!#REF!</definedName>
    <definedName name="wgl">database!$E$26</definedName>
    <definedName name="whb" localSheetId="2">minerals!#REF!</definedName>
    <definedName name="whb">database!$E$32</definedName>
    <definedName name="wlaw" localSheetId="2">minerals!#REF!</definedName>
    <definedName name="wlaw">database!$E$45</definedName>
    <definedName name="wlm" localSheetId="2">minerals!#REF!</definedName>
    <definedName name="wlm">database!$E$48</definedName>
    <definedName name="wms" localSheetId="2">minerals!#REF!</definedName>
    <definedName name="wms">database!$E$36</definedName>
    <definedName name="wparg" localSheetId="2">minerals!#REF!</definedName>
    <definedName name="wparg">database!$E$31</definedName>
    <definedName name="wphl" localSheetId="2">minerals!#REF!</definedName>
    <definedName name="wphl">database!$E$34</definedName>
    <definedName name="wpm" localSheetId="2">minerals!#REF!</definedName>
    <definedName name="wpm">database!$E$47</definedName>
    <definedName name="wpr" localSheetId="2">minerals!#REF!</definedName>
    <definedName name="wpr">database!$E$46</definedName>
    <definedName name="wta" localSheetId="2">minerals!#REF!</definedName>
    <definedName name="wta">database!$E$38</definedName>
    <definedName name="wtr" localSheetId="2">minerals!#REF!</definedName>
    <definedName name="wtr">database!$E$28</definedName>
    <definedName name="wts" localSheetId="2">minerals!#REF!</definedName>
    <definedName name="wts">database!$E$30</definedName>
    <definedName name="wwr" localSheetId="2">minerals!#REF!</definedName>
    <definedName name="wwr">database!$E$49</definedName>
    <definedName name="wzo" localSheetId="2">minerals!#REF!</definedName>
    <definedName name="wzo">database!$E$42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66" i="18" l="1"/>
  <c r="B66" i="18"/>
  <c r="AA66" i="18"/>
  <c r="Z66" i="18"/>
  <c r="Y66" i="18"/>
  <c r="X66" i="18"/>
  <c r="W66" i="18"/>
  <c r="V66" i="18"/>
  <c r="U66" i="18"/>
  <c r="T66" i="18"/>
  <c r="S66" i="18"/>
  <c r="R66" i="18"/>
  <c r="Q66" i="18"/>
  <c r="P66" i="18"/>
  <c r="O66" i="18"/>
  <c r="N66" i="18"/>
  <c r="M66" i="18"/>
  <c r="L66" i="18"/>
  <c r="K66" i="18"/>
  <c r="J66" i="18"/>
  <c r="I66" i="18"/>
  <c r="H66" i="18"/>
  <c r="G66" i="18"/>
  <c r="E66" i="18"/>
  <c r="D66" i="18"/>
  <c r="AI3" i="3"/>
  <c r="AJ3" i="3"/>
  <c r="AK3" i="3"/>
  <c r="AL3" i="3"/>
  <c r="AM3" i="3"/>
  <c r="AN3" i="3"/>
  <c r="AO3" i="3"/>
  <c r="AP3" i="3"/>
  <c r="AQ3" i="3"/>
  <c r="AH3" i="3"/>
  <c r="A3" i="3"/>
  <c r="I16" i="45"/>
  <c r="I17" i="45"/>
  <c r="I21" i="45"/>
  <c r="I22" i="45"/>
  <c r="E66" i="45"/>
  <c r="F66" i="45"/>
  <c r="G66" i="45"/>
  <c r="H66" i="45"/>
  <c r="I66" i="45"/>
  <c r="J66" i="45"/>
  <c r="K66" i="45"/>
  <c r="L66" i="45"/>
  <c r="M66" i="45"/>
  <c r="N66" i="45"/>
  <c r="O66" i="45"/>
  <c r="P66" i="45"/>
  <c r="Q66" i="45"/>
  <c r="R66" i="45"/>
  <c r="S66" i="45"/>
  <c r="T66" i="45"/>
  <c r="U66" i="45"/>
  <c r="V66" i="45"/>
  <c r="W66" i="45"/>
  <c r="X66" i="45"/>
  <c r="Y66" i="45"/>
  <c r="Z66" i="45"/>
  <c r="AA66" i="45"/>
  <c r="AB66" i="45"/>
  <c r="AC66" i="45"/>
  <c r="AD66" i="45"/>
  <c r="V3" i="3"/>
  <c r="AS5" i="3"/>
  <c r="AT5" i="3"/>
  <c r="AU5" i="3"/>
  <c r="AV5" i="3"/>
  <c r="AW5" i="3"/>
  <c r="AX5" i="3"/>
  <c r="AY5" i="3"/>
  <c r="AZ5" i="3"/>
  <c r="BA5" i="3"/>
  <c r="BB5" i="3"/>
  <c r="BC5" i="3"/>
  <c r="AS6" i="3"/>
  <c r="AT6" i="3"/>
  <c r="AU6" i="3"/>
  <c r="AV6" i="3"/>
  <c r="AW6" i="3"/>
  <c r="AX6" i="3"/>
  <c r="AY6" i="3"/>
  <c r="AZ6" i="3"/>
  <c r="BA6" i="3"/>
  <c r="BB6" i="3"/>
  <c r="BC6" i="3"/>
  <c r="T7" i="3"/>
  <c r="N7" i="3" s="1"/>
  <c r="P7" i="3"/>
  <c r="AS7" i="3"/>
  <c r="AT7" i="3"/>
  <c r="AU7" i="3"/>
  <c r="AV7" i="3"/>
  <c r="AW7" i="3"/>
  <c r="AX7" i="3"/>
  <c r="AY7" i="3"/>
  <c r="AZ7" i="3"/>
  <c r="BA7" i="3"/>
  <c r="BB7" i="3"/>
  <c r="BC7" i="3"/>
  <c r="H8" i="3"/>
  <c r="L8" i="3"/>
  <c r="N8" i="3"/>
  <c r="T8" i="3"/>
  <c r="AS8" i="3"/>
  <c r="AT8" i="3"/>
  <c r="AU8" i="3"/>
  <c r="BD8" i="3" s="1"/>
  <c r="AV8" i="3"/>
  <c r="AW8" i="3"/>
  <c r="AX8" i="3"/>
  <c r="AY8" i="3"/>
  <c r="AZ8" i="3"/>
  <c r="BA8" i="3"/>
  <c r="BB8" i="3"/>
  <c r="BC8" i="3"/>
  <c r="P9" i="3"/>
  <c r="T9" i="3"/>
  <c r="AS9" i="3"/>
  <c r="AT9" i="3"/>
  <c r="AU9" i="3"/>
  <c r="AV9" i="3"/>
  <c r="AW9" i="3"/>
  <c r="AX9" i="3"/>
  <c r="AY9" i="3"/>
  <c r="AZ9" i="3"/>
  <c r="BA9" i="3"/>
  <c r="BB9" i="3"/>
  <c r="BC9" i="3"/>
  <c r="H10" i="3"/>
  <c r="T10" i="3"/>
  <c r="AS10" i="3"/>
  <c r="AT10" i="3"/>
  <c r="AU10" i="3"/>
  <c r="AV10" i="3"/>
  <c r="AW10" i="3"/>
  <c r="AX10" i="3"/>
  <c r="AY10" i="3"/>
  <c r="AZ10" i="3"/>
  <c r="BA10" i="3"/>
  <c r="BB10" i="3"/>
  <c r="BC10" i="3"/>
  <c r="H11" i="3"/>
  <c r="T11" i="3"/>
  <c r="N11" i="3"/>
  <c r="AS11" i="3"/>
  <c r="BD11" i="3" s="1"/>
  <c r="AT11" i="3"/>
  <c r="AU11" i="3"/>
  <c r="AV11" i="3"/>
  <c r="AW11" i="3"/>
  <c r="AX11" i="3"/>
  <c r="AY11" i="3"/>
  <c r="AZ11" i="3"/>
  <c r="BA11" i="3"/>
  <c r="BB11" i="3"/>
  <c r="BC11" i="3"/>
  <c r="T12" i="3"/>
  <c r="N12" i="3"/>
  <c r="AS12" i="3"/>
  <c r="AT12" i="3"/>
  <c r="AU12" i="3"/>
  <c r="AV12" i="3"/>
  <c r="AW12" i="3"/>
  <c r="AX12" i="3"/>
  <c r="AY12" i="3"/>
  <c r="AZ12" i="3"/>
  <c r="BA12" i="3"/>
  <c r="BB12" i="3"/>
  <c r="BC12" i="3"/>
  <c r="N13" i="3"/>
  <c r="AS13" i="3"/>
  <c r="AT13" i="3"/>
  <c r="AU13" i="3"/>
  <c r="AV13" i="3"/>
  <c r="AW13" i="3"/>
  <c r="AX13" i="3"/>
  <c r="BD13" i="3" s="1"/>
  <c r="AY13" i="3"/>
  <c r="AZ13" i="3"/>
  <c r="BA13" i="3"/>
  <c r="BB13" i="3"/>
  <c r="BC13" i="3"/>
  <c r="AS14" i="3"/>
  <c r="BD14" i="3" s="1"/>
  <c r="AT14" i="3"/>
  <c r="AU14" i="3"/>
  <c r="AV14" i="3"/>
  <c r="AW14" i="3"/>
  <c r="AX14" i="3"/>
  <c r="AY14" i="3"/>
  <c r="AZ14" i="3"/>
  <c r="BA14" i="3"/>
  <c r="BB14" i="3"/>
  <c r="BC14" i="3"/>
  <c r="AS15" i="3"/>
  <c r="BD15" i="3" s="1"/>
  <c r="AT15" i="3"/>
  <c r="AU15" i="3"/>
  <c r="AV15" i="3"/>
  <c r="AW15" i="3"/>
  <c r="AX15" i="3"/>
  <c r="AY15" i="3"/>
  <c r="AZ15" i="3"/>
  <c r="BA15" i="3"/>
  <c r="BB15" i="3"/>
  <c r="BC15" i="3"/>
  <c r="AS16" i="3"/>
  <c r="AT16" i="3"/>
  <c r="AU16" i="3"/>
  <c r="AV16" i="3"/>
  <c r="AW16" i="3"/>
  <c r="AX16" i="3"/>
  <c r="AY16" i="3"/>
  <c r="AZ16" i="3"/>
  <c r="BA16" i="3"/>
  <c r="BB16" i="3"/>
  <c r="BC16" i="3"/>
  <c r="AS17" i="3"/>
  <c r="AT17" i="3"/>
  <c r="AU17" i="3"/>
  <c r="AV17" i="3"/>
  <c r="AW17" i="3"/>
  <c r="AX17" i="3"/>
  <c r="AY17" i="3"/>
  <c r="AZ17" i="3"/>
  <c r="BA17" i="3"/>
  <c r="BB17" i="3"/>
  <c r="BC17" i="3"/>
  <c r="BD17" i="3"/>
  <c r="AO17" i="3" s="1"/>
  <c r="H18" i="3"/>
  <c r="T18" i="3"/>
  <c r="N18" i="3"/>
  <c r="AS18" i="3"/>
  <c r="AT18" i="3"/>
  <c r="BD18" i="3" s="1"/>
  <c r="AU18" i="3"/>
  <c r="AV18" i="3"/>
  <c r="AW18" i="3"/>
  <c r="AX18" i="3"/>
  <c r="AY18" i="3"/>
  <c r="AZ18" i="3"/>
  <c r="BA18" i="3"/>
  <c r="BB18" i="3"/>
  <c r="BC18" i="3"/>
  <c r="H19" i="3"/>
  <c r="J19" i="3"/>
  <c r="T19" i="3"/>
  <c r="N19" i="3"/>
  <c r="P19" i="3"/>
  <c r="P20" i="3" s="1"/>
  <c r="P25" i="3" s="1"/>
  <c r="AS19" i="3"/>
  <c r="AT19" i="3"/>
  <c r="AU19" i="3"/>
  <c r="AV19" i="3"/>
  <c r="AW19" i="3"/>
  <c r="AX19" i="3"/>
  <c r="AY19" i="3"/>
  <c r="BD19" i="3" s="1"/>
  <c r="AZ19" i="3"/>
  <c r="BA19" i="3"/>
  <c r="BB19" i="3"/>
  <c r="BC19" i="3"/>
  <c r="H20" i="3"/>
  <c r="J20" i="3"/>
  <c r="T20" i="3"/>
  <c r="N20" i="3" s="1"/>
  <c r="L20" i="3"/>
  <c r="R20" i="3"/>
  <c r="AS20" i="3"/>
  <c r="AT20" i="3"/>
  <c r="BD20" i="3" s="1"/>
  <c r="AU20" i="3"/>
  <c r="AV20" i="3"/>
  <c r="AW20" i="3"/>
  <c r="AX20" i="3"/>
  <c r="AY20" i="3"/>
  <c r="AZ20" i="3"/>
  <c r="BA20" i="3"/>
  <c r="BB20" i="3"/>
  <c r="BC20" i="3"/>
  <c r="P21" i="3"/>
  <c r="AS21" i="3"/>
  <c r="BD21" i="3" s="1"/>
  <c r="AT21" i="3"/>
  <c r="AU21" i="3"/>
  <c r="AV21" i="3"/>
  <c r="AW21" i="3"/>
  <c r="AX21" i="3"/>
  <c r="AY21" i="3"/>
  <c r="AZ21" i="3"/>
  <c r="BA21" i="3"/>
  <c r="BB21" i="3"/>
  <c r="BC21" i="3"/>
  <c r="J22" i="3"/>
  <c r="T22" i="3"/>
  <c r="N22" i="3" s="1"/>
  <c r="P22" i="3"/>
  <c r="AS22" i="3"/>
  <c r="AT22" i="3"/>
  <c r="AU22" i="3"/>
  <c r="AV22" i="3"/>
  <c r="AW22" i="3"/>
  <c r="AX22" i="3"/>
  <c r="AY22" i="3"/>
  <c r="AZ22" i="3"/>
  <c r="BA22" i="3"/>
  <c r="BB22" i="3"/>
  <c r="BC22" i="3"/>
  <c r="T23" i="3"/>
  <c r="N23" i="3"/>
  <c r="P23" i="3"/>
  <c r="AS23" i="3"/>
  <c r="AT23" i="3"/>
  <c r="AU23" i="3"/>
  <c r="AV23" i="3"/>
  <c r="AW23" i="3"/>
  <c r="AX23" i="3"/>
  <c r="AY23" i="3"/>
  <c r="BD23" i="3" s="1"/>
  <c r="AZ23" i="3"/>
  <c r="BA23" i="3"/>
  <c r="BB23" i="3"/>
  <c r="BC23" i="3"/>
  <c r="T24" i="3"/>
  <c r="N24" i="3"/>
  <c r="AS24" i="3"/>
  <c r="AT24" i="3"/>
  <c r="BD24" i="3" s="1"/>
  <c r="AU24" i="3"/>
  <c r="AV24" i="3"/>
  <c r="AW24" i="3"/>
  <c r="AX24" i="3"/>
  <c r="AY24" i="3"/>
  <c r="AZ24" i="3"/>
  <c r="BA24" i="3"/>
  <c r="BB24" i="3"/>
  <c r="BC24" i="3"/>
  <c r="H25" i="3"/>
  <c r="L25" i="3"/>
  <c r="R25" i="3"/>
  <c r="T25" i="3"/>
  <c r="N25" i="3"/>
  <c r="AS25" i="3"/>
  <c r="BD25" i="3" s="1"/>
  <c r="AT25" i="3"/>
  <c r="AU25" i="3"/>
  <c r="AV25" i="3"/>
  <c r="AW25" i="3"/>
  <c r="AX25" i="3"/>
  <c r="AY25" i="3"/>
  <c r="AZ25" i="3"/>
  <c r="BA25" i="3"/>
  <c r="BB25" i="3"/>
  <c r="BC25" i="3"/>
  <c r="T26" i="3"/>
  <c r="N26" i="3"/>
  <c r="P26" i="3"/>
  <c r="AS26" i="3"/>
  <c r="AT26" i="3"/>
  <c r="AU26" i="3"/>
  <c r="AV26" i="3"/>
  <c r="AW26" i="3"/>
  <c r="AX26" i="3"/>
  <c r="AY26" i="3"/>
  <c r="AZ26" i="3"/>
  <c r="BA26" i="3"/>
  <c r="BB26" i="3"/>
  <c r="BC26" i="3"/>
  <c r="H32" i="3"/>
  <c r="L29" i="3" s="1"/>
  <c r="P29" i="3" s="1"/>
  <c r="T27" i="3"/>
  <c r="N27" i="3"/>
  <c r="AS27" i="3"/>
  <c r="AT27" i="3"/>
  <c r="BD27" i="3" s="1"/>
  <c r="AU27" i="3"/>
  <c r="AV27" i="3"/>
  <c r="AW27" i="3"/>
  <c r="AX27" i="3"/>
  <c r="AY27" i="3"/>
  <c r="AZ27" i="3"/>
  <c r="BA27" i="3"/>
  <c r="BB27" i="3"/>
  <c r="BC27" i="3"/>
  <c r="T28" i="3"/>
  <c r="N28" i="3"/>
  <c r="AS28" i="3"/>
  <c r="AT28" i="3"/>
  <c r="AU28" i="3"/>
  <c r="AV28" i="3"/>
  <c r="AW28" i="3"/>
  <c r="AX28" i="3"/>
  <c r="AY28" i="3"/>
  <c r="AZ28" i="3"/>
  <c r="BA28" i="3"/>
  <c r="BB28" i="3"/>
  <c r="BC28" i="3"/>
  <c r="T29" i="3"/>
  <c r="N29" i="3"/>
  <c r="N32" i="3" s="1"/>
  <c r="AS29" i="3"/>
  <c r="AT29" i="3"/>
  <c r="BD29" i="3" s="1"/>
  <c r="AU29" i="3"/>
  <c r="AV29" i="3"/>
  <c r="AW29" i="3"/>
  <c r="AX29" i="3"/>
  <c r="AY29" i="3"/>
  <c r="AZ29" i="3"/>
  <c r="BA29" i="3"/>
  <c r="BB29" i="3"/>
  <c r="BC29" i="3"/>
  <c r="T30" i="3"/>
  <c r="N30" i="3"/>
  <c r="AS30" i="3"/>
  <c r="AT30" i="3"/>
  <c r="AU30" i="3"/>
  <c r="AV30" i="3"/>
  <c r="AW30" i="3"/>
  <c r="AX30" i="3"/>
  <c r="AY30" i="3"/>
  <c r="AZ30" i="3"/>
  <c r="BA30" i="3"/>
  <c r="BB30" i="3"/>
  <c r="BC30" i="3"/>
  <c r="T31" i="3"/>
  <c r="N31" i="3" s="1"/>
  <c r="AS31" i="3"/>
  <c r="AT31" i="3"/>
  <c r="AU31" i="3"/>
  <c r="AV31" i="3"/>
  <c r="AW31" i="3"/>
  <c r="AX31" i="3"/>
  <c r="AY31" i="3"/>
  <c r="BD31" i="3" s="1"/>
  <c r="AZ31" i="3"/>
  <c r="BA31" i="3"/>
  <c r="BB31" i="3"/>
  <c r="BC31" i="3"/>
  <c r="B32" i="3"/>
  <c r="C32" i="3"/>
  <c r="D32" i="3"/>
  <c r="E32" i="3"/>
  <c r="J32" i="3"/>
  <c r="R32" i="3"/>
  <c r="AS32" i="3"/>
  <c r="AT32" i="3"/>
  <c r="AU32" i="3"/>
  <c r="AV32" i="3"/>
  <c r="AW32" i="3"/>
  <c r="AX32" i="3"/>
  <c r="AY32" i="3"/>
  <c r="AZ32" i="3"/>
  <c r="BA32" i="3"/>
  <c r="BB32" i="3"/>
  <c r="BC32" i="3"/>
  <c r="L33" i="3"/>
  <c r="P33" i="3" s="1"/>
  <c r="T33" i="3"/>
  <c r="N33" i="3" s="1"/>
  <c r="AS33" i="3"/>
  <c r="AT33" i="3"/>
  <c r="AU33" i="3"/>
  <c r="AV33" i="3"/>
  <c r="BD33" i="3" s="1"/>
  <c r="AW33" i="3"/>
  <c r="AX33" i="3"/>
  <c r="AY33" i="3"/>
  <c r="AZ33" i="3"/>
  <c r="BA33" i="3"/>
  <c r="BB33" i="3"/>
  <c r="BC33" i="3"/>
  <c r="L34" i="3"/>
  <c r="P34" i="3"/>
  <c r="T34" i="3"/>
  <c r="N34" i="3" s="1"/>
  <c r="AS34" i="3"/>
  <c r="AT34" i="3"/>
  <c r="AU34" i="3"/>
  <c r="AV34" i="3"/>
  <c r="AW34" i="3"/>
  <c r="AX34" i="3"/>
  <c r="AY34" i="3"/>
  <c r="AZ34" i="3"/>
  <c r="BA34" i="3"/>
  <c r="BB34" i="3"/>
  <c r="BC34" i="3"/>
  <c r="H35" i="3"/>
  <c r="J35" i="3"/>
  <c r="T35" i="3" s="1"/>
  <c r="N35" i="3" s="1"/>
  <c r="L35" i="3"/>
  <c r="P35" i="3" s="1"/>
  <c r="AS35" i="3"/>
  <c r="AT35" i="3"/>
  <c r="AU35" i="3"/>
  <c r="AV35" i="3"/>
  <c r="AW35" i="3"/>
  <c r="AX35" i="3"/>
  <c r="AY35" i="3"/>
  <c r="AZ35" i="3"/>
  <c r="BA35" i="3"/>
  <c r="BB35" i="3"/>
  <c r="BC35" i="3"/>
  <c r="T36" i="3"/>
  <c r="N36" i="3"/>
  <c r="P36" i="3"/>
  <c r="AS36" i="3"/>
  <c r="AT36" i="3"/>
  <c r="AU36" i="3"/>
  <c r="AV36" i="3"/>
  <c r="AW36" i="3"/>
  <c r="BD36" i="3" s="1"/>
  <c r="AX36" i="3"/>
  <c r="AY36" i="3"/>
  <c r="AZ36" i="3"/>
  <c r="BA36" i="3"/>
  <c r="BB36" i="3"/>
  <c r="BC36" i="3"/>
  <c r="L37" i="3"/>
  <c r="P37" i="3" s="1"/>
  <c r="AS37" i="3"/>
  <c r="AT37" i="3"/>
  <c r="AU37" i="3"/>
  <c r="AV37" i="3"/>
  <c r="AW37" i="3"/>
  <c r="AX37" i="3"/>
  <c r="AY37" i="3"/>
  <c r="AZ37" i="3"/>
  <c r="BA37" i="3"/>
  <c r="BB37" i="3"/>
  <c r="BC37" i="3"/>
  <c r="T38" i="3"/>
  <c r="N38" i="3" s="1"/>
  <c r="AS38" i="3"/>
  <c r="AT38" i="3"/>
  <c r="AU38" i="3"/>
  <c r="AV38" i="3"/>
  <c r="AW38" i="3"/>
  <c r="AX38" i="3"/>
  <c r="AY38" i="3"/>
  <c r="AZ38" i="3"/>
  <c r="BA38" i="3"/>
  <c r="BB38" i="3"/>
  <c r="BC38" i="3"/>
  <c r="T39" i="3"/>
  <c r="N39" i="3" s="1"/>
  <c r="P39" i="3"/>
  <c r="AS39" i="3"/>
  <c r="AT39" i="3"/>
  <c r="AU39" i="3"/>
  <c r="BD39" i="3" s="1"/>
  <c r="AV39" i="3"/>
  <c r="AW39" i="3"/>
  <c r="AX39" i="3"/>
  <c r="AY39" i="3"/>
  <c r="AZ39" i="3"/>
  <c r="BA39" i="3"/>
  <c r="BB39" i="3"/>
  <c r="BC39" i="3"/>
  <c r="H40" i="3"/>
  <c r="P40" i="3" s="1"/>
  <c r="L40" i="3"/>
  <c r="T40" i="3"/>
  <c r="N40" i="3" s="1"/>
  <c r="AS40" i="3"/>
  <c r="AT40" i="3"/>
  <c r="AU40" i="3"/>
  <c r="AV40" i="3"/>
  <c r="AW40" i="3"/>
  <c r="AX40" i="3"/>
  <c r="AY40" i="3"/>
  <c r="AZ40" i="3"/>
  <c r="BA40" i="3"/>
  <c r="BB40" i="3"/>
  <c r="BD40" i="3" s="1"/>
  <c r="BC40" i="3"/>
  <c r="T41" i="3"/>
  <c r="N41" i="3" s="1"/>
  <c r="P41" i="3"/>
  <c r="AS41" i="3"/>
  <c r="AT41" i="3"/>
  <c r="AU41" i="3"/>
  <c r="AV41" i="3"/>
  <c r="AW41" i="3"/>
  <c r="AX41" i="3"/>
  <c r="AY41" i="3"/>
  <c r="AZ41" i="3"/>
  <c r="BA41" i="3"/>
  <c r="BB41" i="3"/>
  <c r="BC41" i="3"/>
  <c r="T42" i="3"/>
  <c r="T43" i="3" s="1"/>
  <c r="N43" i="3" s="1"/>
  <c r="N42" i="3"/>
  <c r="P42" i="3"/>
  <c r="AS42" i="3"/>
  <c r="BD42" i="3" s="1"/>
  <c r="AT42" i="3"/>
  <c r="AU42" i="3"/>
  <c r="AV42" i="3"/>
  <c r="AW42" i="3"/>
  <c r="AX42" i="3"/>
  <c r="AY42" i="3"/>
  <c r="AZ42" i="3"/>
  <c r="BA42" i="3"/>
  <c r="BB42" i="3"/>
  <c r="BC42" i="3"/>
  <c r="H43" i="3"/>
  <c r="P43" i="3" s="1"/>
  <c r="J43" i="3"/>
  <c r="L43" i="3"/>
  <c r="R43" i="3"/>
  <c r="AS43" i="3"/>
  <c r="BD43" i="3" s="1"/>
  <c r="AT43" i="3"/>
  <c r="AU43" i="3"/>
  <c r="AV43" i="3"/>
  <c r="AW43" i="3"/>
  <c r="AX43" i="3"/>
  <c r="AY43" i="3"/>
  <c r="AZ43" i="3"/>
  <c r="BA43" i="3"/>
  <c r="BB43" i="3"/>
  <c r="BC43" i="3"/>
  <c r="T44" i="3"/>
  <c r="N44" i="3" s="1"/>
  <c r="P44" i="3"/>
  <c r="AS44" i="3"/>
  <c r="BD44" i="3" s="1"/>
  <c r="AT44" i="3"/>
  <c r="AU44" i="3"/>
  <c r="AV44" i="3"/>
  <c r="AW44" i="3"/>
  <c r="AX44" i="3"/>
  <c r="AY44" i="3"/>
  <c r="AZ44" i="3"/>
  <c r="BA44" i="3"/>
  <c r="BB44" i="3"/>
  <c r="BC44" i="3"/>
  <c r="T45" i="3"/>
  <c r="N45" i="3" s="1"/>
  <c r="P45" i="3"/>
  <c r="AS45" i="3"/>
  <c r="BD45" i="3" s="1"/>
  <c r="AT45" i="3"/>
  <c r="AU45" i="3"/>
  <c r="AV45" i="3"/>
  <c r="AW45" i="3"/>
  <c r="AX45" i="3"/>
  <c r="AY45" i="3"/>
  <c r="AZ45" i="3"/>
  <c r="BA45" i="3"/>
  <c r="BB45" i="3"/>
  <c r="BC45" i="3"/>
  <c r="L46" i="3"/>
  <c r="P46" i="3" s="1"/>
  <c r="T46" i="3"/>
  <c r="N46" i="3"/>
  <c r="AS46" i="3"/>
  <c r="AT46" i="3"/>
  <c r="AU46" i="3"/>
  <c r="AV46" i="3"/>
  <c r="AW46" i="3"/>
  <c r="AX46" i="3"/>
  <c r="AY46" i="3"/>
  <c r="AZ46" i="3"/>
  <c r="BA46" i="3"/>
  <c r="BB46" i="3"/>
  <c r="BC46" i="3"/>
  <c r="T47" i="3"/>
  <c r="N47" i="3"/>
  <c r="AS47" i="3"/>
  <c r="BD47" i="3" s="1"/>
  <c r="AT47" i="3"/>
  <c r="AU47" i="3"/>
  <c r="AV47" i="3"/>
  <c r="AW47" i="3"/>
  <c r="AX47" i="3"/>
  <c r="AY47" i="3"/>
  <c r="AZ47" i="3"/>
  <c r="BA47" i="3"/>
  <c r="BB47" i="3"/>
  <c r="BC47" i="3"/>
  <c r="H48" i="3"/>
  <c r="J48" i="3"/>
  <c r="L49" i="3"/>
  <c r="L48" i="3" s="1"/>
  <c r="T49" i="3"/>
  <c r="T48" i="3"/>
  <c r="N49" i="3"/>
  <c r="N48" i="3"/>
  <c r="R48" i="3"/>
  <c r="AS48" i="3"/>
  <c r="AT48" i="3"/>
  <c r="AU48" i="3"/>
  <c r="AV48" i="3"/>
  <c r="AW48" i="3"/>
  <c r="AX48" i="3"/>
  <c r="BD48" i="3" s="1"/>
  <c r="AY48" i="3"/>
  <c r="AZ48" i="3"/>
  <c r="BA48" i="3"/>
  <c r="BB48" i="3"/>
  <c r="BC48" i="3"/>
  <c r="AS49" i="3"/>
  <c r="AT49" i="3"/>
  <c r="AU49" i="3"/>
  <c r="BD49" i="3" s="1"/>
  <c r="AV49" i="3"/>
  <c r="AW49" i="3"/>
  <c r="AX49" i="3"/>
  <c r="AY49" i="3"/>
  <c r="AZ49" i="3"/>
  <c r="BA49" i="3"/>
  <c r="BB49" i="3"/>
  <c r="BC49" i="3"/>
  <c r="N50" i="3"/>
  <c r="AS50" i="3"/>
  <c r="BD50" i="3" s="1"/>
  <c r="AT50" i="3"/>
  <c r="AU50" i="3"/>
  <c r="AV50" i="3"/>
  <c r="AW50" i="3"/>
  <c r="AX50" i="3"/>
  <c r="AY50" i="3"/>
  <c r="AZ50" i="3"/>
  <c r="BA50" i="3"/>
  <c r="BB50" i="3"/>
  <c r="BC50" i="3"/>
  <c r="H51" i="3"/>
  <c r="P51" i="3"/>
  <c r="T51" i="3"/>
  <c r="N51" i="3" s="1"/>
  <c r="AS51" i="3"/>
  <c r="AT51" i="3"/>
  <c r="AU51" i="3"/>
  <c r="AV51" i="3"/>
  <c r="AW51" i="3"/>
  <c r="AX51" i="3"/>
  <c r="BD51" i="3" s="1"/>
  <c r="AY51" i="3"/>
  <c r="AZ51" i="3"/>
  <c r="BA51" i="3"/>
  <c r="BB51" i="3"/>
  <c r="BC51" i="3"/>
  <c r="H52" i="3"/>
  <c r="T52" i="3"/>
  <c r="N52" i="3" s="1"/>
  <c r="AS52" i="3"/>
  <c r="AT52" i="3"/>
  <c r="AU52" i="3"/>
  <c r="AV52" i="3"/>
  <c r="BD52" i="3" s="1"/>
  <c r="AW52" i="3"/>
  <c r="AX52" i="3"/>
  <c r="AY52" i="3"/>
  <c r="AZ52" i="3"/>
  <c r="BA52" i="3"/>
  <c r="BB52" i="3"/>
  <c r="BC52" i="3"/>
  <c r="H53" i="3"/>
  <c r="T53" i="3"/>
  <c r="N53" i="3"/>
  <c r="P53" i="3"/>
  <c r="AS53" i="3"/>
  <c r="AT53" i="3"/>
  <c r="AU53" i="3"/>
  <c r="AV53" i="3"/>
  <c r="AW53" i="3"/>
  <c r="BD53" i="3" s="1"/>
  <c r="AX53" i="3"/>
  <c r="AY53" i="3"/>
  <c r="AZ53" i="3"/>
  <c r="BA53" i="3"/>
  <c r="BB53" i="3"/>
  <c r="BC53" i="3"/>
  <c r="L54" i="3"/>
  <c r="P54" i="3"/>
  <c r="T54" i="3"/>
  <c r="N54" i="3" s="1"/>
  <c r="AS54" i="3"/>
  <c r="BD54" i="3" s="1"/>
  <c r="AT54" i="3"/>
  <c r="AU54" i="3"/>
  <c r="AV54" i="3"/>
  <c r="AW54" i="3"/>
  <c r="AX54" i="3"/>
  <c r="AY54" i="3"/>
  <c r="AZ54" i="3"/>
  <c r="BA54" i="3"/>
  <c r="BB54" i="3"/>
  <c r="BC54" i="3"/>
  <c r="P55" i="3"/>
  <c r="AS55" i="3"/>
  <c r="AT55" i="3"/>
  <c r="AU55" i="3"/>
  <c r="AV55" i="3"/>
  <c r="AW55" i="3"/>
  <c r="AX55" i="3"/>
  <c r="AY55" i="3"/>
  <c r="AZ55" i="3"/>
  <c r="BA55" i="3"/>
  <c r="BB55" i="3"/>
  <c r="BC55" i="3"/>
  <c r="H56" i="3"/>
  <c r="P56" i="3" s="1"/>
  <c r="T56" i="3"/>
  <c r="N56" i="3"/>
  <c r="AS56" i="3"/>
  <c r="AT56" i="3"/>
  <c r="AU56" i="3"/>
  <c r="AV56" i="3"/>
  <c r="AW56" i="3"/>
  <c r="AX56" i="3"/>
  <c r="AY56" i="3"/>
  <c r="AZ56" i="3"/>
  <c r="BA56" i="3"/>
  <c r="BB56" i="3"/>
  <c r="BC56" i="3"/>
  <c r="P57" i="3"/>
  <c r="T57" i="3"/>
  <c r="AS57" i="3"/>
  <c r="AT57" i="3"/>
  <c r="BD57" i="3" s="1"/>
  <c r="AU57" i="3"/>
  <c r="AV57" i="3"/>
  <c r="AW57" i="3"/>
  <c r="AX57" i="3"/>
  <c r="AY57" i="3"/>
  <c r="AZ57" i="3"/>
  <c r="BA57" i="3"/>
  <c r="BB57" i="3"/>
  <c r="BC57" i="3"/>
  <c r="T58" i="3"/>
  <c r="N58" i="3" s="1"/>
  <c r="AS58" i="3"/>
  <c r="AT58" i="3"/>
  <c r="AU58" i="3"/>
  <c r="AV58" i="3"/>
  <c r="AW58" i="3"/>
  <c r="AX58" i="3"/>
  <c r="AY58" i="3"/>
  <c r="AZ58" i="3"/>
  <c r="BA58" i="3"/>
  <c r="BB58" i="3"/>
  <c r="BC58" i="3"/>
  <c r="H59" i="3"/>
  <c r="T59" i="3"/>
  <c r="N59" i="3"/>
  <c r="P59" i="3"/>
  <c r="AS59" i="3"/>
  <c r="BD59" i="3" s="1"/>
  <c r="AT59" i="3"/>
  <c r="AU59" i="3"/>
  <c r="AV59" i="3"/>
  <c r="AW59" i="3"/>
  <c r="AX59" i="3"/>
  <c r="AY59" i="3"/>
  <c r="AZ59" i="3"/>
  <c r="BA59" i="3"/>
  <c r="BB59" i="3"/>
  <c r="BC59" i="3"/>
  <c r="H60" i="3"/>
  <c r="P60" i="3"/>
  <c r="T60" i="3"/>
  <c r="N60" i="3"/>
  <c r="AS60" i="3"/>
  <c r="BD60" i="3" s="1"/>
  <c r="AT60" i="3"/>
  <c r="AU60" i="3"/>
  <c r="AV60" i="3"/>
  <c r="AW60" i="3"/>
  <c r="AX60" i="3"/>
  <c r="AY60" i="3"/>
  <c r="AZ60" i="3"/>
  <c r="BA60" i="3"/>
  <c r="BB60" i="3"/>
  <c r="BC60" i="3"/>
  <c r="H61" i="3"/>
  <c r="P61" i="3"/>
  <c r="T61" i="3"/>
  <c r="N61" i="3"/>
  <c r="AS61" i="3"/>
  <c r="BD61" i="3" s="1"/>
  <c r="AT61" i="3"/>
  <c r="AU61" i="3"/>
  <c r="AV61" i="3"/>
  <c r="AW61" i="3"/>
  <c r="AX61" i="3"/>
  <c r="AY61" i="3"/>
  <c r="AZ61" i="3"/>
  <c r="BA61" i="3"/>
  <c r="BB61" i="3"/>
  <c r="BC61" i="3"/>
  <c r="H62" i="3"/>
  <c r="T62" i="3"/>
  <c r="N62" i="3"/>
  <c r="P62" i="3"/>
  <c r="AS62" i="3"/>
  <c r="BD62" i="3" s="1"/>
  <c r="AT62" i="3"/>
  <c r="AU62" i="3"/>
  <c r="AV62" i="3"/>
  <c r="AW62" i="3"/>
  <c r="AX62" i="3"/>
  <c r="AY62" i="3"/>
  <c r="AZ62" i="3"/>
  <c r="BA62" i="3"/>
  <c r="BB62" i="3"/>
  <c r="BC62" i="3"/>
  <c r="T63" i="3"/>
  <c r="N63" i="3"/>
  <c r="P63" i="3"/>
  <c r="AS63" i="3"/>
  <c r="BD63" i="3" s="1"/>
  <c r="AT63" i="3"/>
  <c r="AU63" i="3"/>
  <c r="AV63" i="3"/>
  <c r="AW63" i="3"/>
  <c r="AX63" i="3"/>
  <c r="AY63" i="3"/>
  <c r="AZ63" i="3"/>
  <c r="BA63" i="3"/>
  <c r="BB63" i="3"/>
  <c r="BC63" i="3"/>
  <c r="H64" i="3"/>
  <c r="P64" i="3" s="1"/>
  <c r="T64" i="3"/>
  <c r="N64" i="3"/>
  <c r="AS64" i="3"/>
  <c r="BD64" i="3" s="1"/>
  <c r="AT64" i="3"/>
  <c r="AU64" i="3"/>
  <c r="AV64" i="3"/>
  <c r="AW64" i="3"/>
  <c r="AX64" i="3"/>
  <c r="AY64" i="3"/>
  <c r="AZ64" i="3"/>
  <c r="BA64" i="3"/>
  <c r="BB64" i="3"/>
  <c r="BC64" i="3"/>
  <c r="N65" i="3"/>
  <c r="P65" i="3"/>
  <c r="AS65" i="3"/>
  <c r="BD65" i="3" s="1"/>
  <c r="AT65" i="3"/>
  <c r="AU65" i="3"/>
  <c r="AV65" i="3"/>
  <c r="AW65" i="3"/>
  <c r="AX65" i="3"/>
  <c r="AY65" i="3"/>
  <c r="AZ65" i="3"/>
  <c r="BA65" i="3"/>
  <c r="BB65" i="3"/>
  <c r="BC65" i="3"/>
  <c r="BD22" i="3"/>
  <c r="BD16" i="3"/>
  <c r="F66" i="18"/>
  <c r="BD41" i="3"/>
  <c r="BD37" i="3"/>
  <c r="BD32" i="3"/>
  <c r="BD5" i="3"/>
  <c r="BD58" i="3"/>
  <c r="AI58" i="3" s="1"/>
  <c r="BD35" i="3"/>
  <c r="AQ35" i="3" s="1"/>
  <c r="BD30" i="3"/>
  <c r="AI30" i="3" s="1"/>
  <c r="BD12" i="3"/>
  <c r="BD6" i="3"/>
  <c r="AH17" i="3"/>
  <c r="AP17" i="3"/>
  <c r="AI17" i="3"/>
  <c r="AQ17" i="3"/>
  <c r="AJ17" i="3"/>
  <c r="AK17" i="3"/>
  <c r="AL17" i="3"/>
  <c r="AM17" i="3"/>
  <c r="AN17" i="3"/>
  <c r="BD55" i="3"/>
  <c r="AL55" i="3" s="1"/>
  <c r="BD38" i="3"/>
  <c r="BD34" i="3"/>
  <c r="BD26" i="3"/>
  <c r="P24" i="3"/>
  <c r="L12" i="3"/>
  <c r="P12" i="3" s="1"/>
  <c r="P11" i="3"/>
  <c r="BD9" i="3"/>
  <c r="BD7" i="3"/>
  <c r="BD56" i="3"/>
  <c r="AM56" i="3" s="1"/>
  <c r="BD46" i="3"/>
  <c r="AP46" i="3" s="1"/>
  <c r="BD28" i="3"/>
  <c r="BD10" i="3"/>
  <c r="P49" i="3"/>
  <c r="P48" i="3"/>
  <c r="T32" i="3"/>
  <c r="L28" i="3"/>
  <c r="P28" i="3" s="1"/>
  <c r="L47" i="3"/>
  <c r="P47" i="3" s="1"/>
  <c r="L31" i="3"/>
  <c r="P31" i="3"/>
  <c r="L27" i="3"/>
  <c r="P27" i="3"/>
  <c r="L30" i="3"/>
  <c r="P30" i="3" s="1"/>
  <c r="AO35" i="3"/>
  <c r="AH35" i="3"/>
  <c r="AP35" i="3"/>
  <c r="AI35" i="3"/>
  <c r="AN30" i="3"/>
  <c r="AO30" i="3"/>
  <c r="AH30" i="3"/>
  <c r="AP30" i="3"/>
  <c r="AL30" i="3"/>
  <c r="AM30" i="3"/>
  <c r="AO26" i="3"/>
  <c r="AH26" i="3"/>
  <c r="AP26" i="3"/>
  <c r="AI26" i="3"/>
  <c r="AQ26" i="3"/>
  <c r="AJ26" i="3"/>
  <c r="AK26" i="3"/>
  <c r="AL26" i="3"/>
  <c r="AM26" i="3"/>
  <c r="AN26" i="3"/>
  <c r="AK56" i="3"/>
  <c r="AQ56" i="3"/>
  <c r="AI56" i="3"/>
  <c r="AL56" i="3"/>
  <c r="AK10" i="3"/>
  <c r="AL10" i="3"/>
  <c r="AM10" i="3"/>
  <c r="AN10" i="3"/>
  <c r="AO10" i="3"/>
  <c r="AH10" i="3"/>
  <c r="AP10" i="3"/>
  <c r="AI10" i="3"/>
  <c r="AQ10" i="3"/>
  <c r="AJ10" i="3"/>
  <c r="AI34" i="3"/>
  <c r="AQ34" i="3"/>
  <c r="AJ34" i="3"/>
  <c r="AK34" i="3"/>
  <c r="AL34" i="3"/>
  <c r="AM34" i="3"/>
  <c r="AN34" i="3"/>
  <c r="AO34" i="3"/>
  <c r="AH34" i="3"/>
  <c r="AP34" i="3"/>
  <c r="AM32" i="3"/>
  <c r="AN32" i="3"/>
  <c r="AO32" i="3"/>
  <c r="AH32" i="3"/>
  <c r="AP32" i="3"/>
  <c r="AI32" i="3"/>
  <c r="AQ32" i="3"/>
  <c r="AJ32" i="3"/>
  <c r="AK32" i="3"/>
  <c r="AL32" i="3"/>
  <c r="AN16" i="3"/>
  <c r="AO16" i="3"/>
  <c r="AH16" i="3"/>
  <c r="AP16" i="3"/>
  <c r="AI16" i="3"/>
  <c r="AQ16" i="3"/>
  <c r="AJ16" i="3"/>
  <c r="AK16" i="3"/>
  <c r="AL16" i="3"/>
  <c r="AM16" i="3"/>
  <c r="AM46" i="3"/>
  <c r="AN46" i="3"/>
  <c r="AO46" i="3"/>
  <c r="AH46" i="3"/>
  <c r="AK46" i="3"/>
  <c r="AL46" i="3"/>
  <c r="AM7" i="3"/>
  <c r="AN7" i="3"/>
  <c r="AO7" i="3"/>
  <c r="AH7" i="3"/>
  <c r="AP7" i="3"/>
  <c r="AI7" i="3"/>
  <c r="AQ7" i="3"/>
  <c r="AJ7" i="3"/>
  <c r="AK7" i="3"/>
  <c r="AL7" i="3"/>
  <c r="AL38" i="3"/>
  <c r="AM38" i="3"/>
  <c r="AN38" i="3"/>
  <c r="AO38" i="3"/>
  <c r="AH38" i="3"/>
  <c r="AP38" i="3"/>
  <c r="AI38" i="3"/>
  <c r="AQ38" i="3"/>
  <c r="AJ38" i="3"/>
  <c r="AK38" i="3"/>
  <c r="AN6" i="3"/>
  <c r="AO6" i="3"/>
  <c r="AH6" i="3"/>
  <c r="AP6" i="3"/>
  <c r="AI6" i="3"/>
  <c r="AQ6" i="3"/>
  <c r="AJ6" i="3"/>
  <c r="AK6" i="3"/>
  <c r="AL6" i="3"/>
  <c r="AM6" i="3"/>
  <c r="AL37" i="3"/>
  <c r="AM37" i="3"/>
  <c r="AN37" i="3"/>
  <c r="AO37" i="3"/>
  <c r="AH37" i="3"/>
  <c r="AP37" i="3"/>
  <c r="AI37" i="3"/>
  <c r="AQ37" i="3"/>
  <c r="AJ37" i="3"/>
  <c r="AK37" i="3"/>
  <c r="AP55" i="3"/>
  <c r="AI55" i="3"/>
  <c r="AQ55" i="3"/>
  <c r="AJ55" i="3"/>
  <c r="AL5" i="3"/>
  <c r="AM5" i="3"/>
  <c r="AN5" i="3"/>
  <c r="AO5" i="3"/>
  <c r="AH5" i="3"/>
  <c r="AP5" i="3"/>
  <c r="AI5" i="3"/>
  <c r="AQ5" i="3"/>
  <c r="AJ5" i="3"/>
  <c r="AK5" i="3"/>
  <c r="AK9" i="3"/>
  <c r="AL9" i="3"/>
  <c r="AM9" i="3"/>
  <c r="AN9" i="3"/>
  <c r="AO9" i="3"/>
  <c r="AH9" i="3"/>
  <c r="AP9" i="3"/>
  <c r="AI9" i="3"/>
  <c r="AQ9" i="3"/>
  <c r="AJ9" i="3"/>
  <c r="AO12" i="3"/>
  <c r="AH12" i="3"/>
  <c r="AP12" i="3"/>
  <c r="AI12" i="3"/>
  <c r="AQ12" i="3"/>
  <c r="AJ12" i="3"/>
  <c r="AK12" i="3"/>
  <c r="AL12" i="3"/>
  <c r="AM12" i="3"/>
  <c r="AN12" i="3"/>
  <c r="AM58" i="3"/>
  <c r="AN58" i="3"/>
  <c r="AJ58" i="3"/>
  <c r="AK58" i="3"/>
  <c r="AL58" i="3"/>
  <c r="AH58" i="3"/>
  <c r="AP58" i="3"/>
  <c r="AQ58" i="3"/>
  <c r="AJ28" i="3"/>
  <c r="AK28" i="3"/>
  <c r="AL28" i="3"/>
  <c r="AM28" i="3"/>
  <c r="AN28" i="3"/>
  <c r="AO28" i="3"/>
  <c r="AH28" i="3"/>
  <c r="AP28" i="3"/>
  <c r="AI28" i="3"/>
  <c r="AQ28" i="3"/>
  <c r="AN22" i="3"/>
  <c r="AO22" i="3"/>
  <c r="AH22" i="3"/>
  <c r="AP22" i="3"/>
  <c r="AI22" i="3"/>
  <c r="AQ22" i="3"/>
  <c r="AJ22" i="3"/>
  <c r="AK22" i="3"/>
  <c r="AL22" i="3"/>
  <c r="AM22" i="3"/>
  <c r="AO41" i="3"/>
  <c r="AH41" i="3"/>
  <c r="AP41" i="3"/>
  <c r="AI41" i="3"/>
  <c r="AQ41" i="3"/>
  <c r="AJ41" i="3"/>
  <c r="AK41" i="3"/>
  <c r="AL41" i="3"/>
  <c r="AM41" i="3"/>
  <c r="AN41" i="3"/>
  <c r="AK60" i="3" l="1"/>
  <c r="AL60" i="3"/>
  <c r="AM60" i="3"/>
  <c r="AN60" i="3"/>
  <c r="AI60" i="3"/>
  <c r="AH60" i="3"/>
  <c r="AQ60" i="3"/>
  <c r="AP60" i="3"/>
  <c r="AO60" i="3"/>
  <c r="AJ60" i="3"/>
  <c r="AO43" i="3"/>
  <c r="AH43" i="3"/>
  <c r="AI43" i="3"/>
  <c r="AQ43" i="3"/>
  <c r="AJ43" i="3"/>
  <c r="AK43" i="3"/>
  <c r="AL43" i="3"/>
  <c r="AM43" i="3"/>
  <c r="AP43" i="3"/>
  <c r="AN43" i="3"/>
  <c r="AK20" i="3"/>
  <c r="AL20" i="3"/>
  <c r="AO20" i="3"/>
  <c r="AM20" i="3"/>
  <c r="AH20" i="3"/>
  <c r="AP20" i="3"/>
  <c r="AN20" i="3"/>
  <c r="AI20" i="3"/>
  <c r="AQ20" i="3"/>
  <c r="AJ20" i="3"/>
  <c r="AJ18" i="3"/>
  <c r="AK18" i="3"/>
  <c r="AL18" i="3"/>
  <c r="AH18" i="3"/>
  <c r="AO18" i="3"/>
  <c r="AM18" i="3"/>
  <c r="AP18" i="3"/>
  <c r="AI18" i="3"/>
  <c r="AN18" i="3"/>
  <c r="AQ18" i="3"/>
  <c r="AL14" i="3"/>
  <c r="AM14" i="3"/>
  <c r="AI14" i="3"/>
  <c r="AN14" i="3"/>
  <c r="AQ14" i="3"/>
  <c r="AO14" i="3"/>
  <c r="AH14" i="3"/>
  <c r="AP14" i="3"/>
  <c r="AJ14" i="3"/>
  <c r="AK14" i="3"/>
  <c r="AQ54" i="3"/>
  <c r="AK54" i="3"/>
  <c r="AM54" i="3"/>
  <c r="AL54" i="3"/>
  <c r="AN54" i="3"/>
  <c r="AO54" i="3"/>
  <c r="AJ54" i="3"/>
  <c r="AH54" i="3"/>
  <c r="AP54" i="3"/>
  <c r="AI54" i="3"/>
  <c r="AJ65" i="3"/>
  <c r="AH65" i="3"/>
  <c r="AK65" i="3"/>
  <c r="AQ65" i="3"/>
  <c r="AO65" i="3"/>
  <c r="AL65" i="3"/>
  <c r="AN65" i="3"/>
  <c r="AP65" i="3"/>
  <c r="AM65" i="3"/>
  <c r="AI65" i="3"/>
  <c r="AL40" i="3"/>
  <c r="AM40" i="3"/>
  <c r="AH40" i="3"/>
  <c r="AN40" i="3"/>
  <c r="AP40" i="3"/>
  <c r="AI40" i="3"/>
  <c r="AQ40" i="3"/>
  <c r="AJ40" i="3"/>
  <c r="AK40" i="3"/>
  <c r="AO40" i="3"/>
  <c r="AN50" i="3"/>
  <c r="AO50" i="3"/>
  <c r="AH50" i="3"/>
  <c r="AL50" i="3"/>
  <c r="AP50" i="3"/>
  <c r="AI50" i="3"/>
  <c r="AQ50" i="3"/>
  <c r="AJ50" i="3"/>
  <c r="AM50" i="3"/>
  <c r="AK50" i="3"/>
  <c r="AM36" i="3"/>
  <c r="AN36" i="3"/>
  <c r="AO36" i="3"/>
  <c r="AH36" i="3"/>
  <c r="AP36" i="3"/>
  <c r="AK36" i="3"/>
  <c r="AI36" i="3"/>
  <c r="AQ36" i="3"/>
  <c r="AL36" i="3"/>
  <c r="AJ36" i="3"/>
  <c r="AN62" i="3"/>
  <c r="AO62" i="3"/>
  <c r="AJ62" i="3"/>
  <c r="AH62" i="3"/>
  <c r="AP62" i="3"/>
  <c r="AQ62" i="3"/>
  <c r="AM62" i="3"/>
  <c r="AI62" i="3"/>
  <c r="AK62" i="3"/>
  <c r="AL62" i="3"/>
  <c r="AL52" i="3"/>
  <c r="AM52" i="3"/>
  <c r="AO52" i="3"/>
  <c r="AN52" i="3"/>
  <c r="AH52" i="3"/>
  <c r="AP52" i="3"/>
  <c r="AI52" i="3"/>
  <c r="AJ52" i="3"/>
  <c r="AK52" i="3"/>
  <c r="AQ52" i="3"/>
  <c r="AL48" i="3"/>
  <c r="AJ48" i="3"/>
  <c r="AM48" i="3"/>
  <c r="AN48" i="3"/>
  <c r="AQ48" i="3"/>
  <c r="AO48" i="3"/>
  <c r="AH48" i="3"/>
  <c r="AP48" i="3"/>
  <c r="AK48" i="3"/>
  <c r="AI48" i="3"/>
  <c r="P32" i="3"/>
  <c r="AM23" i="3"/>
  <c r="AK23" i="3"/>
  <c r="AN23" i="3"/>
  <c r="AO23" i="3"/>
  <c r="AL23" i="3"/>
  <c r="AH23" i="3"/>
  <c r="AP23" i="3"/>
  <c r="AI23" i="3"/>
  <c r="AQ23" i="3"/>
  <c r="AJ23" i="3"/>
  <c r="AO63" i="3"/>
  <c r="AK63" i="3"/>
  <c r="AL63" i="3"/>
  <c r="AH63" i="3"/>
  <c r="AM63" i="3"/>
  <c r="AI63" i="3"/>
  <c r="AN63" i="3"/>
  <c r="AP63" i="3"/>
  <c r="AQ63" i="3"/>
  <c r="AJ63" i="3"/>
  <c r="AM33" i="3"/>
  <c r="AN33" i="3"/>
  <c r="AO33" i="3"/>
  <c r="AH33" i="3"/>
  <c r="AP33" i="3"/>
  <c r="AJ33" i="3"/>
  <c r="AI33" i="3"/>
  <c r="AK33" i="3"/>
  <c r="AQ33" i="3"/>
  <c r="AL33" i="3"/>
  <c r="AH29" i="3"/>
  <c r="AN29" i="3"/>
  <c r="AJ29" i="3"/>
  <c r="AP29" i="3"/>
  <c r="AI29" i="3"/>
  <c r="AQ29" i="3"/>
  <c r="AK29" i="3"/>
  <c r="AL29" i="3"/>
  <c r="AO29" i="3"/>
  <c r="AM29" i="3"/>
  <c r="AM21" i="3"/>
  <c r="AH21" i="3"/>
  <c r="AN21" i="3"/>
  <c r="AP21" i="3"/>
  <c r="AO21" i="3"/>
  <c r="AI21" i="3"/>
  <c r="AQ21" i="3"/>
  <c r="AJ21" i="3"/>
  <c r="AK21" i="3"/>
  <c r="AL21" i="3"/>
  <c r="AM11" i="3"/>
  <c r="AH11" i="3"/>
  <c r="AN11" i="3"/>
  <c r="AP11" i="3"/>
  <c r="AO11" i="3"/>
  <c r="AI11" i="3"/>
  <c r="AQ11" i="3"/>
  <c r="AJ11" i="3"/>
  <c r="AK11" i="3"/>
  <c r="AL11" i="3"/>
  <c r="AP57" i="3"/>
  <c r="AJ57" i="3"/>
  <c r="AQ57" i="3"/>
  <c r="AM57" i="3"/>
  <c r="AI57" i="3"/>
  <c r="AO57" i="3"/>
  <c r="AN57" i="3"/>
  <c r="AH57" i="3"/>
  <c r="AK57" i="3"/>
  <c r="AL57" i="3"/>
  <c r="AI53" i="3"/>
  <c r="AQ53" i="3"/>
  <c r="AJ53" i="3"/>
  <c r="AK53" i="3"/>
  <c r="AL53" i="3"/>
  <c r="AM53" i="3"/>
  <c r="AN53" i="3"/>
  <c r="AO53" i="3"/>
  <c r="AH53" i="3"/>
  <c r="AP53" i="3"/>
  <c r="AN49" i="3"/>
  <c r="AO49" i="3"/>
  <c r="AQ49" i="3"/>
  <c r="AH49" i="3"/>
  <c r="AL49" i="3"/>
  <c r="AP49" i="3"/>
  <c r="AI49" i="3"/>
  <c r="AJ49" i="3"/>
  <c r="AM49" i="3"/>
  <c r="AK49" i="3"/>
  <c r="AO47" i="3"/>
  <c r="AJ47" i="3"/>
  <c r="AH47" i="3"/>
  <c r="AP47" i="3"/>
  <c r="AI47" i="3"/>
  <c r="AK47" i="3"/>
  <c r="AQ47" i="3"/>
  <c r="AL47" i="3"/>
  <c r="AM47" i="3"/>
  <c r="AN47" i="3"/>
  <c r="AI44" i="3"/>
  <c r="AO44" i="3"/>
  <c r="AQ44" i="3"/>
  <c r="AJ44" i="3"/>
  <c r="AK44" i="3"/>
  <c r="AL44" i="3"/>
  <c r="AM44" i="3"/>
  <c r="AH44" i="3"/>
  <c r="AN44" i="3"/>
  <c r="AP44" i="3"/>
  <c r="AK24" i="3"/>
  <c r="AH24" i="3"/>
  <c r="AP24" i="3"/>
  <c r="AI24" i="3"/>
  <c r="AQ24" i="3"/>
  <c r="AL24" i="3"/>
  <c r="AJ24" i="3"/>
  <c r="AM24" i="3"/>
  <c r="AN24" i="3"/>
  <c r="AO24" i="3"/>
  <c r="AQ19" i="3"/>
  <c r="AL19" i="3"/>
  <c r="AJ19" i="3"/>
  <c r="AM19" i="3"/>
  <c r="AN19" i="3"/>
  <c r="AK19" i="3"/>
  <c r="AO19" i="3"/>
  <c r="AH19" i="3"/>
  <c r="AP19" i="3"/>
  <c r="AI19" i="3"/>
  <c r="AO8" i="3"/>
  <c r="AH8" i="3"/>
  <c r="AP8" i="3"/>
  <c r="AI8" i="3"/>
  <c r="AK8" i="3"/>
  <c r="AQ8" i="3"/>
  <c r="AL8" i="3"/>
  <c r="AM8" i="3"/>
  <c r="AJ8" i="3"/>
  <c r="AN8" i="3"/>
  <c r="AK25" i="3"/>
  <c r="AL25" i="3"/>
  <c r="AO25" i="3"/>
  <c r="AM25" i="3"/>
  <c r="AH25" i="3"/>
  <c r="AN25" i="3"/>
  <c r="AP25" i="3"/>
  <c r="AI25" i="3"/>
  <c r="AQ25" i="3"/>
  <c r="AJ25" i="3"/>
  <c r="AJ64" i="3"/>
  <c r="AI64" i="3"/>
  <c r="AK64" i="3"/>
  <c r="AO64" i="3"/>
  <c r="AH64" i="3"/>
  <c r="AL64" i="3"/>
  <c r="AN64" i="3"/>
  <c r="AP64" i="3"/>
  <c r="AM64" i="3"/>
  <c r="AQ64" i="3"/>
  <c r="AN51" i="3"/>
  <c r="AH51" i="3"/>
  <c r="AP51" i="3"/>
  <c r="AI51" i="3"/>
  <c r="AJ51" i="3"/>
  <c r="AQ51" i="3"/>
  <c r="AO51" i="3"/>
  <c r="AK51" i="3"/>
  <c r="AL51" i="3"/>
  <c r="AM51" i="3"/>
  <c r="AJ45" i="3"/>
  <c r="AN45" i="3"/>
  <c r="AK45" i="3"/>
  <c r="AL45" i="3"/>
  <c r="AO45" i="3"/>
  <c r="AM45" i="3"/>
  <c r="AH45" i="3"/>
  <c r="AP45" i="3"/>
  <c r="AI45" i="3"/>
  <c r="AQ45" i="3"/>
  <c r="AO39" i="3"/>
  <c r="AH39" i="3"/>
  <c r="AP39" i="3"/>
  <c r="AI39" i="3"/>
  <c r="AK39" i="3"/>
  <c r="AQ39" i="3"/>
  <c r="AL39" i="3"/>
  <c r="AJ39" i="3"/>
  <c r="AM39" i="3"/>
  <c r="AN39" i="3"/>
  <c r="AP15" i="3"/>
  <c r="AI15" i="3"/>
  <c r="AQ15" i="3"/>
  <c r="AL15" i="3"/>
  <c r="AJ15" i="3"/>
  <c r="AM15" i="3"/>
  <c r="AN15" i="3"/>
  <c r="AK15" i="3"/>
  <c r="AO15" i="3"/>
  <c r="AH15" i="3"/>
  <c r="AN61" i="3"/>
  <c r="AJ61" i="3"/>
  <c r="AO61" i="3"/>
  <c r="AM61" i="3"/>
  <c r="AP61" i="3"/>
  <c r="AK61" i="3"/>
  <c r="AL61" i="3"/>
  <c r="AH61" i="3"/>
  <c r="AI61" i="3"/>
  <c r="AQ61" i="3"/>
  <c r="AN59" i="3"/>
  <c r="AQ59" i="3"/>
  <c r="AO59" i="3"/>
  <c r="AP59" i="3"/>
  <c r="AK59" i="3"/>
  <c r="AI59" i="3"/>
  <c r="AL59" i="3"/>
  <c r="AJ59" i="3"/>
  <c r="AM59" i="3"/>
  <c r="AH59" i="3"/>
  <c r="AO42" i="3"/>
  <c r="AH42" i="3"/>
  <c r="AP42" i="3"/>
  <c r="AI42" i="3"/>
  <c r="AQ42" i="3"/>
  <c r="AM42" i="3"/>
  <c r="AJ42" i="3"/>
  <c r="AK42" i="3"/>
  <c r="AN42" i="3"/>
  <c r="AL42" i="3"/>
  <c r="AM31" i="3"/>
  <c r="AN31" i="3"/>
  <c r="AO31" i="3"/>
  <c r="AK31" i="3"/>
  <c r="AH31" i="3"/>
  <c r="AP31" i="3"/>
  <c r="AI31" i="3"/>
  <c r="AQ31" i="3"/>
  <c r="AL31" i="3"/>
  <c r="AJ31" i="3"/>
  <c r="AL27" i="3"/>
  <c r="AJ27" i="3"/>
  <c r="AM27" i="3"/>
  <c r="AK27" i="3"/>
  <c r="AN27" i="3"/>
  <c r="AO27" i="3"/>
  <c r="AH27" i="3"/>
  <c r="AP27" i="3"/>
  <c r="AI27" i="3"/>
  <c r="AQ27" i="3"/>
  <c r="AP13" i="3"/>
  <c r="AI13" i="3"/>
  <c r="AQ13" i="3"/>
  <c r="AJ13" i="3"/>
  <c r="AK13" i="3"/>
  <c r="AO13" i="3"/>
  <c r="AL13" i="3"/>
  <c r="AM13" i="3"/>
  <c r="AH13" i="3"/>
  <c r="AN13" i="3"/>
  <c r="AO58" i="3"/>
  <c r="AK55" i="3"/>
  <c r="AH55" i="3"/>
  <c r="AJ46" i="3"/>
  <c r="AJ56" i="3"/>
  <c r="AK30" i="3"/>
  <c r="AL35" i="3"/>
  <c r="AN35" i="3"/>
  <c r="AN55" i="3"/>
  <c r="AO55" i="3"/>
  <c r="AQ46" i="3"/>
  <c r="AO56" i="3"/>
  <c r="AJ30" i="3"/>
  <c r="AK35" i="3"/>
  <c r="AM35" i="3"/>
  <c r="AM55" i="3"/>
  <c r="AI46" i="3"/>
  <c r="AP56" i="3"/>
  <c r="AN56" i="3"/>
  <c r="AQ30" i="3"/>
  <c r="AJ35" i="3"/>
  <c r="AH56" i="3"/>
</calcChain>
</file>

<file path=xl/sharedStrings.xml><?xml version="1.0" encoding="utf-8"?>
<sst xmlns="http://schemas.openxmlformats.org/spreadsheetml/2006/main" count="1246" uniqueCount="622">
  <si>
    <t>olivine clinopyroxenite (Lippard, S.J., A.W. Shelton, and I.G. Gass, The Ophiolite of Northern Oman, 178 pp., Geological Society of London, London, 1986)</t>
  </si>
  <si>
    <t>harzburgite (Lippard, S.J., A.W. Shelton, and I.G. Gass, The Ophiolite of Northern Oman, 178 pp., Geological Society of London, London, 1986)</t>
  </si>
  <si>
    <t>pyrolite (Gubbins, D., A. Barnicoat, and J. Cann, Seismological constraints on the gabbro-eclogite transition in subducted oceanic crust, Earth and Planetary Science Letters, 122, 89-101, 1994)</t>
  </si>
  <si>
    <t>harzburgite (Gubbins, D., A. Barnicoat, and J. Cann, Seismological constraints on the gabbro-eclogite transition in subducted oceanic crust, Earth and Planetary Science Letters, 122, 89-101, 1994)</t>
  </si>
  <si>
    <t>[20]</t>
  </si>
  <si>
    <t>sanidine</t>
  </si>
  <si>
    <t>almandine</t>
  </si>
  <si>
    <t>grossular</t>
  </si>
  <si>
    <t>pyrope</t>
  </si>
  <si>
    <t>forsterite</t>
  </si>
  <si>
    <t>fayalite</t>
  </si>
  <si>
    <t>enstatite</t>
  </si>
  <si>
    <t>ferrosilite</t>
  </si>
  <si>
    <t>[17]</t>
  </si>
  <si>
    <t>first
Grüneisen
parameter</t>
  </si>
  <si>
    <t>gth</t>
  </si>
  <si>
    <t>daphnite</t>
  </si>
  <si>
    <t>antigorite</t>
  </si>
  <si>
    <t>zoisite</t>
  </si>
  <si>
    <t>clinozoisite</t>
  </si>
  <si>
    <t>epidote</t>
  </si>
  <si>
    <t>lawsonite</t>
  </si>
  <si>
    <t>prehnite</t>
  </si>
  <si>
    <t>pumpellyite</t>
  </si>
  <si>
    <t>laumontite</t>
  </si>
  <si>
    <t>wairakite</t>
  </si>
  <si>
    <t>brucite</t>
  </si>
  <si>
    <t>phase A</t>
  </si>
  <si>
    <t>sillimanite</t>
  </si>
  <si>
    <t>kyanite</t>
  </si>
  <si>
    <t>spinel</t>
  </si>
  <si>
    <t>hercynite</t>
  </si>
  <si>
    <t>magnetite</t>
  </si>
  <si>
    <t>calcite</t>
  </si>
  <si>
    <t>aragonite</t>
  </si>
  <si>
    <t>SiO2</t>
  </si>
  <si>
    <t>NaAlSi3O8</t>
  </si>
  <si>
    <t>CaAl2Si2O8</t>
  </si>
  <si>
    <t>KAlSi3O8</t>
  </si>
  <si>
    <t>Fe3Al2Si3O12</t>
  </si>
  <si>
    <t>Ca3Al2Si3O12</t>
  </si>
  <si>
    <t>Mg3Al2Si3O12</t>
  </si>
  <si>
    <t>Mg2SiO4</t>
  </si>
  <si>
    <t>Fe2SiO4</t>
  </si>
  <si>
    <t>Mg2Si2O6</t>
  </si>
  <si>
    <t>Fe2Si2O6</t>
  </si>
  <si>
    <t>CaMgSi2O6</t>
  </si>
  <si>
    <t>CaFeSi2O6</t>
  </si>
  <si>
    <t>diabase 504B (Alt, J.C., H. Kinoshita, L.B. Stokking, et al., Proceedings of the Ocean Drilling Program, Initial Reports, 148, 1993)</t>
  </si>
  <si>
    <t>gabbronorite Oman (Lippard, S.J., A.W. Shelton, and I.G. Gass, The Ophiolite of Northern Oman, 178 pp., Geological Society of London, London, 1986)</t>
  </si>
  <si>
    <t>olivine gabbro Oman (Browning, P., Cryptic variation within the cumulate sequence of the Oman ophiolite: magma chamber depth and petrological implications, in Ophiolites and oceanic lithosphere, Geological Society Special Publications, edited by I.G. Gass, S.J. Lippard, and  A.W. Shelton, pp. 71-82, Geological Society of London, London, 1984)</t>
  </si>
  <si>
    <t>Fe olivine</t>
  </si>
  <si>
    <t>Mg olivine</t>
  </si>
  <si>
    <t>Mg garnet</t>
  </si>
  <si>
    <t>Ca garnet</t>
  </si>
  <si>
    <t>Fe garnet</t>
  </si>
  <si>
    <t>Mg biotite</t>
  </si>
  <si>
    <t>Fe biotite</t>
  </si>
  <si>
    <t>Fe chlorite</t>
  </si>
  <si>
    <t>high-T serpentine</t>
  </si>
  <si>
    <t>low-P epidote group</t>
  </si>
  <si>
    <t>high-P epidote group</t>
  </si>
  <si>
    <t>Fe epidote</t>
  </si>
  <si>
    <t>high-T aluminumsilicate</t>
  </si>
  <si>
    <t>high-P aluminumsilicate</t>
  </si>
  <si>
    <t>MgAl spinel</t>
  </si>
  <si>
    <t>FeAl spinel</t>
  </si>
  <si>
    <t>FeFe spinel</t>
  </si>
  <si>
    <t>name</t>
  </si>
  <si>
    <t>formula</t>
  </si>
  <si>
    <t>explanation</t>
  </si>
  <si>
    <t>Ca2Al3Si3O12(OH)</t>
  </si>
  <si>
    <t>CaAl2Si2O7(OH)2•H2O</t>
  </si>
  <si>
    <t>Mg7Si2O8(OH)6</t>
  </si>
  <si>
    <t>high-P sheet silicate</t>
  </si>
  <si>
    <t>Ca4MgAl5Si6O21(OH)7</t>
  </si>
  <si>
    <t>Mg7Si8O22(OH)2</t>
  </si>
  <si>
    <t>Na2Mg3Al2Si8O22(OH)2</t>
  </si>
  <si>
    <t>Na2Fe3Al2Si8O22(OH)2</t>
  </si>
  <si>
    <t>Ca2Mg3Al4Si6O22(OH)2</t>
  </si>
  <si>
    <t>NaCa2Mg4Al3Si6O22(OH)2</t>
  </si>
  <si>
    <t>Physical properties calculated with Hashin-Shtrikman average:</t>
  </si>
  <si>
    <t>Physical properties calculated with Hashin-Shtrikman, Voigt and Reuss bounds:</t>
  </si>
  <si>
    <t>Vp H-S max</t>
  </si>
  <si>
    <t>Vp H-S min</t>
  </si>
  <si>
    <t>Vs H-S max</t>
  </si>
  <si>
    <t>Vs H-S min</t>
  </si>
  <si>
    <t>K H-S max</t>
  </si>
  <si>
    <t>K H-S min</t>
  </si>
  <si>
    <t>G H-S max</t>
  </si>
  <si>
    <t>G H-S min</t>
  </si>
  <si>
    <t>finite</t>
  </si>
  <si>
    <t>strain</t>
  </si>
  <si>
    <t>END</t>
  </si>
  <si>
    <t>None of these values are constants and all are overwritten each time the macro is executed.</t>
  </si>
  <si>
    <t>Explanation: This sheet is the mineral properties database. None of these values are recalculated--all are constants or scaled from others (see notes).</t>
  </si>
  <si>
    <t>Sum</t>
  </si>
  <si>
    <t>dunite</t>
  </si>
  <si>
    <t>MgAl amphibole</t>
  </si>
  <si>
    <t>NaCaMgAl amphibole</t>
  </si>
  <si>
    <t>high-P CaAl silicate</t>
  </si>
  <si>
    <t>low-P CaAl silicate</t>
  </si>
  <si>
    <t>low-T CaAl silicate</t>
  </si>
  <si>
    <t>hydroxide</t>
  </si>
  <si>
    <t>clinohumite</t>
  </si>
  <si>
    <t>hydrated olivine'</t>
  </si>
  <si>
    <t>shear
modulus
(Pa)</t>
  </si>
  <si>
    <t>isothermal
bulk
modulus
(Pa)</t>
  </si>
  <si>
    <t>[13]</t>
  </si>
  <si>
    <t>[9]</t>
  </si>
  <si>
    <t>B95</t>
  </si>
  <si>
    <t>[7]</t>
  </si>
  <si>
    <t>[10]</t>
  </si>
  <si>
    <t>[3]</t>
  </si>
  <si>
    <t>H96</t>
  </si>
  <si>
    <t>lherzolite (Ernst, W.G., Petrochemical study of lherzolitic rocks from the Western Alps, J. Petrol., 19, 341-392, 1978)</t>
  </si>
  <si>
    <t>zeolite facies</t>
  </si>
  <si>
    <t>prehnite-pumpellyite facies</t>
  </si>
  <si>
    <t>greenschist facies</t>
  </si>
  <si>
    <t>epidote amphibolite facies</t>
  </si>
  <si>
    <t>garnet amphibolite facies</t>
  </si>
  <si>
    <t>amphibolite facies</t>
  </si>
  <si>
    <t>granulite facies</t>
  </si>
  <si>
    <t>garnet granulite facies</t>
  </si>
  <si>
    <t>lawsonite blueschist facies</t>
  </si>
  <si>
    <t>jadeite lawsonite blueschist facies</t>
  </si>
  <si>
    <t>epidote blueschist</t>
  </si>
  <si>
    <t>amphibole eclogite</t>
  </si>
  <si>
    <t>zoisite eclogite</t>
  </si>
  <si>
    <t>lawsonite amphibole eclogite</t>
  </si>
  <si>
    <t>eclogite</t>
  </si>
  <si>
    <t>phyllosilicate</t>
  </si>
  <si>
    <t>Mg chlorite</t>
  </si>
  <si>
    <t>low-Si K white mica</t>
  </si>
  <si>
    <t>The user can, of course, change these constants as desired.</t>
  </si>
  <si>
    <t>Explanation: This sheet consists of specified rock compositions, specified pressures and temperatures, and calculated rock properties.</t>
  </si>
  <si>
    <t>coe</t>
  </si>
  <si>
    <t>1/K</t>
  </si>
  <si>
    <t>Pa</t>
  </si>
  <si>
    <t>chum</t>
  </si>
  <si>
    <t>P(GPa)</t>
  </si>
  <si>
    <t>ep</t>
  </si>
  <si>
    <t>zo</t>
  </si>
  <si>
    <t>Vp</t>
  </si>
  <si>
    <t>anth</t>
  </si>
  <si>
    <t>an</t>
  </si>
  <si>
    <t>alm</t>
  </si>
  <si>
    <t>jd</t>
  </si>
  <si>
    <t>en</t>
  </si>
  <si>
    <t>fo</t>
  </si>
  <si>
    <t>ta</t>
  </si>
  <si>
    <t>py</t>
  </si>
  <si>
    <t>Ks(T,P)</t>
  </si>
  <si>
    <t>fgl</t>
  </si>
  <si>
    <t>fact</t>
  </si>
  <si>
    <t>fa</t>
  </si>
  <si>
    <t>hb</t>
  </si>
  <si>
    <t>gl</t>
  </si>
  <si>
    <t>cc</t>
  </si>
  <si>
    <t>atg</t>
  </si>
  <si>
    <t>br</t>
  </si>
  <si>
    <t>Kt(T,P)</t>
  </si>
  <si>
    <t>H2O</t>
  </si>
  <si>
    <t>G</t>
  </si>
  <si>
    <t>G prime</t>
  </si>
  <si>
    <t>G(T,0)</t>
  </si>
  <si>
    <t>G(T,P)</t>
  </si>
  <si>
    <t>Vp (km/s)</t>
  </si>
  <si>
    <t>Vs (km/s)</t>
  </si>
  <si>
    <t>K (GPa)</t>
  </si>
  <si>
    <t>Poissons</t>
  </si>
  <si>
    <t>rho (g/cm3)</t>
  </si>
  <si>
    <t>G (GPa)</t>
  </si>
  <si>
    <t>&lt;---</t>
  </si>
  <si>
    <t>P (GPa)</t>
  </si>
  <si>
    <t>H2O (wt%)</t>
  </si>
  <si>
    <t>K VRH</t>
  </si>
  <si>
    <t>G VRH</t>
  </si>
  <si>
    <t>[21]</t>
  </si>
  <si>
    <t>wehrlite Oman (Lippard, S.J., A.W. Shelton, and I.G. Gass, The Ophiolite of Northern Oman, 178 pp., Geological Society of London, London, 1986)</t>
  </si>
  <si>
    <t>coesite</t>
  </si>
  <si>
    <t>high albite</t>
  </si>
  <si>
    <t>expansivity 
(/K)</t>
  </si>
  <si>
    <t>notes and refs</t>
  </si>
  <si>
    <t>[19]</t>
  </si>
  <si>
    <t>C00</t>
  </si>
  <si>
    <t>PW96</t>
  </si>
  <si>
    <t>KT</t>
  </si>
  <si>
    <t>A01</t>
  </si>
  <si>
    <t>[15]</t>
  </si>
  <si>
    <t>C91</t>
  </si>
  <si>
    <t>HP98</t>
  </si>
  <si>
    <t>[8]</t>
  </si>
  <si>
    <t>[22]</t>
  </si>
  <si>
    <t>[4]</t>
  </si>
  <si>
    <t>AI95</t>
  </si>
  <si>
    <t>RA99</t>
  </si>
  <si>
    <t>C97</t>
  </si>
  <si>
    <t>AA97</t>
  </si>
  <si>
    <t>A88</t>
  </si>
  <si>
    <t>dKt/dP</t>
  </si>
  <si>
    <t>SOA00</t>
  </si>
  <si>
    <t>low albite</t>
  </si>
  <si>
    <t>anorthite</t>
  </si>
  <si>
    <t>orthoclase</t>
  </si>
  <si>
    <t>[11]</t>
  </si>
  <si>
    <t>[12]</t>
  </si>
  <si>
    <t>gamma</t>
  </si>
  <si>
    <t>[14]</t>
  </si>
  <si>
    <t>[16]</t>
  </si>
  <si>
    <t>second
Grüneisen
parameter</t>
  </si>
  <si>
    <t>[18]</t>
  </si>
  <si>
    <t>F95</t>
  </si>
  <si>
    <t>C95</t>
  </si>
  <si>
    <t>[5]</t>
  </si>
  <si>
    <t>cel</t>
  </si>
  <si>
    <t>S00</t>
  </si>
  <si>
    <t>[2]</t>
  </si>
  <si>
    <t>KT prime</t>
  </si>
  <si>
    <t>dT</t>
  </si>
  <si>
    <t>a0</t>
  </si>
  <si>
    <t>alpha(T,0)</t>
  </si>
  <si>
    <t>rho(T,0)</t>
  </si>
  <si>
    <t>alpha(T,P)</t>
  </si>
  <si>
    <t>rho(T,P)</t>
  </si>
  <si>
    <t>V bulk</t>
  </si>
  <si>
    <t>ratio</t>
  </si>
  <si>
    <t>gfw</t>
  </si>
  <si>
    <t>clin</t>
  </si>
  <si>
    <t>daph</t>
  </si>
  <si>
    <t>Vs</t>
  </si>
  <si>
    <t>kg/m3</t>
  </si>
  <si>
    <t>phase</t>
  </si>
  <si>
    <t>ann</t>
  </si>
  <si>
    <t>or</t>
  </si>
  <si>
    <t>vol%</t>
  </si>
  <si>
    <t>law</t>
  </si>
  <si>
    <t>hAb</t>
  </si>
  <si>
    <t>lAb</t>
  </si>
  <si>
    <t>ts</t>
  </si>
  <si>
    <t>san</t>
  </si>
  <si>
    <t>di</t>
  </si>
  <si>
    <t>tr</t>
  </si>
  <si>
    <t>V</t>
  </si>
  <si>
    <t>parg</t>
  </si>
  <si>
    <t>km/s</t>
  </si>
  <si>
    <t>Kt(T,0)</t>
  </si>
  <si>
    <t>aqz</t>
  </si>
  <si>
    <t>bqz</t>
  </si>
  <si>
    <t>phl</t>
  </si>
  <si>
    <t>NaAlSi2O6</t>
  </si>
  <si>
    <t>Ca2Mg5Si8O22(OH)2</t>
  </si>
  <si>
    <t>Ca2Fe5Si8O22(OH)2</t>
  </si>
  <si>
    <t>Al2SiO5</t>
  </si>
  <si>
    <t>MgAl2O4</t>
  </si>
  <si>
    <t>FeAl2O4</t>
  </si>
  <si>
    <t>FeFe2O4</t>
  </si>
  <si>
    <t>CaCO3</t>
  </si>
  <si>
    <t>carbonate</t>
  </si>
  <si>
    <t>tectosilicate</t>
  </si>
  <si>
    <t>A04</t>
  </si>
  <si>
    <t>BA03</t>
  </si>
  <si>
    <t>Vp Voigt</t>
  </si>
  <si>
    <t>Vp Reuss</t>
  </si>
  <si>
    <t>Vs Voigt</t>
  </si>
  <si>
    <t>Vs Reuss</t>
  </si>
  <si>
    <t>K Voigt</t>
  </si>
  <si>
    <t>K Reuss</t>
  </si>
  <si>
    <t>G Voigt</t>
  </si>
  <si>
    <t>G Reuss</t>
  </si>
  <si>
    <t>Vp VRH</t>
  </si>
  <si>
    <t>Vs VRH</t>
  </si>
  <si>
    <t>P03</t>
  </si>
  <si>
    <t>dlnG/
dlnr</t>
  </si>
  <si>
    <t>dG/dP</t>
  </si>
  <si>
    <t>KFe3AlSi3O10(OH)2</t>
  </si>
  <si>
    <t>KMg3AlSi3O10(OH)2</t>
  </si>
  <si>
    <t>T03</t>
  </si>
  <si>
    <r>
      <t xml:space="preserve">The </t>
    </r>
    <r>
      <rPr>
        <i/>
        <sz val="12"/>
        <color indexed="8"/>
        <rFont val="Times"/>
        <family val="1"/>
      </rPr>
      <t>values</t>
    </r>
    <r>
      <rPr>
        <sz val="12"/>
        <color indexed="8"/>
        <rFont val="Times"/>
        <family val="1"/>
      </rPr>
      <t xml:space="preserve"> of all yellow cells are modifiable by the user; the </t>
    </r>
    <r>
      <rPr>
        <i/>
        <sz val="12"/>
        <color indexed="8"/>
        <rFont val="Times"/>
        <family val="1"/>
      </rPr>
      <t>positions</t>
    </r>
    <r>
      <rPr>
        <sz val="12"/>
        <color indexed="8"/>
        <rFont val="Times"/>
        <family val="1"/>
      </rPr>
      <t xml:space="preserve"> of the yellow cells should not be changed by the user.</t>
    </r>
  </si>
  <si>
    <t>Poisson's</t>
  </si>
  <si>
    <t>fs</t>
  </si>
  <si>
    <t>gr</t>
  </si>
  <si>
    <t>hed</t>
  </si>
  <si>
    <t>pre</t>
  </si>
  <si>
    <t>pump</t>
  </si>
  <si>
    <t>cz</t>
  </si>
  <si>
    <t>mu</t>
  </si>
  <si>
    <t>arag</t>
  </si>
  <si>
    <t>lmt</t>
  </si>
  <si>
    <t>wrk</t>
  </si>
  <si>
    <t>phA</t>
  </si>
  <si>
    <t>sill</t>
  </si>
  <si>
    <t>ky</t>
  </si>
  <si>
    <t>sp</t>
  </si>
  <si>
    <t>herc</t>
  </si>
  <si>
    <t>mt</t>
  </si>
  <si>
    <t>gram
formula
weight
(g/mol)</t>
  </si>
  <si>
    <t>molar
volume
(cm3/mol)</t>
  </si>
  <si>
    <t>density
@298K
(kg/m3)</t>
  </si>
  <si>
    <t xml:space="preserve">wt%
H2O
</t>
  </si>
  <si>
    <t>r298</t>
  </si>
  <si>
    <t>KAl3Si3O10(OH)2</t>
  </si>
  <si>
    <t>KMgAlSi4O10(OH)2</t>
  </si>
  <si>
    <t>Mg3Si4O10(OH)2</t>
  </si>
  <si>
    <t>Mg5Al2Si3O10(OH)8</t>
  </si>
  <si>
    <t>Fe5Al2Si3O10(OH)8</t>
  </si>
  <si>
    <t>Ca2FeAl2Si3O12(OH)</t>
  </si>
  <si>
    <t>CaAl2Si4O12•H2O</t>
  </si>
  <si>
    <t>CaAl2Si4O12•4H2O</t>
  </si>
  <si>
    <t>high-T zeolite</t>
  </si>
  <si>
    <t>low-T zeolite</t>
  </si>
  <si>
    <t>Mg(OH2)</t>
  </si>
  <si>
    <t>Ca2Al2Si3O10(OH)2</t>
  </si>
  <si>
    <t>Mg9Si4O16(OH)2</t>
  </si>
  <si>
    <t>Ca2(Mg,Fe)4(Al,Fe)Si7AlO22(OH)2</t>
  </si>
  <si>
    <t>generic amphibole</t>
  </si>
  <si>
    <t>lherzolite, basal (Lippard, S.J., A.W. Shelton, and I.G. Gass, The Ophiolite of Northern Oman, 178 pp., Geological Society of London, London, 1986)</t>
  </si>
  <si>
    <t>diopside</t>
  </si>
  <si>
    <t>hedenbergite</t>
  </si>
  <si>
    <t>jadeite</t>
  </si>
  <si>
    <t>glaucophane</t>
  </si>
  <si>
    <t>ferroglaucophane</t>
  </si>
  <si>
    <t>tremolite</t>
  </si>
  <si>
    <t>ferroactinolite</t>
  </si>
  <si>
    <t>tschermakite</t>
  </si>
  <si>
    <t>pargasite</t>
  </si>
  <si>
    <t>hornblende</t>
  </si>
  <si>
    <t>anthophyllite</t>
  </si>
  <si>
    <t>phlogopite</t>
  </si>
  <si>
    <t>annite</t>
  </si>
  <si>
    <t>muscovite</t>
  </si>
  <si>
    <t>celadonite</t>
  </si>
  <si>
    <t>talc</t>
  </si>
  <si>
    <t>clinochlore</t>
  </si>
  <si>
    <t>high-Si K white mica</t>
  </si>
  <si>
    <t xml:space="preserve"> NaMg amphibole</t>
  </si>
  <si>
    <t>NaFe amphibole</t>
  </si>
  <si>
    <t>CaMg amphibole</t>
  </si>
  <si>
    <t>CaFe amphibole</t>
  </si>
  <si>
    <t>J04</t>
  </si>
  <si>
    <t>H</t>
  </si>
  <si>
    <t>O</t>
  </si>
  <si>
    <t>Na</t>
  </si>
  <si>
    <t>Mg</t>
  </si>
  <si>
    <t>Al</t>
  </si>
  <si>
    <t>Si</t>
  </si>
  <si>
    <t>K</t>
  </si>
  <si>
    <t>Ca</t>
  </si>
  <si>
    <t>Fe</t>
  </si>
  <si>
    <t>C</t>
  </si>
  <si>
    <t>working cells</t>
  </si>
  <si>
    <t>sum</t>
  </si>
  <si>
    <t>K2O</t>
  </si>
  <si>
    <t>Na2O</t>
  </si>
  <si>
    <t>CaO</t>
  </si>
  <si>
    <t>MgO</t>
  </si>
  <si>
    <t>FeO</t>
  </si>
  <si>
    <t>Al2O3</t>
  </si>
  <si>
    <t>CO2</t>
  </si>
  <si>
    <t>Vp/Vs</t>
  </si>
  <si>
    <t>SiO2 (wt%)</t>
  </si>
  <si>
    <t>Al2O3 (wt%)</t>
  </si>
  <si>
    <t>FeO (wt%)</t>
  </si>
  <si>
    <t>MgO (wt%)</t>
  </si>
  <si>
    <t>CaO (wt%)</t>
  </si>
  <si>
    <t>Na2O (wt%)</t>
  </si>
  <si>
    <t>K2O (wt%)</t>
  </si>
  <si>
    <t>CO2 (wt%)</t>
  </si>
  <si>
    <t>note 11, calculated using Poisson’s ratio for sillimanite and scaled against bulk modulus of sillimanite (structures are similar)</t>
  </si>
  <si>
    <t>note 12, calculated using Poisson’s ratio for orthoclase and scaled against bulk modulus of orthoclase (structures are similar)</t>
  </si>
  <si>
    <t>K04, Kung et al. [2004]</t>
  </si>
  <si>
    <t xml:space="preserve">from Holland and Powell [1998], except: </t>
  </si>
  <si>
    <t>A01, Angel et al. [2001]</t>
  </si>
  <si>
    <t>A88, Angel et al. [1988]</t>
  </si>
  <si>
    <t>A97, Angel et al. [1997]</t>
  </si>
  <si>
    <t>AA97, Allan and Angel [1997]</t>
  </si>
  <si>
    <t>AI95, Anderson and Isaak [1995]</t>
  </si>
  <si>
    <t>AJ02, Angel and Jackson [2002]</t>
  </si>
  <si>
    <t>A04, Angel [2004]</t>
  </si>
  <si>
    <t>B95, Bass [1995]</t>
  </si>
  <si>
    <t>BA03, Boffa Ballaran and Angel [2003]</t>
  </si>
  <si>
    <t>BH00, Bailey and Holloway [2000]</t>
  </si>
  <si>
    <t>C91, Comodi et al. [1991]</t>
  </si>
  <si>
    <t>C95, Comodi and Zanazzi [1995]</t>
  </si>
  <si>
    <t>note 13, assumed, common value [Anderson, 1989]</t>
  </si>
  <si>
    <t>C96, Christensen [1996]</t>
  </si>
  <si>
    <t>note 14, calculated at high T using Anderson and Isaak’s [1995] highest temperatures where dG/dT is nearly constant</t>
  </si>
  <si>
    <t>C97, Comodi et al. [1997]</t>
  </si>
  <si>
    <t>C00, Chinnery et al. [2000]</t>
  </si>
  <si>
    <t>note 16, approximated as gamma = dT [Anderson et al., 1992]</t>
  </si>
  <si>
    <t>CR02, Crichton and Ross [2002]</t>
  </si>
  <si>
    <t>F95, Fei [1995]</t>
  </si>
  <si>
    <t>G00, Grevel et al. [2000]</t>
  </si>
  <si>
    <t>H00, Haavik et al. [2000]</t>
  </si>
  <si>
    <r>
      <t>note 20, g</t>
    </r>
    <r>
      <rPr>
        <sz val="7.5"/>
        <rFont val="Times"/>
        <family val="1"/>
      </rPr>
      <t xml:space="preserve">th </t>
    </r>
    <r>
      <rPr>
        <sz val="11"/>
        <rFont val="Times"/>
        <family val="1"/>
      </rPr>
      <t>was calculated using Bina and Helffrichs’s [1992] equation (16) at 1000 K, using Holland and Powell’s [1998] values and d = 4</t>
    </r>
  </si>
  <si>
    <t>H96, Helffrich [1996]</t>
  </si>
  <si>
    <t>HF78, Hazen and Finger [1978]</t>
  </si>
  <si>
    <t>HP98, Holland and Powell [1998]</t>
  </si>
  <si>
    <t>J99, Jackson et al. [1999]</t>
  </si>
  <si>
    <t>L80, Levien et al. [1980]</t>
  </si>
  <si>
    <t>O95, Ohno [1995]</t>
  </si>
  <si>
    <t>P02, Pawley et al. [2002]</t>
  </si>
  <si>
    <t>P03, Pavese et al. [2003]</t>
  </si>
  <si>
    <t>PW96, Pawley and Wood [1996]</t>
  </si>
  <si>
    <t>RA99, Redfern and Angel [1999]</t>
  </si>
  <si>
    <t>S00, Smyth et al. [2000]</t>
  </si>
  <si>
    <t>SOA00, Suzuki et al. [2000]</t>
  </si>
  <si>
    <t>SB02, Sinogeikin and Bass [2002]</t>
  </si>
  <si>
    <t>T03, Theye et al. [2003]</t>
  </si>
  <si>
    <t>T91, Tyburczy [1991]</t>
  </si>
  <si>
    <t>WJ01, Wang and Ji [2001]</t>
  </si>
  <si>
    <t xml:space="preserve">X98, Xia et al. [1998]. </t>
  </si>
  <si>
    <t>S03, Schilling et al. [2003]</t>
  </si>
  <si>
    <t>S03</t>
  </si>
  <si>
    <t>J07, Jackson et al. [2007]</t>
  </si>
  <si>
    <t>J07</t>
  </si>
  <si>
    <t>SV09, Sanchez-Valle [2009]</t>
  </si>
  <si>
    <t>SV09</t>
  </si>
  <si>
    <t>S04, Speziale et al. [2004]</t>
  </si>
  <si>
    <t>S04</t>
  </si>
  <si>
    <t>L79, Levien et al., [1979]</t>
  </si>
  <si>
    <t>KW88b, Kandelin &amp; Wiedner [1988b]</t>
  </si>
  <si>
    <t>KW88a, Kandelin &amp; Wiedner [1988a]</t>
  </si>
  <si>
    <t>KW88a</t>
  </si>
  <si>
    <t>KW88b</t>
  </si>
  <si>
    <t>ac</t>
  </si>
  <si>
    <t>J06: Jiang et al. [2006]</t>
  </si>
  <si>
    <t>J06</t>
  </si>
  <si>
    <t>M07</t>
  </si>
  <si>
    <t>M07, Mao et al. [2007]</t>
  </si>
  <si>
    <t>HRP96, Holland et l. [1996]</t>
  </si>
  <si>
    <t>J04, Jiang et al. [2004]</t>
  </si>
  <si>
    <t>ZH77</t>
  </si>
  <si>
    <t>ZH77, Zhang &amp; Hafner [1977]</t>
  </si>
  <si>
    <t>P07, Pavese et al. [2007]</t>
  </si>
  <si>
    <t>ilmenite</t>
  </si>
  <si>
    <t>M08, Mainprice et al. [2008]</t>
  </si>
  <si>
    <t>MDT08, McCarthy et al. [2008]</t>
  </si>
  <si>
    <t>MDT08</t>
  </si>
  <si>
    <t>B07</t>
  </si>
  <si>
    <t>[23]</t>
  </si>
  <si>
    <t>note 23, K extrapolated to pure celadonite from Smyth et al. [2000]and Comodi and Zanazzi [1995]</t>
  </si>
  <si>
    <t>SL06: Schutt &amp; Lesher [2006]</t>
  </si>
  <si>
    <t>note 17, approximated as G' = (5*G)/(3*KT) [Anderson et al., 1992]</t>
  </si>
  <si>
    <t>note 18, approximated as dT = gth + KT' [Anderson et al., 1992]</t>
  </si>
  <si>
    <t>DS06, Downs &amp; Singh [2006]</t>
  </si>
  <si>
    <t>DS06</t>
  </si>
  <si>
    <t>A64, Aleksandrova et al. [1964]</t>
  </si>
  <si>
    <t>WP84. Wechsler &amp; Prewitt [1984]</t>
  </si>
  <si>
    <t>[25]</t>
  </si>
  <si>
    <t>CB98, Collins &amp; Brown [1998]</t>
  </si>
  <si>
    <t>[26]</t>
  </si>
  <si>
    <t>note 27, assumed to follow diopside</t>
  </si>
  <si>
    <t>[27]</t>
  </si>
  <si>
    <t>[28]</t>
  </si>
  <si>
    <t>note 28, assumed to follow enstatite</t>
  </si>
  <si>
    <t>CBS97, Chai, Brown, Slutsky [1997]</t>
  </si>
  <si>
    <t>[29]</t>
  </si>
  <si>
    <t>note 29, EXTRAPOLATED linearly from enstatite and ferrosilite and CBS97; use with caution or not at all</t>
  </si>
  <si>
    <t>note 26, EXTRAPOLATED linearly from diopside, hedenbergite, jadeite and CB98, assuming Al = Al + Cr, and Ca = Ca + Na; use with caution or not at all</t>
  </si>
  <si>
    <t>note 30, interpolated linearly from endmembers</t>
  </si>
  <si>
    <r>
      <t>note 15, adjusted from Bass [1995], using K</t>
    </r>
    <r>
      <rPr>
        <sz val="7.5"/>
        <rFont val="Times"/>
        <family val="1"/>
      </rPr>
      <t xml:space="preserve">T </t>
    </r>
    <r>
      <rPr>
        <sz val="11"/>
        <rFont val="Times"/>
        <family val="1"/>
      </rPr>
      <t>= K</t>
    </r>
    <r>
      <rPr>
        <sz val="7.5"/>
        <rFont val="Times"/>
        <family val="1"/>
      </rPr>
      <t>S</t>
    </r>
    <r>
      <rPr>
        <sz val="11"/>
        <rFont val="Times"/>
        <family val="1"/>
      </rPr>
      <t>/(1 + ag</t>
    </r>
    <r>
      <rPr>
        <sz val="7.5"/>
        <rFont val="Times"/>
        <family val="1"/>
      </rPr>
      <t>th</t>
    </r>
    <r>
      <rPr>
        <sz val="11"/>
        <rFont val="Times"/>
        <family val="1"/>
      </rPr>
      <t>T) [Anderson et al., 1992]</t>
    </r>
  </si>
  <si>
    <t>mgts</t>
  </si>
  <si>
    <t>cats</t>
  </si>
  <si>
    <t>Mg tschermak</t>
  </si>
  <si>
    <t>Ca tschermak</t>
  </si>
  <si>
    <t>acmite</t>
  </si>
  <si>
    <t>MgAlAlSiO6</t>
  </si>
  <si>
    <t>NaFeSi2O6</t>
  </si>
  <si>
    <t>CaAlAlSiO6</t>
  </si>
  <si>
    <t>These values do not include effects of anelasticity.</t>
  </si>
  <si>
    <t>note 22, clinozoisite assumed to follow zoisite</t>
  </si>
  <si>
    <t>[31]</t>
  </si>
  <si>
    <t>R66, Ryzhova (1966)</t>
  </si>
  <si>
    <t>note 31 calculated using Poisson’s ratio for zoisite (structures are similar)</t>
  </si>
  <si>
    <t>note 32, calculated using Poisson's ratio from R66</t>
  </si>
  <si>
    <t>[32]</t>
  </si>
  <si>
    <t>note 2 [hab], assumed that low albite and high albite have equivalent elastic moduli</t>
  </si>
  <si>
    <t>note 5 [daph], Theye et al. [2003] show no dependence of bulk modulus on Mg# for chlorite</t>
  </si>
  <si>
    <t>note 6 [chum], calculated using Poisson’s ratio for forsterite and scaled against bulk modulus of forsterite (structures are similar)</t>
  </si>
  <si>
    <t>note 7 [clin, daph, pre], calculated using Poisson’s ratio for muscovite and scaled against bulk modulus of muscovite (all are phyllosilicates)</t>
  </si>
  <si>
    <t>H06, Hilairet et al. [2006]</t>
  </si>
  <si>
    <t>note 1 [atg], adjusted to fit STP Poisson’s ratio measured by Christensen [2004]</t>
  </si>
  <si>
    <t xml:space="preserve">note 9 [an], scaled from K using Poisson's ratio = 0.295 in Bass [1995] </t>
  </si>
  <si>
    <t>[33]</t>
  </si>
  <si>
    <t>note 8, [hb] hornblendite Poisson's = 0.257 [Christensen, 1996] were used (instead of hornblende Poisson's = 0.288 [Alexandrov and Ryzhova, 1961])</t>
  </si>
  <si>
    <t>note 10, calculated as average of fact, ts, parg</t>
  </si>
  <si>
    <r>
      <t>note 19, Holland and Powell’s [1998] values and expansion for thermal expansivity: a(T) = a</t>
    </r>
    <r>
      <rPr>
        <sz val="7.5"/>
        <rFont val="Times"/>
        <family val="1"/>
      </rPr>
      <t>o</t>
    </r>
    <r>
      <rPr>
        <sz val="11"/>
        <rFont val="Times"/>
        <family val="1"/>
      </rPr>
      <t>(1 - 10/SQRT(T)), giving ln(V(T)/V</t>
    </r>
    <r>
      <rPr>
        <sz val="7.5"/>
        <rFont val="Times"/>
        <family val="1"/>
      </rPr>
      <t>o</t>
    </r>
    <r>
      <rPr>
        <sz val="11"/>
        <rFont val="Times"/>
        <family val="1"/>
      </rPr>
      <t>) = a</t>
    </r>
    <r>
      <rPr>
        <sz val="7.5"/>
        <rFont val="Times"/>
        <family val="1"/>
      </rPr>
      <t>o</t>
    </r>
    <r>
      <rPr>
        <sz val="11"/>
        <rFont val="Times"/>
        <family val="1"/>
      </rPr>
      <t>*((T - 298 + SQRT(T) - SQRT(298))</t>
    </r>
  </si>
  <si>
    <t>note 25, calculated using Poisson's ratio = 0.31 in Christensen [2004]</t>
  </si>
  <si>
    <t>OQVD08, Ori et al. [2008]</t>
  </si>
  <si>
    <t>OQVD08</t>
  </si>
  <si>
    <t>magnesite</t>
  </si>
  <si>
    <t>L08, Litasov et al. [2008]</t>
  </si>
  <si>
    <t>L08</t>
  </si>
  <si>
    <t>note 33 [mag], calculated using Poisson's ratio from B95</t>
  </si>
  <si>
    <t>mag</t>
  </si>
  <si>
    <t>MgCO3</t>
  </si>
  <si>
    <t>OHY06, Ohno et al. [2006]</t>
  </si>
  <si>
    <t>OHY06</t>
  </si>
  <si>
    <t>[34]</t>
  </si>
  <si>
    <t>LP81, Levien &amp; Prewitt [1981]</t>
  </si>
  <si>
    <t>LP81</t>
  </si>
  <si>
    <t>IOL06, Isaak et al. [2006]</t>
  </si>
  <si>
    <t>IOL06</t>
  </si>
  <si>
    <t>K04</t>
  </si>
  <si>
    <t>N06</t>
  </si>
  <si>
    <t>N06, Nestola et al. [2006]</t>
  </si>
  <si>
    <t>VG86, Vaughan &amp; Guggenheim (1986) in Bass 95</t>
  </si>
  <si>
    <t>[36]</t>
  </si>
  <si>
    <t>VW78 Vaughan &amp; Weidner 1978</t>
  </si>
  <si>
    <t>VW78</t>
  </si>
  <si>
    <t>[37]</t>
  </si>
  <si>
    <t>note 36 [cel], scaled to match muscovite Poissons</t>
  </si>
  <si>
    <t>[38]</t>
  </si>
  <si>
    <t>not 38 [lmt, wrk], assumed to have Poisson's ratio of albite</t>
  </si>
  <si>
    <t>note 39 [lmt], assumed to follow wairakite</t>
  </si>
  <si>
    <t>[39]</t>
  </si>
  <si>
    <r>
      <t>note 21, mass, density, and H</t>
    </r>
    <r>
      <rPr>
        <sz val="7.5"/>
        <rFont val="Times"/>
        <family val="1"/>
      </rPr>
      <t>2</t>
    </r>
    <r>
      <rPr>
        <sz val="11"/>
        <rFont val="Times"/>
        <family val="1"/>
      </rPr>
      <t>O content were calculated from mineral formula in Holland and Powell [1998], except for aqz &amp; bqz, from Ohno et al. [2006]</t>
    </r>
  </si>
  <si>
    <t>note 40 [aqz], fit to Christensen [1996]</t>
  </si>
  <si>
    <t>[41]</t>
  </si>
  <si>
    <t>note 34 [aqz], calculated from Ohno et al. [2006] and Ackerman et al. [1975]</t>
  </si>
  <si>
    <t>note 41  [bqz], calculated from Ohno et al. [2006] and Ackerman et al. [1975] using Tref = 575°C</t>
  </si>
  <si>
    <t>[42]</t>
  </si>
  <si>
    <t xml:space="preserve">note 42 [aqz, bqz], value here is placeholder; actual value is T dependent fit to Ohno et al. [2006] </t>
  </si>
  <si>
    <t>quartz</t>
  </si>
  <si>
    <t>qz</t>
  </si>
  <si>
    <t>R04</t>
  </si>
  <si>
    <t>R04, Reichmann et al. [2004]</t>
  </si>
  <si>
    <t>T99</t>
  </si>
  <si>
    <t>T99, Toohill et al. [1999]</t>
  </si>
  <si>
    <t>B09</t>
  </si>
  <si>
    <t>B09, Bezacier et al. (2009)</t>
  </si>
  <si>
    <t>H84, Hearmon [1984]</t>
  </si>
  <si>
    <t>H84</t>
  </si>
  <si>
    <t>rutile</t>
  </si>
  <si>
    <t>I98</t>
  </si>
  <si>
    <t>I98, Isaak et al [1998]</t>
  </si>
  <si>
    <t>[43]</t>
  </si>
  <si>
    <t>note 35 [muscovite], adjusted to fit Poisson's = 0.248 in VG86</t>
  </si>
  <si>
    <t>note 3 [phl] adjusted to fit Poisson’s ratio of 0.27 in Aleksandrova &amp; Ryzhova [1961]</t>
  </si>
  <si>
    <t>note 4 [ann], assumed no compositional dependence of modulus, based on Pavese et al. [2007]</t>
  </si>
  <si>
    <t>BFB97</t>
  </si>
  <si>
    <t>RC01, Ross and Crichton [2001], Mg, OH endmember</t>
  </si>
  <si>
    <t>BFB97, Beckman Fritzel &amp; Bass [1997], natural Mg93, 0.27F</t>
  </si>
  <si>
    <t>I89</t>
  </si>
  <si>
    <t>I89, Isaak et al [1989]</t>
  </si>
  <si>
    <t>ABSZ97</t>
  </si>
  <si>
    <t>ABSZ97, Abramson et al. [1997]</t>
  </si>
  <si>
    <t>note 37 [ta]. fit to Mainprice et al. [2008] data, excluding 0 GPa</t>
  </si>
  <si>
    <t>B10, Bezacier et al. (2010)</t>
  </si>
  <si>
    <t>B10</t>
  </si>
  <si>
    <t>BW84</t>
  </si>
  <si>
    <t>BW, Bass &amp; Weidner [1984]</t>
  </si>
  <si>
    <t>N10, Nestola et al. [2010]</t>
  </si>
  <si>
    <t>N10</t>
  </si>
  <si>
    <t>A99</t>
  </si>
  <si>
    <t>A99, Angel et al. [1999]</t>
  </si>
  <si>
    <t>assumed 0.27</t>
  </si>
  <si>
    <t>T10</t>
  </si>
  <si>
    <t>T10, Tronche et al. [2010]</t>
  </si>
  <si>
    <t>URL</t>
  </si>
  <si>
    <t>M11</t>
  </si>
  <si>
    <t>M11, Militzer et al. [2011]</t>
  </si>
  <si>
    <t>A12</t>
  </si>
  <si>
    <t>A12, Alvaro et al. [2012]</t>
  </si>
  <si>
    <t>L05, Liu et al. [2005]</t>
  </si>
  <si>
    <t>L05</t>
  </si>
  <si>
    <t>Ti</t>
  </si>
  <si>
    <t>TiO2</t>
  </si>
  <si>
    <t>crd</t>
  </si>
  <si>
    <t>scap</t>
  </si>
  <si>
    <t>red entries are new since Hacker &amp; Abers (2004)</t>
  </si>
  <si>
    <t>ilm</t>
  </si>
  <si>
    <t>rut</t>
  </si>
  <si>
    <t>ttn</t>
  </si>
  <si>
    <t xml:space="preserve">titanite </t>
  </si>
  <si>
    <t>FeTiO3</t>
  </si>
  <si>
    <t>CaTiSiO5</t>
  </si>
  <si>
    <t>Fe-Ti oxide</t>
  </si>
  <si>
    <t>Ti oxide</t>
  </si>
  <si>
    <t>Ca-Ti silicate</t>
  </si>
  <si>
    <t>TiO2 (wt%)</t>
  </si>
  <si>
    <t>note 24, no longer used</t>
  </si>
  <si>
    <t>B06, Brown et al. [2006]</t>
  </si>
  <si>
    <t>cordierite</t>
  </si>
  <si>
    <t>scapolite</t>
  </si>
  <si>
    <t>(Mg1.7Fe0.3)Al3.8Si5.2O18 0.25H2O 0.31CO2</t>
  </si>
  <si>
    <t>Ca4Al6Si6O24 CO3</t>
  </si>
  <si>
    <t>W14</t>
  </si>
  <si>
    <t>W14, Wang et al. [2014]</t>
  </si>
  <si>
    <t>Approximate bulk composition:</t>
  </si>
  <si>
    <t>All green cells are calculated and should not be modified by the user; the 'Sum' formula in row 66 needs to be present in each column.</t>
  </si>
  <si>
    <t>Explanation: This sheet consists of specified rock compositions, compiled from various sources.  Each can be copied into the "rocks" worksheet as desired.</t>
  </si>
  <si>
    <t>Explanation: This sheet contains mineral properties calculated for the P and T shown to the left. (To change P &amp; T, change their values in the "rocks" sheet, and then execute the macro.)</t>
  </si>
  <si>
    <t>high-T Na feldspar</t>
  </si>
  <si>
    <t>low-T Na feldspar</t>
  </si>
  <si>
    <t>Ca feldspar</t>
  </si>
  <si>
    <t>low-T K feldspar</t>
  </si>
  <si>
    <t>high-T K feldspar</t>
  </si>
  <si>
    <t>Mg pyroxene</t>
  </si>
  <si>
    <t>Fe pyroxene</t>
  </si>
  <si>
    <t>MgAlAl pyroxene</t>
  </si>
  <si>
    <t>NaAl pyroxene</t>
  </si>
  <si>
    <t>NaFe pyroxene</t>
  </si>
  <si>
    <t>CaAlAl pyroxene</t>
  </si>
  <si>
    <t>CaMg pyroxene</t>
  </si>
  <si>
    <t>CaFe pyroxene</t>
  </si>
  <si>
    <t>Mg amphibole</t>
  </si>
  <si>
    <t>CO2-Mg-Fe aluminosilicate</t>
  </si>
  <si>
    <t>CO2-Ca aluminosilicate</t>
  </si>
  <si>
    <t>T(∞C)</t>
  </si>
  <si>
    <t>T (∞C)</t>
  </si>
  <si>
    <t>Backstay 2.5kbar</t>
  </si>
  <si>
    <t>Backstay 1.5kbar</t>
  </si>
  <si>
    <t>Champagne 2.5kbar</t>
  </si>
  <si>
    <t>Champagne 1.5kbar</t>
  </si>
  <si>
    <t>Clast 59 2.5kbar</t>
  </si>
  <si>
    <t>Clast 59 1.5kbar</t>
  </si>
  <si>
    <t>Esperanza 2.5kbar</t>
  </si>
  <si>
    <t>Esperanza 1.5kbar</t>
  </si>
  <si>
    <t>Fastball 2.5kbar</t>
  </si>
  <si>
    <t>Fastball 1.5kbar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</si>
</sst>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E+00"/>
    <numFmt numFmtId="165" formatCode="0.0"/>
    <numFmt numFmtId="166" formatCode="0.000000"/>
    <numFmt numFmtId="167" formatCode="0.000"/>
    <numFmt numFmtId="168" formatCode="0.0000"/>
    <numFmt numFmtId="169" formatCode="0.000E+00"/>
    <numFmt numFmtId="170" formatCode="0.0000E+00"/>
    <numFmt numFmtId="171" formatCode="0.000000E+00"/>
  </numFmts>
  <fonts count="20">
    <font>
      <sz val="12"/>
      <name val="Times"/>
    </font>
    <font>
      <b/>
      <sz val="12"/>
      <name val="Times"/>
      <family val="1"/>
    </font>
    <font>
      <sz val="12"/>
      <name val="Times"/>
      <family val="1"/>
    </font>
    <font>
      <sz val="12"/>
      <color indexed="8"/>
      <name val="Times"/>
      <family val="1"/>
    </font>
    <font>
      <b/>
      <sz val="12"/>
      <color indexed="8"/>
      <name val="Times"/>
      <family val="1"/>
    </font>
    <font>
      <i/>
      <sz val="12"/>
      <color indexed="8"/>
      <name val="Times"/>
      <family val="1"/>
    </font>
    <font>
      <b/>
      <sz val="12"/>
      <color indexed="8"/>
      <name val="Times New Roman"/>
      <family val="1"/>
    </font>
    <font>
      <b/>
      <i/>
      <sz val="12"/>
      <color indexed="8"/>
      <name val="Times"/>
      <family val="1"/>
    </font>
    <font>
      <sz val="12"/>
      <color indexed="10"/>
      <name val="Times"/>
      <family val="1"/>
    </font>
    <font>
      <sz val="8"/>
      <name val="Times"/>
      <family val="1"/>
    </font>
    <font>
      <sz val="11"/>
      <name val="Times"/>
      <family val="1"/>
    </font>
    <font>
      <sz val="12"/>
      <name val="Times"/>
      <family val="1"/>
    </font>
    <font>
      <sz val="12"/>
      <name val="Times"/>
      <family val="1"/>
    </font>
    <font>
      <sz val="7.5"/>
      <name val="Times"/>
      <family val="1"/>
    </font>
    <font>
      <sz val="10"/>
      <name val="Symbol"/>
      <family val="1"/>
    </font>
    <font>
      <b/>
      <sz val="12"/>
      <color indexed="10"/>
      <name val="Times"/>
      <family val="1"/>
    </font>
    <font>
      <sz val="12"/>
      <color indexed="21"/>
      <name val="Arial"/>
      <family val="2"/>
    </font>
    <font>
      <sz val="12"/>
      <name val="Times"/>
      <family val="1"/>
    </font>
    <font>
      <sz val="10"/>
      <name val="Arial"/>
      <family val="2"/>
    </font>
    <font>
      <sz val="14"/>
      <color rgb="FF000090"/>
      <name val="Charcoal"/>
    </font>
  </fonts>
  <fills count="10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 style="thin">
        <color indexed="55"/>
      </right>
      <top style="thin">
        <color indexed="64"/>
      </top>
      <bottom/>
      <diagonal/>
    </border>
    <border>
      <left style="thin">
        <color indexed="64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 style="thin">
        <color indexed="64"/>
      </top>
      <bottom/>
      <diagonal/>
    </border>
    <border>
      <left/>
      <right style="thin">
        <color indexed="55"/>
      </right>
      <top style="thin">
        <color indexed="64"/>
      </top>
      <bottom/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8" fillId="0" borderId="0"/>
    <xf numFmtId="9" fontId="2" fillId="0" borderId="0" applyFont="0" applyFill="0" applyBorder="0" applyAlignment="0" applyProtection="0"/>
  </cellStyleXfs>
  <cellXfs count="176">
    <xf numFmtId="0" fontId="0" fillId="0" borderId="0" xfId="0"/>
    <xf numFmtId="165" fontId="3" fillId="0" borderId="0" xfId="0" applyNumberFormat="1" applyFont="1"/>
    <xf numFmtId="164" fontId="3" fillId="0" borderId="0" xfId="0" applyNumberFormat="1" applyFont="1"/>
    <xf numFmtId="11" fontId="3" fillId="0" borderId="0" xfId="0" applyNumberFormat="1" applyFont="1"/>
    <xf numFmtId="0" fontId="3" fillId="0" borderId="0" xfId="0" applyFont="1"/>
    <xf numFmtId="1" fontId="3" fillId="0" borderId="0" xfId="0" applyNumberFormat="1" applyFont="1"/>
    <xf numFmtId="2" fontId="3" fillId="0" borderId="0" xfId="0" applyNumberFormat="1" applyFont="1"/>
    <xf numFmtId="170" fontId="3" fillId="0" borderId="0" xfId="0" applyNumberFormat="1" applyFont="1"/>
    <xf numFmtId="167" fontId="3" fillId="0" borderId="0" xfId="0" applyNumberFormat="1" applyFont="1"/>
    <xf numFmtId="169" fontId="3" fillId="0" borderId="0" xfId="0" applyNumberFormat="1" applyFont="1"/>
    <xf numFmtId="0" fontId="3" fillId="0" borderId="0" xfId="0" applyFont="1" applyAlignment="1">
      <alignment horizontal="center"/>
    </xf>
    <xf numFmtId="165" fontId="4" fillId="0" borderId="0" xfId="0" applyNumberFormat="1" applyFont="1" applyAlignment="1">
      <alignment horizontal="right"/>
    </xf>
    <xf numFmtId="165" fontId="4" fillId="0" borderId="0" xfId="0" applyNumberFormat="1" applyFont="1"/>
    <xf numFmtId="0" fontId="3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165" fontId="3" fillId="2" borderId="0" xfId="0" applyNumberFormat="1" applyFont="1" applyFill="1"/>
    <xf numFmtId="1" fontId="3" fillId="3" borderId="0" xfId="0" applyNumberFormat="1" applyFont="1" applyFill="1"/>
    <xf numFmtId="165" fontId="4" fillId="4" borderId="0" xfId="0" applyNumberFormat="1" applyFont="1" applyFill="1" applyAlignment="1">
      <alignment horizontal="right"/>
    </xf>
    <xf numFmtId="0" fontId="3" fillId="4" borderId="1" xfId="0" applyFont="1" applyFill="1" applyBorder="1" applyAlignment="1">
      <alignment horizontal="right"/>
    </xf>
    <xf numFmtId="0" fontId="4" fillId="4" borderId="2" xfId="0" applyFont="1" applyFill="1" applyBorder="1" applyAlignment="1">
      <alignment horizontal="right"/>
    </xf>
    <xf numFmtId="0" fontId="4" fillId="4" borderId="0" xfId="0" applyFont="1" applyFill="1" applyAlignment="1">
      <alignment horizontal="right"/>
    </xf>
    <xf numFmtId="170" fontId="4" fillId="4" borderId="1" xfId="0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164" fontId="4" fillId="4" borderId="1" xfId="0" applyNumberFormat="1" applyFont="1" applyFill="1" applyBorder="1" applyAlignment="1">
      <alignment horizontal="center"/>
    </xf>
    <xf numFmtId="169" fontId="4" fillId="4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2" fontId="4" fillId="4" borderId="1" xfId="0" applyNumberFormat="1" applyFont="1" applyFill="1" applyBorder="1" applyAlignment="1">
      <alignment horizontal="center"/>
    </xf>
    <xf numFmtId="167" fontId="4" fillId="4" borderId="1" xfId="0" applyNumberFormat="1" applyFont="1" applyFill="1" applyBorder="1" applyAlignment="1">
      <alignment horizontal="center"/>
    </xf>
    <xf numFmtId="170" fontId="4" fillId="4" borderId="2" xfId="0" applyNumberFormat="1" applyFont="1" applyFill="1" applyBorder="1" applyAlignment="1">
      <alignment horizontal="center"/>
    </xf>
    <xf numFmtId="1" fontId="4" fillId="4" borderId="2" xfId="0" applyNumberFormat="1" applyFont="1" applyFill="1" applyBorder="1" applyAlignment="1">
      <alignment horizontal="center"/>
    </xf>
    <xf numFmtId="164" fontId="4" fillId="4" borderId="2" xfId="0" applyNumberFormat="1" applyFont="1" applyFill="1" applyBorder="1" applyAlignment="1">
      <alignment horizontal="center"/>
    </xf>
    <xf numFmtId="169" fontId="4" fillId="4" borderId="2" xfId="0" applyNumberFormat="1" applyFont="1" applyFill="1" applyBorder="1" applyAlignment="1">
      <alignment horizontal="center"/>
    </xf>
    <xf numFmtId="165" fontId="4" fillId="4" borderId="2" xfId="0" applyNumberFormat="1" applyFont="1" applyFill="1" applyBorder="1" applyAlignment="1">
      <alignment horizontal="center"/>
    </xf>
    <xf numFmtId="2" fontId="4" fillId="4" borderId="2" xfId="0" applyNumberFormat="1" applyFont="1" applyFill="1" applyBorder="1" applyAlignment="1">
      <alignment horizontal="center"/>
    </xf>
    <xf numFmtId="167" fontId="4" fillId="4" borderId="2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4" fillId="4" borderId="2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right"/>
    </xf>
    <xf numFmtId="165" fontId="3" fillId="3" borderId="0" xfId="0" applyNumberFormat="1" applyFont="1" applyFill="1"/>
    <xf numFmtId="167" fontId="3" fillId="3" borderId="0" xfId="0" applyNumberFormat="1" applyFont="1" applyFill="1"/>
    <xf numFmtId="2" fontId="3" fillId="3" borderId="0" xfId="0" applyNumberFormat="1" applyFont="1" applyFill="1"/>
    <xf numFmtId="170" fontId="3" fillId="3" borderId="0" xfId="0" applyNumberFormat="1" applyFont="1" applyFill="1"/>
    <xf numFmtId="164" fontId="3" fillId="3" borderId="0" xfId="0" applyNumberFormat="1" applyFont="1" applyFill="1"/>
    <xf numFmtId="169" fontId="3" fillId="3" borderId="0" xfId="0" applyNumberFormat="1" applyFont="1" applyFill="1"/>
    <xf numFmtId="0" fontId="3" fillId="4" borderId="0" xfId="0" applyFont="1" applyFill="1" applyAlignment="1">
      <alignment horizontal="right"/>
    </xf>
    <xf numFmtId="165" fontId="3" fillId="2" borderId="3" xfId="0" applyNumberFormat="1" applyFont="1" applyFill="1" applyBorder="1"/>
    <xf numFmtId="165" fontId="3" fillId="3" borderId="3" xfId="0" applyNumberFormat="1" applyFont="1" applyFill="1" applyBorder="1" applyAlignment="1">
      <alignment horizontal="center"/>
    </xf>
    <xf numFmtId="165" fontId="7" fillId="5" borderId="0" xfId="0" applyNumberFormat="1" applyFont="1" applyFill="1" applyAlignment="1">
      <alignment horizontal="right"/>
    </xf>
    <xf numFmtId="165" fontId="3" fillId="2" borderId="4" xfId="0" applyNumberFormat="1" applyFont="1" applyFill="1" applyBorder="1" applyAlignment="1">
      <alignment horizontal="center"/>
    </xf>
    <xf numFmtId="165" fontId="3" fillId="2" borderId="5" xfId="0" applyNumberFormat="1" applyFont="1" applyFill="1" applyBorder="1" applyAlignment="1">
      <alignment horizontal="center"/>
    </xf>
    <xf numFmtId="165" fontId="4" fillId="4" borderId="0" xfId="0" quotePrefix="1" applyNumberFormat="1" applyFont="1" applyFill="1" applyAlignment="1">
      <alignment horizontal="right"/>
    </xf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>
      <alignment horizontal="center"/>
    </xf>
    <xf numFmtId="1" fontId="3" fillId="0" borderId="0" xfId="0" applyNumberFormat="1" applyFont="1" applyAlignment="1">
      <alignment horizontal="center"/>
    </xf>
    <xf numFmtId="165" fontId="8" fillId="0" borderId="0" xfId="0" applyNumberFormat="1" applyFont="1"/>
    <xf numFmtId="165" fontId="8" fillId="2" borderId="0" xfId="0" applyNumberFormat="1" applyFont="1" applyFill="1"/>
    <xf numFmtId="165" fontId="8" fillId="3" borderId="0" xfId="0" applyNumberFormat="1" applyFont="1" applyFill="1"/>
    <xf numFmtId="165" fontId="8" fillId="2" borderId="4" xfId="0" applyNumberFormat="1" applyFont="1" applyFill="1" applyBorder="1" applyAlignment="1">
      <alignment horizontal="center"/>
    </xf>
    <xf numFmtId="0" fontId="8" fillId="0" borderId="0" xfId="0" applyFont="1"/>
    <xf numFmtId="167" fontId="2" fillId="0" borderId="0" xfId="0" applyNumberFormat="1" applyFont="1" applyAlignment="1">
      <alignment horizontal="right"/>
    </xf>
    <xf numFmtId="0" fontId="2" fillId="0" borderId="0" xfId="0" applyFont="1"/>
    <xf numFmtId="165" fontId="2" fillId="0" borderId="0" xfId="0" applyNumberFormat="1" applyFont="1"/>
    <xf numFmtId="167" fontId="2" fillId="0" borderId="0" xfId="0" applyNumberFormat="1" applyFont="1"/>
    <xf numFmtId="166" fontId="2" fillId="0" borderId="0" xfId="0" applyNumberFormat="1" applyFont="1" applyAlignment="1">
      <alignment horizontal="right"/>
    </xf>
    <xf numFmtId="166" fontId="2" fillId="0" borderId="0" xfId="0" applyNumberFormat="1" applyFont="1"/>
    <xf numFmtId="1" fontId="4" fillId="4" borderId="1" xfId="0" applyNumberFormat="1" applyFont="1" applyFill="1" applyBorder="1"/>
    <xf numFmtId="0" fontId="4" fillId="4" borderId="1" xfId="0" applyFont="1" applyFill="1" applyBorder="1"/>
    <xf numFmtId="2" fontId="3" fillId="4" borderId="1" xfId="0" applyNumberFormat="1" applyFont="1" applyFill="1" applyBorder="1"/>
    <xf numFmtId="0" fontId="10" fillId="0" borderId="0" xfId="0" applyFont="1"/>
    <xf numFmtId="0" fontId="11" fillId="0" borderId="0" xfId="0" applyFont="1"/>
    <xf numFmtId="0" fontId="12" fillId="0" borderId="0" xfId="0" applyFont="1"/>
    <xf numFmtId="1" fontId="8" fillId="0" borderId="0" xfId="0" applyNumberFormat="1" applyFont="1"/>
    <xf numFmtId="0" fontId="1" fillId="4" borderId="0" xfId="0" applyFont="1" applyFill="1" applyAlignment="1">
      <alignment horizontal="right"/>
    </xf>
    <xf numFmtId="2" fontId="14" fillId="0" borderId="0" xfId="0" applyNumberFormat="1" applyFont="1"/>
    <xf numFmtId="165" fontId="4" fillId="2" borderId="0" xfId="0" applyNumberFormat="1" applyFont="1" applyFill="1" applyAlignment="1">
      <alignment horizontal="right"/>
    </xf>
    <xf numFmtId="167" fontId="3" fillId="2" borderId="4" xfId="0" applyNumberFormat="1" applyFont="1" applyFill="1" applyBorder="1"/>
    <xf numFmtId="2" fontId="3" fillId="2" borderId="4" xfId="0" applyNumberFormat="1" applyFont="1" applyFill="1" applyBorder="1"/>
    <xf numFmtId="0" fontId="3" fillId="2" borderId="4" xfId="0" applyFont="1" applyFill="1" applyBorder="1"/>
    <xf numFmtId="170" fontId="4" fillId="4" borderId="0" xfId="0" applyNumberFormat="1" applyFont="1" applyFill="1" applyAlignment="1">
      <alignment horizontal="right"/>
    </xf>
    <xf numFmtId="169" fontId="4" fillId="4" borderId="0" xfId="0" applyNumberFormat="1" applyFont="1" applyFill="1" applyAlignment="1">
      <alignment horizontal="right"/>
    </xf>
    <xf numFmtId="2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165" fontId="4" fillId="4" borderId="6" xfId="0" applyNumberFormat="1" applyFont="1" applyFill="1" applyBorder="1" applyAlignment="1">
      <alignment horizontal="center" wrapText="1"/>
    </xf>
    <xf numFmtId="165" fontId="4" fillId="4" borderId="7" xfId="0" applyNumberFormat="1" applyFont="1" applyFill="1" applyBorder="1" applyAlignment="1">
      <alignment horizontal="center" wrapText="1"/>
    </xf>
    <xf numFmtId="1" fontId="4" fillId="4" borderId="7" xfId="0" applyNumberFormat="1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165" fontId="4" fillId="4" borderId="8" xfId="0" applyNumberFormat="1" applyFont="1" applyFill="1" applyBorder="1" applyAlignment="1">
      <alignment horizontal="center"/>
    </xf>
    <xf numFmtId="165" fontId="4" fillId="4" borderId="9" xfId="0" applyNumberFormat="1" applyFont="1" applyFill="1" applyBorder="1" applyAlignment="1">
      <alignment horizontal="center"/>
    </xf>
    <xf numFmtId="1" fontId="4" fillId="4" borderId="9" xfId="0" applyNumberFormat="1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wrapText="1"/>
    </xf>
    <xf numFmtId="0" fontId="6" fillId="4" borderId="11" xfId="0" applyFont="1" applyFill="1" applyBorder="1" applyAlignment="1">
      <alignment horizontal="center" wrapText="1"/>
    </xf>
    <xf numFmtId="164" fontId="4" fillId="4" borderId="12" xfId="0" applyNumberFormat="1" applyFont="1" applyFill="1" applyBorder="1" applyAlignment="1">
      <alignment horizontal="center"/>
    </xf>
    <xf numFmtId="164" fontId="4" fillId="4" borderId="13" xfId="0" applyNumberFormat="1" applyFont="1" applyFill="1" applyBorder="1" applyAlignment="1">
      <alignment horizontal="center"/>
    </xf>
    <xf numFmtId="165" fontId="4" fillId="4" borderId="10" xfId="0" applyNumberFormat="1" applyFont="1" applyFill="1" applyBorder="1" applyAlignment="1">
      <alignment horizontal="center" wrapText="1"/>
    </xf>
    <xf numFmtId="11" fontId="4" fillId="4" borderId="12" xfId="0" applyNumberFormat="1" applyFont="1" applyFill="1" applyBorder="1" applyAlignment="1">
      <alignment horizontal="center"/>
    </xf>
    <xf numFmtId="2" fontId="4" fillId="4" borderId="10" xfId="0" applyNumberFormat="1" applyFont="1" applyFill="1" applyBorder="1" applyAlignment="1">
      <alignment horizontal="center"/>
    </xf>
    <xf numFmtId="2" fontId="4" fillId="4" borderId="12" xfId="0" applyNumberFormat="1" applyFont="1" applyFill="1" applyBorder="1" applyAlignment="1">
      <alignment horizontal="center"/>
    </xf>
    <xf numFmtId="165" fontId="4" fillId="4" borderId="12" xfId="0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0" xfId="0" applyFont="1" applyAlignment="1">
      <alignment horizontal="right"/>
    </xf>
    <xf numFmtId="0" fontId="8" fillId="0" borderId="0" xfId="0" applyFont="1" applyAlignment="1">
      <alignment horizontal="left"/>
    </xf>
    <xf numFmtId="0" fontId="15" fillId="4" borderId="0" xfId="0" applyFont="1" applyFill="1" applyAlignment="1">
      <alignment horizontal="right"/>
    </xf>
    <xf numFmtId="165" fontId="3" fillId="2" borderId="14" xfId="0" applyNumberFormat="1" applyFont="1" applyFill="1" applyBorder="1" applyAlignment="1">
      <alignment horizontal="center"/>
    </xf>
    <xf numFmtId="0" fontId="16" fillId="0" borderId="0" xfId="0" applyFont="1"/>
    <xf numFmtId="0" fontId="0" fillId="3" borderId="0" xfId="0" applyFill="1"/>
    <xf numFmtId="0" fontId="0" fillId="2" borderId="0" xfId="0" applyFill="1"/>
    <xf numFmtId="0" fontId="1" fillId="2" borderId="0" xfId="0" applyFont="1" applyFill="1" applyAlignment="1">
      <alignment horizontal="right"/>
    </xf>
    <xf numFmtId="1" fontId="0" fillId="2" borderId="0" xfId="0" applyNumberFormat="1" applyFill="1"/>
    <xf numFmtId="165" fontId="15" fillId="4" borderId="0" xfId="0" applyNumberFormat="1" applyFont="1" applyFill="1" applyAlignment="1">
      <alignment horizontal="right"/>
    </xf>
    <xf numFmtId="165" fontId="7" fillId="3" borderId="0" xfId="0" applyNumberFormat="1" applyFont="1" applyFill="1" applyAlignment="1">
      <alignment horizontal="right"/>
    </xf>
    <xf numFmtId="2" fontId="4" fillId="2" borderId="0" xfId="0" applyNumberFormat="1" applyFont="1" applyFill="1" applyAlignment="1">
      <alignment horizontal="right"/>
    </xf>
    <xf numFmtId="2" fontId="0" fillId="2" borderId="0" xfId="0" applyNumberFormat="1" applyFill="1"/>
    <xf numFmtId="2" fontId="4" fillId="3" borderId="0" xfId="0" applyNumberFormat="1" applyFont="1" applyFill="1" applyAlignment="1">
      <alignment horizontal="right"/>
    </xf>
    <xf numFmtId="2" fontId="0" fillId="3" borderId="0" xfId="0" applyNumberFormat="1" applyFill="1"/>
    <xf numFmtId="165" fontId="0" fillId="3" borderId="0" xfId="0" applyNumberFormat="1" applyFill="1"/>
    <xf numFmtId="165" fontId="4" fillId="3" borderId="0" xfId="0" applyNumberFormat="1" applyFont="1" applyFill="1" applyAlignment="1">
      <alignment horizontal="right"/>
    </xf>
    <xf numFmtId="1" fontId="4" fillId="0" borderId="0" xfId="0" applyNumberFormat="1" applyFont="1" applyAlignment="1">
      <alignment horizontal="left"/>
    </xf>
    <xf numFmtId="167" fontId="4" fillId="3" borderId="0" xfId="0" applyNumberFormat="1" applyFont="1" applyFill="1" applyAlignment="1">
      <alignment horizontal="right"/>
    </xf>
    <xf numFmtId="167" fontId="0" fillId="3" borderId="0" xfId="0" applyNumberFormat="1" applyFill="1"/>
    <xf numFmtId="168" fontId="3" fillId="6" borderId="0" xfId="0" applyNumberFormat="1" applyFont="1" applyFill="1"/>
    <xf numFmtId="168" fontId="2" fillId="6" borderId="0" xfId="0" applyNumberFormat="1" applyFont="1" applyFill="1"/>
    <xf numFmtId="168" fontId="8" fillId="6" borderId="0" xfId="0" applyNumberFormat="1" applyFont="1" applyFill="1"/>
    <xf numFmtId="168" fontId="3" fillId="0" borderId="0" xfId="0" applyNumberFormat="1" applyFont="1"/>
    <xf numFmtId="168" fontId="2" fillId="0" borderId="0" xfId="0" applyNumberFormat="1" applyFont="1"/>
    <xf numFmtId="168" fontId="8" fillId="0" borderId="0" xfId="0" applyNumberFormat="1" applyFont="1"/>
    <xf numFmtId="171" fontId="8" fillId="6" borderId="0" xfId="0" applyNumberFormat="1" applyFont="1" applyFill="1"/>
    <xf numFmtId="171" fontId="3" fillId="6" borderId="0" xfId="0" applyNumberFormat="1" applyFont="1" applyFill="1"/>
    <xf numFmtId="2" fontId="2" fillId="0" borderId="0" xfId="0" applyNumberFormat="1" applyFont="1"/>
    <xf numFmtId="2" fontId="8" fillId="0" borderId="0" xfId="0" applyNumberFormat="1" applyFont="1"/>
    <xf numFmtId="166" fontId="3" fillId="0" borderId="0" xfId="0" applyNumberFormat="1" applyFont="1"/>
    <xf numFmtId="170" fontId="3" fillId="6" borderId="0" xfId="0" applyNumberFormat="1" applyFont="1" applyFill="1"/>
    <xf numFmtId="170" fontId="8" fillId="6" borderId="0" xfId="0" applyNumberFormat="1" applyFont="1" applyFill="1"/>
    <xf numFmtId="170" fontId="2" fillId="6" borderId="0" xfId="0" applyNumberFormat="1" applyFont="1" applyFill="1"/>
    <xf numFmtId="166" fontId="3" fillId="2" borderId="15" xfId="0" applyNumberFormat="1" applyFont="1" applyFill="1" applyBorder="1" applyAlignment="1">
      <alignment horizontal="center"/>
    </xf>
    <xf numFmtId="166" fontId="3" fillId="2" borderId="16" xfId="0" applyNumberFormat="1" applyFont="1" applyFill="1" applyBorder="1" applyAlignment="1">
      <alignment horizontal="center"/>
    </xf>
    <xf numFmtId="166" fontId="3" fillId="2" borderId="14" xfId="0" applyNumberFormat="1" applyFont="1" applyFill="1" applyBorder="1" applyAlignment="1">
      <alignment horizontal="center"/>
    </xf>
    <xf numFmtId="166" fontId="3" fillId="2" borderId="17" xfId="0" applyNumberFormat="1" applyFont="1" applyFill="1" applyBorder="1" applyAlignment="1">
      <alignment horizontal="center"/>
    </xf>
    <xf numFmtId="166" fontId="3" fillId="2" borderId="4" xfId="0" applyNumberFormat="1" applyFont="1" applyFill="1" applyBorder="1" applyAlignment="1">
      <alignment horizontal="center"/>
    </xf>
    <xf numFmtId="166" fontId="3" fillId="2" borderId="17" xfId="0" applyNumberFormat="1" applyFont="1" applyFill="1" applyBorder="1"/>
    <xf numFmtId="166" fontId="3" fillId="2" borderId="4" xfId="0" applyNumberFormat="1" applyFont="1" applyFill="1" applyBorder="1"/>
    <xf numFmtId="166" fontId="0" fillId="2" borderId="0" xfId="0" applyNumberFormat="1" applyFill="1"/>
    <xf numFmtId="166" fontId="8" fillId="2" borderId="17" xfId="0" applyNumberFormat="1" applyFont="1" applyFill="1" applyBorder="1" applyAlignment="1">
      <alignment horizontal="center"/>
    </xf>
    <xf numFmtId="166" fontId="8" fillId="2" borderId="4" xfId="0" applyNumberFormat="1" applyFont="1" applyFill="1" applyBorder="1" applyAlignment="1">
      <alignment horizontal="center"/>
    </xf>
    <xf numFmtId="166" fontId="3" fillId="2" borderId="18" xfId="0" applyNumberFormat="1" applyFont="1" applyFill="1" applyBorder="1" applyAlignment="1">
      <alignment horizontal="center"/>
    </xf>
    <xf numFmtId="166" fontId="3" fillId="2" borderId="5" xfId="0" applyNumberFormat="1" applyFont="1" applyFill="1" applyBorder="1" applyAlignment="1">
      <alignment horizontal="center"/>
    </xf>
    <xf numFmtId="0" fontId="3" fillId="3" borderId="0" xfId="0" applyFont="1" applyFill="1"/>
    <xf numFmtId="0" fontId="3" fillId="2" borderId="0" xfId="0" applyFont="1" applyFill="1"/>
    <xf numFmtId="0" fontId="3" fillId="2" borderId="3" xfId="0" applyFont="1" applyFill="1" applyBorder="1"/>
    <xf numFmtId="0" fontId="3" fillId="3" borderId="3" xfId="0" applyFont="1" applyFill="1" applyBorder="1" applyAlignment="1">
      <alignment horizontal="center"/>
    </xf>
    <xf numFmtId="0" fontId="18" fillId="0" borderId="0" xfId="1"/>
    <xf numFmtId="0" fontId="17" fillId="0" borderId="0" xfId="2" applyNumberFormat="1" applyFont="1" applyFill="1"/>
    <xf numFmtId="0" fontId="0" fillId="0" borderId="0" xfId="2" applyNumberFormat="1" applyFont="1"/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2" fontId="4" fillId="7" borderId="0" xfId="0" applyNumberFormat="1" applyFont="1" applyFill="1" applyAlignment="1">
      <alignment horizontal="right"/>
    </xf>
    <xf numFmtId="0" fontId="0" fillId="7" borderId="0" xfId="0" applyFill="1"/>
    <xf numFmtId="2" fontId="0" fillId="7" borderId="0" xfId="0" applyNumberFormat="1" applyFill="1"/>
    <xf numFmtId="2" fontId="4" fillId="8" borderId="0" xfId="0" applyNumberFormat="1" applyFont="1" applyFill="1" applyAlignment="1">
      <alignment horizontal="right"/>
    </xf>
    <xf numFmtId="0" fontId="0" fillId="8" borderId="0" xfId="0" applyFill="1"/>
    <xf numFmtId="2" fontId="0" fillId="8" borderId="0" xfId="0" applyNumberFormat="1" applyFill="1"/>
    <xf numFmtId="0" fontId="3" fillId="9" borderId="3" xfId="0" applyFont="1" applyFill="1" applyBorder="1"/>
    <xf numFmtId="0" fontId="3" fillId="9" borderId="15" xfId="0" applyFont="1" applyFill="1" applyBorder="1" applyAlignment="1">
      <alignment horizontal="center"/>
    </xf>
    <xf numFmtId="0" fontId="3" fillId="9" borderId="17" xfId="0" applyFont="1" applyFill="1" applyBorder="1" applyAlignment="1">
      <alignment horizontal="center"/>
    </xf>
    <xf numFmtId="0" fontId="0" fillId="9" borderId="0" xfId="0" applyFill="1"/>
    <xf numFmtId="0" fontId="3" fillId="9" borderId="17" xfId="0" applyFont="1" applyFill="1" applyBorder="1"/>
    <xf numFmtId="0" fontId="8" fillId="9" borderId="17" xfId="0" applyFont="1" applyFill="1" applyBorder="1" applyAlignment="1">
      <alignment horizontal="center"/>
    </xf>
    <xf numFmtId="0" fontId="3" fillId="9" borderId="18" xfId="0" applyFont="1" applyFill="1" applyBorder="1" applyAlignment="1">
      <alignment horizontal="center"/>
    </xf>
    <xf numFmtId="0" fontId="3" fillId="9" borderId="16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4" xfId="0" applyFont="1" applyFill="1" applyBorder="1"/>
    <xf numFmtId="0" fontId="8" fillId="9" borderId="4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</cellXfs>
  <cellStyles count="3">
    <cellStyle name="Normal" xfId="0" builtinId="0"/>
    <cellStyle name="Normal_cplotDMMH2O._output" xfId="1" xr:uid="{00000000-0005-0000-0000-000001000000}"/>
    <cellStyle name="Per cent" xfId="2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7BF-A44B-AF0A-E46B1FF6C4DF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7BF-A44B-AF0A-E46B1FF6C4DF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7BF-A44B-AF0A-E46B1FF6C4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986799"/>
        <c:axId val="1"/>
      </c:scatterChart>
      <c:valAx>
        <c:axId val="46986799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46986799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xVal>
          <c:yVal>
            <c:numRef>
              <c:f>rocks!#REF!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567D-1A4A-9BEA-6E6F9126EF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20399"/>
        <c:axId val="1"/>
      </c:scatterChart>
      <c:valAx>
        <c:axId val="46020399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46020399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xVal>
            <c:numLit>
              <c:formatCode>General</c:formatCode>
              <c:ptCount val="17"/>
              <c:pt idx="0">
                <c:v>53.507102966308594</c:v>
              </c:pt>
              <c:pt idx="1">
                <c:v>49.861011505126953</c:v>
              </c:pt>
              <c:pt idx="2">
                <c:v>49.861011505126953</c:v>
              </c:pt>
              <c:pt idx="3">
                <c:v>49.861011505126953</c:v>
              </c:pt>
              <c:pt idx="4">
                <c:v>49.861011505126953</c:v>
              </c:pt>
              <c:pt idx="5">
                <c:v>49.861011505126953</c:v>
              </c:pt>
              <c:pt idx="6">
                <c:v>49.861011505126953</c:v>
              </c:pt>
              <c:pt idx="7">
                <c:v>49.861011505126953</c:v>
              </c:pt>
              <c:pt idx="8">
                <c:v>49.861011505126953</c:v>
              </c:pt>
              <c:pt idx="9">
                <c:v>50.537807464599609</c:v>
              </c:pt>
              <c:pt idx="10">
                <c:v>50.537807464599609</c:v>
              </c:pt>
              <c:pt idx="11">
                <c:v>50.537807464599609</c:v>
              </c:pt>
              <c:pt idx="12">
                <c:v>50.537807464599609</c:v>
              </c:pt>
              <c:pt idx="13">
                <c:v>50.537807464599609</c:v>
              </c:pt>
              <c:pt idx="14">
                <c:v>50.537807464599609</c:v>
              </c:pt>
              <c:pt idx="15">
                <c:v>50.537807464599609</c:v>
              </c:pt>
              <c:pt idx="16">
                <c:v>50.537807464599609</c:v>
              </c:pt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0.27571297374012838</c:v>
              </c:pt>
              <c:pt idx="2">
                <c:v>0.28170025490677175</c:v>
              </c:pt>
              <c:pt idx="3">
                <c:v>0.28350968826263528</c:v>
              </c:pt>
              <c:pt idx="4">
                <c:v>0.28467176517967635</c:v>
              </c:pt>
              <c:pt idx="5">
                <c:v>0.28695144659559019</c:v>
              </c:pt>
              <c:pt idx="6">
                <c:v>0.28807731715818252</c:v>
              </c:pt>
              <c:pt idx="7">
                <c:v>0.28769202065006116</c:v>
              </c:pt>
              <c:pt idx="8">
                <c:v>0.28628128824490084</c:v>
              </c:pt>
              <c:pt idx="9">
                <c:v>0.26957385997034178</c:v>
              </c:pt>
              <c:pt idx="10">
                <c:v>0.27636439058591833</c:v>
              </c:pt>
              <c:pt idx="11">
                <c:v>0.27855261911519086</c:v>
              </c:pt>
              <c:pt idx="12">
                <c:v>0.2800714758841043</c:v>
              </c:pt>
              <c:pt idx="13">
                <c:v>0.28303177803289492</c:v>
              </c:pt>
              <c:pt idx="14">
                <c:v>0.28446598429762926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0-655D-2947-91B8-5C5934F1E9DD}"/>
            </c:ext>
          </c:extLst>
        </c:ser>
        <c:ser>
          <c:idx val="1"/>
          <c:order val="1"/>
          <c:spPr>
            <a:ln w="12700">
              <a:solidFill>
                <a:srgbClr val="FF00FF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</c:numLit>
          </c:yVal>
          <c:smooth val="0"/>
          <c:extLst>
            <c:ext xmlns:c16="http://schemas.microsoft.com/office/drawing/2014/chart" uri="{C3380CC4-5D6E-409C-BE32-E72D297353CC}">
              <c16:uniqueId val="{00000001-655D-2947-91B8-5C5934F1E9DD}"/>
            </c:ext>
          </c:extLst>
        </c:ser>
        <c:ser>
          <c:idx val="2"/>
          <c:order val="2"/>
          <c:spPr>
            <a:ln w="12700">
              <a:solidFill>
                <a:srgbClr val="FFFF00"/>
              </a:solidFill>
              <a:prstDash val="solid"/>
            </a:ln>
          </c:spPr>
          <c:marker>
            <c:symbol val="none"/>
          </c:marker>
          <c:xVal>
            <c:numLit>
              <c:formatCode>General</c:formatCode>
              <c:ptCount val="1"/>
            </c:numLit>
          </c:xVal>
          <c:yVal>
            <c:numLit>
              <c:formatCode>General</c:formatCode>
              <c:ptCount val="1"/>
            </c:numLit>
          </c:yVal>
          <c:smooth val="0"/>
          <c:extLst>
            <c:ext xmlns:c16="http://schemas.microsoft.com/office/drawing/2014/chart" uri="{C3380CC4-5D6E-409C-BE32-E72D297353CC}">
              <c16:uniqueId val="{00000002-655D-2947-91B8-5C5934F1E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6066095"/>
        <c:axId val="1"/>
      </c:scatterChart>
      <c:valAx>
        <c:axId val="46066095"/>
        <c:scaling>
          <c:orientation val="minMax"/>
          <c:max val="10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46066095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28575">
              <a:noFill/>
            </a:ln>
          </c:spPr>
          <c:marker>
            <c:symbol val="diamond"/>
            <c:size val="5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trendline>
            <c:spPr>
              <a:ln w="25400">
                <a:solidFill>
                  <a:srgbClr val="000000"/>
                </a:solidFill>
                <a:prstDash val="solid"/>
              </a:ln>
            </c:spPr>
            <c:trendlineType val="poly"/>
            <c:order val="4"/>
            <c:dispRSqr val="0"/>
            <c:dispEq val="0"/>
          </c:trendline>
          <c:xVal>
            <c:numLit>
              <c:formatCode>General</c:formatCode>
              <c:ptCount val="17"/>
            </c:numLit>
          </c:xVal>
          <c:yVal>
            <c:numLit>
              <c:formatCode>General</c:formatCode>
              <c:ptCount val="17"/>
              <c:pt idx="0">
                <c:v>0.27624557173282582</c:v>
              </c:pt>
              <c:pt idx="1">
                <c:v>0.27571297374012832</c:v>
              </c:pt>
              <c:pt idx="2">
                <c:v>0.28170025490677164</c:v>
              </c:pt>
              <c:pt idx="3">
                <c:v>0.28350968826263523</c:v>
              </c:pt>
              <c:pt idx="4">
                <c:v>0.28467176517967641</c:v>
              </c:pt>
              <c:pt idx="5">
                <c:v>0.28695144659559019</c:v>
              </c:pt>
              <c:pt idx="6">
                <c:v>0.28807731715818247</c:v>
              </c:pt>
              <c:pt idx="7">
                <c:v>0.28769202065006105</c:v>
              </c:pt>
              <c:pt idx="8">
                <c:v>0.28628128824490084</c:v>
              </c:pt>
              <c:pt idx="9">
                <c:v>0.26957385997034172</c:v>
              </c:pt>
              <c:pt idx="10">
                <c:v>0.27636439058591833</c:v>
              </c:pt>
              <c:pt idx="11">
                <c:v>0.27855261911519091</c:v>
              </c:pt>
              <c:pt idx="12">
                <c:v>0.2800714758841043</c:v>
              </c:pt>
              <c:pt idx="13">
                <c:v>0.28303177803289498</c:v>
              </c:pt>
              <c:pt idx="14">
                <c:v>0.2844659842976292</c:v>
              </c:pt>
              <c:pt idx="15">
                <c:v>0.28470136844114058</c:v>
              </c:pt>
              <c:pt idx="16">
                <c:v>0.28348768734994523</c:v>
              </c:pt>
            </c:numLit>
          </c:yVal>
          <c:smooth val="0"/>
          <c:extLst>
            <c:ext xmlns:c16="http://schemas.microsoft.com/office/drawing/2014/chart" uri="{C3380CC4-5D6E-409C-BE32-E72D297353CC}">
              <c16:uniqueId val="{00000001-CE79-934B-8E28-70AAE8A3E9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5517295"/>
        <c:axId val="1"/>
      </c:scatterChart>
      <c:valAx>
        <c:axId val="45517295"/>
        <c:scaling>
          <c:orientation val="minMax"/>
          <c:max val="100"/>
          <c:min val="0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CH"/>
          </a:p>
        </c:txPr>
        <c:crossAx val="45517295"/>
        <c:crosses val="autoZero"/>
        <c:crossBetween val="midCat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CH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CH"/>
    </a:p>
  </c:txPr>
  <c:printSettings>
    <c:headerFooter alignWithMargins="0"/>
    <c:pageMargins b="1" l="0.75" r="0.75" t="1" header="0.5" footer="0.5"/>
    <c:pageSetup/>
  </c:printSettings>
</c:chartSpace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114300</xdr:colOff>
          <xdr:row>66</xdr:row>
          <xdr:rowOff>88900</xdr:rowOff>
        </xdr:from>
        <xdr:to>
          <xdr:col>0</xdr:col>
          <xdr:colOff>990600</xdr:colOff>
          <xdr:row>72</xdr:row>
          <xdr:rowOff>114300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77</xdr:row>
          <xdr:rowOff>38100</xdr:rowOff>
        </xdr:from>
        <xdr:to>
          <xdr:col>0</xdr:col>
          <xdr:colOff>1003300</xdr:colOff>
          <xdr:row>84</xdr:row>
          <xdr:rowOff>0</xdr:rowOff>
        </xdr:to>
        <xdr:sp macro="" textlink="">
          <xdr:nvSpPr>
            <xdr:cNvPr id="1028" name="Button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1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811" name="Chart 40">
          <a:extLst>
            <a:ext uri="{FF2B5EF4-FFF2-40B4-BE49-F238E27FC236}">
              <a16:creationId xmlns:a16="http://schemas.microsoft.com/office/drawing/2014/main" id="{00000000-0008-0000-0100-0000337E0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812" name="Chart 41">
          <a:extLst>
            <a:ext uri="{FF2B5EF4-FFF2-40B4-BE49-F238E27FC236}">
              <a16:creationId xmlns:a16="http://schemas.microsoft.com/office/drawing/2014/main" id="{00000000-0008-0000-0100-0000347E0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69</xdr:row>
      <xdr:rowOff>0</xdr:rowOff>
    </xdr:from>
    <xdr:to>
      <xdr:col>1</xdr:col>
      <xdr:colOff>0</xdr:colOff>
      <xdr:row>114</xdr:row>
      <xdr:rowOff>50800</xdr:rowOff>
    </xdr:to>
    <xdr:graphicFrame macro="">
      <xdr:nvGraphicFramePr>
        <xdr:cNvPr id="949813" name="Chart 62">
          <a:extLst>
            <a:ext uri="{FF2B5EF4-FFF2-40B4-BE49-F238E27FC236}">
              <a16:creationId xmlns:a16="http://schemas.microsoft.com/office/drawing/2014/main" id="{00000000-0008-0000-0100-0000357E0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44</xdr:row>
      <xdr:rowOff>152400</xdr:rowOff>
    </xdr:from>
    <xdr:to>
      <xdr:col>1</xdr:col>
      <xdr:colOff>0</xdr:colOff>
      <xdr:row>94</xdr:row>
      <xdr:rowOff>12700</xdr:rowOff>
    </xdr:to>
    <xdr:graphicFrame macro="">
      <xdr:nvGraphicFramePr>
        <xdr:cNvPr id="949814" name="Chart 63">
          <a:extLst>
            <a:ext uri="{FF2B5EF4-FFF2-40B4-BE49-F238E27FC236}">
              <a16:creationId xmlns:a16="http://schemas.microsoft.com/office/drawing/2014/main" id="{00000000-0008-0000-0100-0000367E0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25400</xdr:colOff>
          <xdr:row>65</xdr:row>
          <xdr:rowOff>76200</xdr:rowOff>
        </xdr:from>
        <xdr:to>
          <xdr:col>0</xdr:col>
          <xdr:colOff>914400</xdr:colOff>
          <xdr:row>71</xdr:row>
          <xdr:rowOff>76200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2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139700</xdr:colOff>
          <xdr:row>66</xdr:row>
          <xdr:rowOff>63500</xdr:rowOff>
        </xdr:from>
        <xdr:to>
          <xdr:col>0</xdr:col>
          <xdr:colOff>1016000</xdr:colOff>
          <xdr:row>72</xdr:row>
          <xdr:rowOff>76200</xdr:rowOff>
        </xdr:to>
        <xdr:sp macro="" textlink="">
          <xdr:nvSpPr>
            <xdr:cNvPr id="2050" name="Button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3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Click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to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run</a:t>
              </a:r>
            </a:p>
            <a:p>
              <a:pPr algn="ctr" rtl="0">
                <a:defRPr sz="1000"/>
              </a:pPr>
              <a:r>
                <a:rPr lang="en-GB" sz="1400" b="0" i="0" u="none" strike="noStrike" baseline="0">
                  <a:solidFill>
                    <a:srgbClr val="000090"/>
                  </a:solidFill>
                  <a:latin typeface="Charcoal" charset="0"/>
                </a:rPr>
                <a:t>Macro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pageSetUpPr fitToPage="1"/>
  </sheetPr>
  <dimension ref="A1:IU162"/>
  <sheetViews>
    <sheetView zoomScaleNormal="100" workbookViewId="0">
      <pane xSplit="1" ySplit="4" topLeftCell="B5" activePane="bottomRight" state="frozenSplit"/>
      <selection pane="topRight" activeCell="B1" sqref="B1"/>
      <selection pane="bottomLeft" activeCell="A4" sqref="A4"/>
      <selection pane="bottomRight" activeCell="D57" sqref="D57"/>
    </sheetView>
  </sheetViews>
  <sheetFormatPr baseColWidth="10" defaultRowHeight="16"/>
  <cols>
    <col min="1" max="1" width="15" style="14" customWidth="1"/>
    <col min="2" max="2" width="9.83203125" style="1" customWidth="1"/>
    <col min="3" max="3" width="11.5" style="1" customWidth="1"/>
    <col min="4" max="4" width="10.5" style="5" customWidth="1"/>
    <col min="5" max="5" width="9" style="4" customWidth="1"/>
    <col min="6" max="6" width="11.33203125" style="2" bestFit="1" customWidth="1"/>
    <col min="7" max="7" width="6.1640625" style="2" customWidth="1"/>
    <col min="8" max="8" width="18" style="3" customWidth="1"/>
    <col min="9" max="9" width="6.6640625" style="3" customWidth="1"/>
    <col min="10" max="10" width="10.5" style="6" bestFit="1" customWidth="1"/>
    <col min="11" max="11" width="5.6640625" style="6" customWidth="1"/>
    <col min="12" max="12" width="14.83203125" style="3" customWidth="1"/>
    <col min="13" max="13" width="6.33203125" style="3" customWidth="1"/>
    <col min="14" max="14" width="10.1640625" style="2" customWidth="1"/>
    <col min="15" max="15" width="5.6640625" style="2" customWidth="1"/>
    <col min="16" max="16" width="7.83203125" style="6" customWidth="1"/>
    <col min="17" max="17" width="5.6640625" style="6" customWidth="1"/>
    <col min="18" max="18" width="6.5" style="1" customWidth="1"/>
    <col min="19" max="19" width="5.6640625" style="1" customWidth="1"/>
    <col min="20" max="20" width="10" style="6" customWidth="1"/>
    <col min="21" max="21" width="5.6640625" style="6" customWidth="1"/>
    <col min="22" max="22" width="5.6640625" style="5" customWidth="1"/>
    <col min="23" max="23" width="6.5" style="4" customWidth="1"/>
    <col min="24" max="24" width="4.83203125" style="4" customWidth="1"/>
    <col min="25" max="25" width="5.5" style="4" customWidth="1"/>
    <col min="26" max="26" width="4.83203125" style="4" customWidth="1"/>
    <col min="27" max="27" width="6.33203125" style="4" customWidth="1"/>
    <col min="28" max="28" width="4.6640625" style="4" customWidth="1"/>
    <col min="29" max="32" width="4.83203125" style="4" customWidth="1"/>
    <col min="33" max="33" width="1.33203125" style="4" customWidth="1"/>
    <col min="34" max="37" width="9.83203125" style="4" customWidth="1"/>
    <col min="38" max="38" width="10.83203125" style="4" customWidth="1"/>
    <col min="39" max="41" width="9.83203125" style="4" customWidth="1"/>
    <col min="42" max="42" width="11.5" style="4" customWidth="1"/>
    <col min="43" max="43" width="9.83203125" style="4" customWidth="1"/>
    <col min="44" max="44" width="1.33203125" style="4" customWidth="1"/>
    <col min="45" max="55" width="7.5" style="4" customWidth="1"/>
    <col min="56" max="56" width="10.6640625" style="4" customWidth="1"/>
    <col min="57" max="57" width="1.33203125" style="4" customWidth="1"/>
    <col min="58" max="66" width="4.1640625" style="4" customWidth="1"/>
    <col min="67" max="16384" width="10.83203125" style="4"/>
  </cols>
  <sheetData>
    <row r="1" spans="1:56">
      <c r="A1" s="13" t="s">
        <v>95</v>
      </c>
      <c r="R1" s="74"/>
      <c r="V1" s="61"/>
      <c r="W1" s="1"/>
      <c r="X1" s="61"/>
      <c r="Y1" s="62"/>
      <c r="Z1" s="64"/>
      <c r="AA1" s="64"/>
      <c r="AB1" s="65"/>
      <c r="AC1" s="65"/>
      <c r="AD1" s="65"/>
      <c r="AE1" s="65"/>
      <c r="AF1" s="65"/>
    </row>
    <row r="2" spans="1:56">
      <c r="A2" s="13" t="s">
        <v>134</v>
      </c>
      <c r="V2" s="63"/>
      <c r="W2" s="8"/>
      <c r="X2" s="63"/>
      <c r="Y2" s="63"/>
      <c r="Z2" s="60"/>
      <c r="AA2" s="60"/>
      <c r="AB2" s="63"/>
      <c r="AC2" s="63"/>
      <c r="AD2" s="63"/>
      <c r="AE2" s="63"/>
      <c r="AF2" s="63"/>
    </row>
    <row r="3" spans="1:56" ht="102">
      <c r="A3" s="35" t="str">
        <f>"version 
3 Nov 2016
  "</f>
        <v xml:space="preserve">version 
3 Nov 2016
  </v>
      </c>
      <c r="B3" s="83" t="s">
        <v>296</v>
      </c>
      <c r="C3" s="84" t="s">
        <v>297</v>
      </c>
      <c r="D3" s="85" t="s">
        <v>298</v>
      </c>
      <c r="E3" s="86" t="s">
        <v>299</v>
      </c>
      <c r="F3" s="91" t="s">
        <v>182</v>
      </c>
      <c r="G3" s="92" t="s">
        <v>183</v>
      </c>
      <c r="H3" s="95" t="s">
        <v>107</v>
      </c>
      <c r="I3" s="92" t="s">
        <v>183</v>
      </c>
      <c r="J3" s="97" t="s">
        <v>200</v>
      </c>
      <c r="K3" s="92" t="s">
        <v>183</v>
      </c>
      <c r="L3" s="95" t="s">
        <v>106</v>
      </c>
      <c r="M3" s="92" t="s">
        <v>183</v>
      </c>
      <c r="N3" s="95" t="s">
        <v>273</v>
      </c>
      <c r="O3" s="92" t="s">
        <v>183</v>
      </c>
      <c r="P3" s="97" t="s">
        <v>274</v>
      </c>
      <c r="Q3" s="92" t="s">
        <v>183</v>
      </c>
      <c r="R3" s="95" t="s">
        <v>14</v>
      </c>
      <c r="S3" s="92" t="s">
        <v>183</v>
      </c>
      <c r="T3" s="95" t="s">
        <v>210</v>
      </c>
      <c r="U3" s="92" t="s">
        <v>183</v>
      </c>
      <c r="V3" s="66" t="str">
        <f>"- - - - mineral formulae from HoPo - - - -"</f>
        <v>- - - - mineral formulae from HoPo - - - -</v>
      </c>
      <c r="W3" s="67"/>
      <c r="X3" s="67"/>
      <c r="Y3" s="67"/>
      <c r="Z3" s="67"/>
      <c r="AA3" s="67"/>
      <c r="AB3" s="67"/>
      <c r="AC3" s="67"/>
      <c r="AD3" s="67"/>
      <c r="AE3" s="67"/>
      <c r="AF3" s="67"/>
      <c r="AG3" s="67"/>
      <c r="AH3" s="36" t="str">
        <f>"
  wt%"</f>
        <v xml:space="preserve">
  wt%</v>
      </c>
      <c r="AI3" s="36" t="str">
        <f t="shared" ref="AI3:AQ3" si="0">"
  wt%"</f>
        <v xml:space="preserve">
  wt%</v>
      </c>
      <c r="AJ3" s="36" t="str">
        <f t="shared" si="0"/>
        <v xml:space="preserve">
  wt%</v>
      </c>
      <c r="AK3" s="36" t="str">
        <f t="shared" si="0"/>
        <v xml:space="preserve">
  wt%</v>
      </c>
      <c r="AL3" s="36" t="str">
        <f t="shared" si="0"/>
        <v xml:space="preserve">
  wt%</v>
      </c>
      <c r="AM3" s="36" t="str">
        <f t="shared" si="0"/>
        <v xml:space="preserve">
  wt%</v>
      </c>
      <c r="AN3" s="36" t="str">
        <f t="shared" si="0"/>
        <v xml:space="preserve">
  wt%</v>
      </c>
      <c r="AO3" s="36" t="str">
        <f t="shared" si="0"/>
        <v xml:space="preserve">
  wt%</v>
      </c>
      <c r="AP3" s="36" t="str">
        <f t="shared" si="0"/>
        <v xml:space="preserve">
  wt%</v>
      </c>
      <c r="AQ3" s="36" t="str">
        <f t="shared" si="0"/>
        <v xml:space="preserve">
  wt%</v>
      </c>
      <c r="AR3" s="36"/>
      <c r="AS3" s="4" t="s">
        <v>350</v>
      </c>
    </row>
    <row r="4" spans="1:56" s="10" customFormat="1">
      <c r="A4" s="19" t="s">
        <v>232</v>
      </c>
      <c r="B4" s="87" t="s">
        <v>227</v>
      </c>
      <c r="C4" s="88" t="s">
        <v>243</v>
      </c>
      <c r="D4" s="89" t="s">
        <v>300</v>
      </c>
      <c r="E4" s="90" t="s">
        <v>162</v>
      </c>
      <c r="F4" s="93" t="s">
        <v>220</v>
      </c>
      <c r="G4" s="94" t="s">
        <v>173</v>
      </c>
      <c r="H4" s="96" t="s">
        <v>187</v>
      </c>
      <c r="I4" s="94" t="s">
        <v>173</v>
      </c>
      <c r="J4" s="98" t="s">
        <v>218</v>
      </c>
      <c r="K4" s="94" t="s">
        <v>173</v>
      </c>
      <c r="L4" s="96" t="s">
        <v>163</v>
      </c>
      <c r="M4" s="94" t="s">
        <v>173</v>
      </c>
      <c r="N4" s="99" t="s">
        <v>207</v>
      </c>
      <c r="O4" s="94" t="s">
        <v>173</v>
      </c>
      <c r="P4" s="98" t="s">
        <v>164</v>
      </c>
      <c r="Q4" s="94" t="s">
        <v>173</v>
      </c>
      <c r="R4" s="99" t="s">
        <v>15</v>
      </c>
      <c r="S4" s="94" t="s">
        <v>173</v>
      </c>
      <c r="T4" s="98" t="s">
        <v>219</v>
      </c>
      <c r="U4" s="94" t="s">
        <v>173</v>
      </c>
      <c r="V4" s="29" t="s">
        <v>340</v>
      </c>
      <c r="W4" s="37" t="s">
        <v>341</v>
      </c>
      <c r="X4" s="37" t="s">
        <v>342</v>
      </c>
      <c r="Y4" s="37" t="s">
        <v>343</v>
      </c>
      <c r="Z4" s="37" t="s">
        <v>344</v>
      </c>
      <c r="AA4" s="37" t="s">
        <v>345</v>
      </c>
      <c r="AB4" s="37" t="s">
        <v>346</v>
      </c>
      <c r="AC4" s="37" t="s">
        <v>347</v>
      </c>
      <c r="AD4" s="37" t="s">
        <v>348</v>
      </c>
      <c r="AE4" s="37" t="s">
        <v>567</v>
      </c>
      <c r="AF4" s="37" t="s">
        <v>349</v>
      </c>
      <c r="AG4" s="37"/>
      <c r="AH4" s="37" t="s">
        <v>162</v>
      </c>
      <c r="AI4" s="37" t="s">
        <v>353</v>
      </c>
      <c r="AJ4" s="37" t="s">
        <v>355</v>
      </c>
      <c r="AK4" s="37" t="s">
        <v>357</v>
      </c>
      <c r="AL4" s="37" t="s">
        <v>35</v>
      </c>
      <c r="AM4" s="37" t="s">
        <v>352</v>
      </c>
      <c r="AN4" s="37" t="s">
        <v>354</v>
      </c>
      <c r="AO4" s="37" t="s">
        <v>356</v>
      </c>
      <c r="AP4" s="37" t="s">
        <v>568</v>
      </c>
      <c r="AQ4" s="37" t="s">
        <v>358</v>
      </c>
      <c r="AS4" s="54" t="s">
        <v>340</v>
      </c>
      <c r="AT4" s="10" t="s">
        <v>341</v>
      </c>
      <c r="AU4" s="10" t="s">
        <v>342</v>
      </c>
      <c r="AV4" s="10" t="s">
        <v>343</v>
      </c>
      <c r="AW4" s="10" t="s">
        <v>344</v>
      </c>
      <c r="AX4" s="10" t="s">
        <v>345</v>
      </c>
      <c r="AY4" s="10" t="s">
        <v>346</v>
      </c>
      <c r="AZ4" s="10" t="s">
        <v>347</v>
      </c>
      <c r="BA4" s="10" t="s">
        <v>348</v>
      </c>
      <c r="BB4" s="10" t="s">
        <v>567</v>
      </c>
      <c r="BC4" s="10" t="s">
        <v>349</v>
      </c>
      <c r="BD4" s="10" t="s">
        <v>351</v>
      </c>
    </row>
    <row r="5" spans="1:56">
      <c r="A5" s="20" t="s">
        <v>247</v>
      </c>
      <c r="B5" s="121">
        <v>60.085000000000001</v>
      </c>
      <c r="C5" s="122">
        <v>22.76</v>
      </c>
      <c r="D5" s="123">
        <v>2640</v>
      </c>
      <c r="E5" s="121">
        <v>0</v>
      </c>
      <c r="F5" s="132">
        <v>6.4999999999999996E-6</v>
      </c>
      <c r="G5" s="121" t="s">
        <v>184</v>
      </c>
      <c r="H5" s="127">
        <v>37400000000</v>
      </c>
      <c r="I5" s="123" t="s">
        <v>588</v>
      </c>
      <c r="J5" s="123">
        <v>6.2</v>
      </c>
      <c r="K5" s="123" t="s">
        <v>588</v>
      </c>
      <c r="L5" s="127">
        <v>44400000000</v>
      </c>
      <c r="M5" s="123" t="s">
        <v>588</v>
      </c>
      <c r="N5" s="123">
        <v>1.8</v>
      </c>
      <c r="O5" s="123" t="s">
        <v>499</v>
      </c>
      <c r="P5" s="123">
        <v>0.9</v>
      </c>
      <c r="Q5" s="123" t="s">
        <v>588</v>
      </c>
      <c r="R5" s="123">
        <v>0.84</v>
      </c>
      <c r="S5" s="123" t="s">
        <v>588</v>
      </c>
      <c r="T5" s="123">
        <v>10</v>
      </c>
      <c r="U5" s="123" t="s">
        <v>522</v>
      </c>
      <c r="V5" s="6"/>
      <c r="W5" s="6">
        <v>2</v>
      </c>
      <c r="X5" s="6"/>
      <c r="Y5" s="6"/>
      <c r="Z5" s="6"/>
      <c r="AA5" s="6">
        <v>1</v>
      </c>
      <c r="AB5" s="6"/>
      <c r="AC5" s="6"/>
      <c r="AD5" s="6"/>
      <c r="AE5" s="6"/>
      <c r="AF5" s="6"/>
      <c r="AG5" s="124"/>
      <c r="AH5" s="131">
        <f>100*V5*oxideH/$BD5</f>
        <v>0</v>
      </c>
      <c r="AI5" s="131">
        <f>100*X5*oxideNa/$BD5</f>
        <v>0</v>
      </c>
      <c r="AJ5" s="131">
        <f>100*Y5*oxideMg/$BD5</f>
        <v>0</v>
      </c>
      <c r="AK5" s="131">
        <f>100*Z5*oxideAl/$BD5</f>
        <v>0</v>
      </c>
      <c r="AL5" s="131">
        <f>100*AA5*oxideSi/$BD5</f>
        <v>100.00665712478781</v>
      </c>
      <c r="AM5" s="131">
        <f>100*AB5*oxideK/$BD5</f>
        <v>0</v>
      </c>
      <c r="AN5" s="131">
        <f>100*AC5*oxideCa/$BD5</f>
        <v>0</v>
      </c>
      <c r="AO5" s="131">
        <f>100*AD5*oxideFe/$BD5</f>
        <v>0</v>
      </c>
      <c r="AP5" s="131">
        <f>100*AE5*oxideTi/$BD5</f>
        <v>0</v>
      </c>
      <c r="AQ5" s="131">
        <f>100*AF5*oxideC/$BD5</f>
        <v>0</v>
      </c>
      <c r="AR5" s="124"/>
      <c r="AS5" s="6">
        <f t="shared" ref="AS5:AS39" si="1">V5*atwtH</f>
        <v>0</v>
      </c>
      <c r="AT5" s="6">
        <f t="shared" ref="AT5:AT39" si="2">W5*atwtO</f>
        <v>32</v>
      </c>
      <c r="AU5" s="6">
        <f t="shared" ref="AU5:AU39" si="3">X5*atwtNa</f>
        <v>0</v>
      </c>
      <c r="AV5" s="6">
        <f t="shared" ref="AV5:AV39" si="4">Y5*atwtMg</f>
        <v>0</v>
      </c>
      <c r="AW5" s="6">
        <f t="shared" ref="AW5:AW39" si="5">Z5*atwtAl</f>
        <v>0</v>
      </c>
      <c r="AX5" s="6">
        <f t="shared" ref="AX5:AX39" si="6">AA5*atwtSi</f>
        <v>28.085999999999999</v>
      </c>
      <c r="AY5" s="6">
        <f t="shared" ref="AY5:AY39" si="7">AB5*atwtK</f>
        <v>0</v>
      </c>
      <c r="AZ5" s="6">
        <f t="shared" ref="AZ5:AZ39" si="8">AC5*atwtCa</f>
        <v>0</v>
      </c>
      <c r="BA5" s="6">
        <f t="shared" ref="BA5:BA39" si="9">AD5*atwtFe</f>
        <v>0</v>
      </c>
      <c r="BB5" s="6">
        <f>AE5*atwtTi</f>
        <v>0</v>
      </c>
      <c r="BC5" s="6">
        <f t="shared" ref="BC5:BC39" si="10">AF5*atwtC</f>
        <v>0</v>
      </c>
      <c r="BD5" s="124">
        <f>SUM(AS5:BC5)</f>
        <v>60.085999999999999</v>
      </c>
    </row>
    <row r="6" spans="1:56">
      <c r="A6" s="17" t="s">
        <v>248</v>
      </c>
      <c r="B6" s="121">
        <v>60.085000000000001</v>
      </c>
      <c r="C6" s="122">
        <v>23.71</v>
      </c>
      <c r="D6" s="123">
        <v>2522</v>
      </c>
      <c r="E6" s="121">
        <v>0</v>
      </c>
      <c r="F6" s="133">
        <v>-1.1999999999999999E-6</v>
      </c>
      <c r="G6" s="123" t="s">
        <v>519</v>
      </c>
      <c r="H6" s="127">
        <v>43000000000</v>
      </c>
      <c r="I6" s="123" t="s">
        <v>498</v>
      </c>
      <c r="J6" s="121">
        <v>4</v>
      </c>
      <c r="K6" s="121" t="s">
        <v>108</v>
      </c>
      <c r="L6" s="127">
        <v>41410000000</v>
      </c>
      <c r="M6" s="123" t="s">
        <v>498</v>
      </c>
      <c r="N6" s="123">
        <v>100</v>
      </c>
      <c r="O6" s="123" t="s">
        <v>522</v>
      </c>
      <c r="P6" s="123">
        <v>1</v>
      </c>
      <c r="Q6" s="123" t="s">
        <v>522</v>
      </c>
      <c r="R6" s="123">
        <v>0</v>
      </c>
      <c r="S6" s="123" t="s">
        <v>519</v>
      </c>
      <c r="T6" s="123">
        <v>1200</v>
      </c>
      <c r="U6" s="123" t="s">
        <v>522</v>
      </c>
      <c r="V6" s="6"/>
      <c r="W6" s="6">
        <v>2</v>
      </c>
      <c r="X6" s="6"/>
      <c r="Y6" s="6"/>
      <c r="Z6" s="6"/>
      <c r="AA6" s="6">
        <v>1</v>
      </c>
      <c r="AB6" s="6"/>
      <c r="AC6" s="6"/>
      <c r="AD6" s="6"/>
      <c r="AE6" s="6"/>
      <c r="AF6" s="6"/>
      <c r="AG6" s="124"/>
      <c r="AH6" s="131">
        <f t="shared" ref="AH6:AH64" si="11">100*V6*oxideH/$BD6</f>
        <v>0</v>
      </c>
      <c r="AI6" s="131">
        <f t="shared" ref="AI6:AI64" si="12">100*X6*oxideNa/$BD6</f>
        <v>0</v>
      </c>
      <c r="AJ6" s="131">
        <f t="shared" ref="AJ6:AJ64" si="13">100*Y6*oxideMg/$BD6</f>
        <v>0</v>
      </c>
      <c r="AK6" s="131">
        <f t="shared" ref="AK6:AK64" si="14">100*Z6*oxideAl/$BD6</f>
        <v>0</v>
      </c>
      <c r="AL6" s="131">
        <f t="shared" ref="AL6:AL64" si="15">100*AA6*oxideSi/$BD6</f>
        <v>100.00665712478781</v>
      </c>
      <c r="AM6" s="131">
        <f t="shared" ref="AM6:AM64" si="16">100*AB6*oxideK/$BD6</f>
        <v>0</v>
      </c>
      <c r="AN6" s="131">
        <f t="shared" ref="AN6:AN64" si="17">100*AC6*oxideCa/$BD6</f>
        <v>0</v>
      </c>
      <c r="AO6" s="131">
        <f t="shared" ref="AO6:AO64" si="18">100*AD6*oxideFe/$BD6</f>
        <v>0</v>
      </c>
      <c r="AP6" s="131">
        <f t="shared" ref="AP6:AP64" si="19">100*AE6*oxideTi/$BD6</f>
        <v>0</v>
      </c>
      <c r="AQ6" s="131">
        <f t="shared" ref="AQ6:AQ64" si="20">100*AF6*oxideC/$BD6</f>
        <v>0</v>
      </c>
      <c r="AR6" s="124"/>
      <c r="AS6" s="6">
        <f t="shared" si="1"/>
        <v>0</v>
      </c>
      <c r="AT6" s="6">
        <f t="shared" si="2"/>
        <v>32</v>
      </c>
      <c r="AU6" s="6">
        <f t="shared" si="3"/>
        <v>0</v>
      </c>
      <c r="AV6" s="6">
        <f t="shared" si="4"/>
        <v>0</v>
      </c>
      <c r="AW6" s="6">
        <f t="shared" si="5"/>
        <v>0</v>
      </c>
      <c r="AX6" s="6">
        <f t="shared" si="6"/>
        <v>28.085999999999999</v>
      </c>
      <c r="AY6" s="6">
        <f t="shared" si="7"/>
        <v>0</v>
      </c>
      <c r="AZ6" s="6">
        <f t="shared" si="8"/>
        <v>0</v>
      </c>
      <c r="BA6" s="6">
        <f t="shared" si="9"/>
        <v>0</v>
      </c>
      <c r="BB6" s="6">
        <f t="shared" ref="BB6:BB64" si="21">AE6*atwtTi</f>
        <v>0</v>
      </c>
      <c r="BC6" s="6">
        <f t="shared" si="10"/>
        <v>0</v>
      </c>
      <c r="BD6" s="124">
        <f t="shared" ref="BD6:BD64" si="22">SUM(AS6:BC6)</f>
        <v>60.085999999999999</v>
      </c>
    </row>
    <row r="7" spans="1:56">
      <c r="A7" s="20" t="s">
        <v>136</v>
      </c>
      <c r="B7" s="121">
        <v>60.085000000000001</v>
      </c>
      <c r="C7" s="122">
        <v>20.064</v>
      </c>
      <c r="D7" s="121">
        <v>2911</v>
      </c>
      <c r="E7" s="121">
        <v>0</v>
      </c>
      <c r="F7" s="132">
        <v>1.8E-5</v>
      </c>
      <c r="G7" s="121" t="s">
        <v>184</v>
      </c>
      <c r="H7" s="128">
        <v>97400000000</v>
      </c>
      <c r="I7" s="121" t="s">
        <v>188</v>
      </c>
      <c r="J7" s="121">
        <v>4.3</v>
      </c>
      <c r="K7" s="121" t="s">
        <v>188</v>
      </c>
      <c r="L7" s="128">
        <v>61600000000</v>
      </c>
      <c r="M7" s="121" t="s">
        <v>110</v>
      </c>
      <c r="N7" s="121">
        <f>T7</f>
        <v>4.66</v>
      </c>
      <c r="O7" s="121" t="s">
        <v>209</v>
      </c>
      <c r="P7" s="121">
        <f>(5*L7)/(3*H7)</f>
        <v>1.054072553045859</v>
      </c>
      <c r="Q7" s="121" t="s">
        <v>13</v>
      </c>
      <c r="R7" s="121">
        <v>0.36</v>
      </c>
      <c r="S7" s="121" t="s">
        <v>4</v>
      </c>
      <c r="T7" s="121">
        <f t="shared" ref="T7:T12" si="23">R7+J7</f>
        <v>4.66</v>
      </c>
      <c r="U7" s="121" t="s">
        <v>211</v>
      </c>
      <c r="V7" s="6"/>
      <c r="W7" s="6">
        <v>2</v>
      </c>
      <c r="X7" s="6"/>
      <c r="Y7" s="6"/>
      <c r="Z7" s="6"/>
      <c r="AA7" s="6">
        <v>1</v>
      </c>
      <c r="AB7" s="6"/>
      <c r="AC7" s="6"/>
      <c r="AD7" s="6"/>
      <c r="AE7" s="6"/>
      <c r="AF7" s="6"/>
      <c r="AG7" s="124"/>
      <c r="AH7" s="131">
        <f t="shared" si="11"/>
        <v>0</v>
      </c>
      <c r="AI7" s="131">
        <f t="shared" si="12"/>
        <v>0</v>
      </c>
      <c r="AJ7" s="131">
        <f t="shared" si="13"/>
        <v>0</v>
      </c>
      <c r="AK7" s="131">
        <f t="shared" si="14"/>
        <v>0</v>
      </c>
      <c r="AL7" s="131">
        <f t="shared" si="15"/>
        <v>100.00665712478781</v>
      </c>
      <c r="AM7" s="131">
        <f t="shared" si="16"/>
        <v>0</v>
      </c>
      <c r="AN7" s="131">
        <f t="shared" si="17"/>
        <v>0</v>
      </c>
      <c r="AO7" s="131">
        <f t="shared" si="18"/>
        <v>0</v>
      </c>
      <c r="AP7" s="131">
        <f t="shared" si="19"/>
        <v>0</v>
      </c>
      <c r="AQ7" s="131">
        <f t="shared" si="20"/>
        <v>0</v>
      </c>
      <c r="AR7" s="124"/>
      <c r="AS7" s="6">
        <f t="shared" si="1"/>
        <v>0</v>
      </c>
      <c r="AT7" s="6">
        <f t="shared" si="2"/>
        <v>32</v>
      </c>
      <c r="AU7" s="6">
        <f t="shared" si="3"/>
        <v>0</v>
      </c>
      <c r="AV7" s="6">
        <f t="shared" si="4"/>
        <v>0</v>
      </c>
      <c r="AW7" s="6">
        <f t="shared" si="5"/>
        <v>0</v>
      </c>
      <c r="AX7" s="6">
        <f t="shared" si="6"/>
        <v>28.085999999999999</v>
      </c>
      <c r="AY7" s="6">
        <f t="shared" si="7"/>
        <v>0</v>
      </c>
      <c r="AZ7" s="6">
        <f t="shared" si="8"/>
        <v>0</v>
      </c>
      <c r="BA7" s="6">
        <f t="shared" si="9"/>
        <v>0</v>
      </c>
      <c r="BB7" s="6">
        <f t="shared" si="21"/>
        <v>0</v>
      </c>
      <c r="BC7" s="6">
        <f t="shared" si="10"/>
        <v>0</v>
      </c>
      <c r="BD7" s="124">
        <f t="shared" si="22"/>
        <v>60.085999999999999</v>
      </c>
    </row>
    <row r="8" spans="1:56">
      <c r="A8" s="20" t="s">
        <v>237</v>
      </c>
      <c r="B8" s="121">
        <v>262.23</v>
      </c>
      <c r="C8" s="122">
        <v>101.09</v>
      </c>
      <c r="D8" s="121">
        <v>2620</v>
      </c>
      <c r="E8" s="121">
        <v>0</v>
      </c>
      <c r="F8" s="132">
        <v>4.5599999999999997E-5</v>
      </c>
      <c r="G8" s="121" t="s">
        <v>184</v>
      </c>
      <c r="H8" s="127">
        <f>H9</f>
        <v>60060000000</v>
      </c>
      <c r="I8" s="123" t="s">
        <v>217</v>
      </c>
      <c r="J8" s="123">
        <v>4</v>
      </c>
      <c r="K8" s="123" t="s">
        <v>217</v>
      </c>
      <c r="L8" s="127">
        <f>L9</f>
        <v>36000000000</v>
      </c>
      <c r="M8" s="123" t="s">
        <v>217</v>
      </c>
      <c r="N8" s="123">
        <f>N9</f>
        <v>13</v>
      </c>
      <c r="O8" s="123" t="s">
        <v>217</v>
      </c>
      <c r="P8" s="121">
        <v>4.26</v>
      </c>
      <c r="Q8" s="121" t="s">
        <v>114</v>
      </c>
      <c r="R8" s="123">
        <v>0.61</v>
      </c>
      <c r="S8" s="121" t="s">
        <v>4</v>
      </c>
      <c r="T8" s="123">
        <f t="shared" si="23"/>
        <v>4.6100000000000003</v>
      </c>
      <c r="U8" s="121" t="s">
        <v>211</v>
      </c>
      <c r="V8" s="6"/>
      <c r="W8" s="6">
        <v>8</v>
      </c>
      <c r="X8" s="6">
        <v>1</v>
      </c>
      <c r="Y8" s="6"/>
      <c r="Z8" s="6">
        <v>1</v>
      </c>
      <c r="AA8" s="6">
        <v>3</v>
      </c>
      <c r="AB8" s="6"/>
      <c r="AC8" s="6"/>
      <c r="AD8" s="6"/>
      <c r="AE8" s="6"/>
      <c r="AF8" s="6"/>
      <c r="AG8" s="124"/>
      <c r="AH8" s="131">
        <f t="shared" si="11"/>
        <v>0</v>
      </c>
      <c r="AI8" s="131">
        <f t="shared" si="12"/>
        <v>11.817869808946345</v>
      </c>
      <c r="AJ8" s="131">
        <f t="shared" si="13"/>
        <v>0</v>
      </c>
      <c r="AK8" s="131">
        <f t="shared" si="14"/>
        <v>19.441711474659648</v>
      </c>
      <c r="AL8" s="131">
        <f t="shared" si="15"/>
        <v>68.744994851847608</v>
      </c>
      <c r="AM8" s="131">
        <f t="shared" si="16"/>
        <v>0</v>
      </c>
      <c r="AN8" s="131">
        <f t="shared" si="17"/>
        <v>0</v>
      </c>
      <c r="AO8" s="131">
        <f t="shared" si="18"/>
        <v>0</v>
      </c>
      <c r="AP8" s="131">
        <f t="shared" si="19"/>
        <v>0</v>
      </c>
      <c r="AQ8" s="131">
        <f t="shared" si="20"/>
        <v>0</v>
      </c>
      <c r="AR8" s="124"/>
      <c r="AS8" s="6">
        <f t="shared" si="1"/>
        <v>0</v>
      </c>
      <c r="AT8" s="6">
        <f t="shared" si="2"/>
        <v>128</v>
      </c>
      <c r="AU8" s="6">
        <f t="shared" si="3"/>
        <v>22.99</v>
      </c>
      <c r="AV8" s="6">
        <f t="shared" si="4"/>
        <v>0</v>
      </c>
      <c r="AW8" s="6">
        <f t="shared" si="5"/>
        <v>26.981999999999999</v>
      </c>
      <c r="AX8" s="6">
        <f t="shared" si="6"/>
        <v>84.257999999999996</v>
      </c>
      <c r="AY8" s="6">
        <f t="shared" si="7"/>
        <v>0</v>
      </c>
      <c r="AZ8" s="6">
        <f t="shared" si="8"/>
        <v>0</v>
      </c>
      <c r="BA8" s="6">
        <f t="shared" si="9"/>
        <v>0</v>
      </c>
      <c r="BB8" s="6">
        <f t="shared" si="21"/>
        <v>0</v>
      </c>
      <c r="BC8" s="6">
        <f t="shared" si="10"/>
        <v>0</v>
      </c>
      <c r="BD8" s="124">
        <f t="shared" si="22"/>
        <v>262.23</v>
      </c>
    </row>
    <row r="9" spans="1:56">
      <c r="A9" s="20" t="s">
        <v>238</v>
      </c>
      <c r="B9" s="121">
        <v>262.23</v>
      </c>
      <c r="C9" s="122">
        <v>100.06</v>
      </c>
      <c r="D9" s="121">
        <v>2620</v>
      </c>
      <c r="E9" s="121">
        <v>0</v>
      </c>
      <c r="F9" s="132">
        <v>4.5599999999999997E-5</v>
      </c>
      <c r="G9" s="121" t="s">
        <v>184</v>
      </c>
      <c r="H9" s="127">
        <v>60060000000</v>
      </c>
      <c r="I9" s="123" t="s">
        <v>439</v>
      </c>
      <c r="J9" s="123">
        <v>4</v>
      </c>
      <c r="K9" s="123" t="s">
        <v>260</v>
      </c>
      <c r="L9" s="127">
        <v>36000000000</v>
      </c>
      <c r="M9" s="123" t="s">
        <v>439</v>
      </c>
      <c r="N9" s="123">
        <v>13</v>
      </c>
      <c r="O9" s="123" t="s">
        <v>208</v>
      </c>
      <c r="P9" s="121">
        <f>P8</f>
        <v>4.26</v>
      </c>
      <c r="Q9" s="122" t="s">
        <v>114</v>
      </c>
      <c r="R9" s="123">
        <v>0.6</v>
      </c>
      <c r="S9" s="121" t="s">
        <v>4</v>
      </c>
      <c r="T9" s="123">
        <f t="shared" si="23"/>
        <v>4.5999999999999996</v>
      </c>
      <c r="U9" s="121" t="s">
        <v>211</v>
      </c>
      <c r="V9" s="6"/>
      <c r="W9" s="6">
        <v>8</v>
      </c>
      <c r="X9" s="6">
        <v>1</v>
      </c>
      <c r="Y9" s="6"/>
      <c r="Z9" s="6">
        <v>1</v>
      </c>
      <c r="AA9" s="6">
        <v>3</v>
      </c>
      <c r="AB9" s="6"/>
      <c r="AC9" s="6"/>
      <c r="AD9" s="6"/>
      <c r="AE9" s="6"/>
      <c r="AF9" s="6"/>
      <c r="AG9" s="124"/>
      <c r="AH9" s="131">
        <f t="shared" si="11"/>
        <v>0</v>
      </c>
      <c r="AI9" s="131">
        <f t="shared" si="12"/>
        <v>11.817869808946345</v>
      </c>
      <c r="AJ9" s="131">
        <f t="shared" si="13"/>
        <v>0</v>
      </c>
      <c r="AK9" s="131">
        <f t="shared" si="14"/>
        <v>19.441711474659648</v>
      </c>
      <c r="AL9" s="131">
        <f t="shared" si="15"/>
        <v>68.744994851847608</v>
      </c>
      <c r="AM9" s="131">
        <f t="shared" si="16"/>
        <v>0</v>
      </c>
      <c r="AN9" s="131">
        <f t="shared" si="17"/>
        <v>0</v>
      </c>
      <c r="AO9" s="131">
        <f t="shared" si="18"/>
        <v>0</v>
      </c>
      <c r="AP9" s="131">
        <f t="shared" si="19"/>
        <v>0</v>
      </c>
      <c r="AQ9" s="131">
        <f t="shared" si="20"/>
        <v>0</v>
      </c>
      <c r="AR9" s="124"/>
      <c r="AS9" s="6">
        <f t="shared" si="1"/>
        <v>0</v>
      </c>
      <c r="AT9" s="6">
        <f t="shared" si="2"/>
        <v>128</v>
      </c>
      <c r="AU9" s="6">
        <f t="shared" si="3"/>
        <v>22.99</v>
      </c>
      <c r="AV9" s="6">
        <f t="shared" si="4"/>
        <v>0</v>
      </c>
      <c r="AW9" s="6">
        <f t="shared" si="5"/>
        <v>26.981999999999999</v>
      </c>
      <c r="AX9" s="6">
        <f t="shared" si="6"/>
        <v>84.257999999999996</v>
      </c>
      <c r="AY9" s="6">
        <f t="shared" si="7"/>
        <v>0</v>
      </c>
      <c r="AZ9" s="6">
        <f t="shared" si="8"/>
        <v>0</v>
      </c>
      <c r="BA9" s="6">
        <f t="shared" si="9"/>
        <v>0</v>
      </c>
      <c r="BB9" s="6">
        <f t="shared" si="21"/>
        <v>0</v>
      </c>
      <c r="BC9" s="6">
        <f t="shared" si="10"/>
        <v>0</v>
      </c>
      <c r="BD9" s="124">
        <f t="shared" si="22"/>
        <v>262.23</v>
      </c>
    </row>
    <row r="10" spans="1:56">
      <c r="A10" s="20" t="s">
        <v>145</v>
      </c>
      <c r="B10" s="121">
        <v>278.16899999999998</v>
      </c>
      <c r="C10" s="122">
        <v>100.8</v>
      </c>
      <c r="D10" s="121">
        <v>2760</v>
      </c>
      <c r="E10" s="121">
        <v>0</v>
      </c>
      <c r="F10" s="132">
        <v>2.3799999999999999E-5</v>
      </c>
      <c r="G10" s="121" t="s">
        <v>184</v>
      </c>
      <c r="H10" s="127">
        <f>57760000000+241000000*100</f>
        <v>81860000000</v>
      </c>
      <c r="I10" s="123" t="s">
        <v>260</v>
      </c>
      <c r="J10" s="123">
        <v>4</v>
      </c>
      <c r="K10" s="123" t="s">
        <v>260</v>
      </c>
      <c r="L10" s="127">
        <v>36048440366.972473</v>
      </c>
      <c r="M10" s="123" t="s">
        <v>109</v>
      </c>
      <c r="N10" s="123">
        <v>6.8</v>
      </c>
      <c r="O10" s="123" t="s">
        <v>208</v>
      </c>
      <c r="P10" s="121">
        <v>3.48</v>
      </c>
      <c r="Q10" s="121" t="s">
        <v>114</v>
      </c>
      <c r="R10" s="123">
        <v>0.48</v>
      </c>
      <c r="S10" s="121" t="s">
        <v>4</v>
      </c>
      <c r="T10" s="123">
        <f t="shared" si="23"/>
        <v>4.4800000000000004</v>
      </c>
      <c r="U10" s="121" t="s">
        <v>211</v>
      </c>
      <c r="V10" s="6"/>
      <c r="W10" s="6">
        <v>8</v>
      </c>
      <c r="X10" s="6"/>
      <c r="Y10" s="6"/>
      <c r="Z10" s="6">
        <v>2</v>
      </c>
      <c r="AA10" s="6">
        <v>2</v>
      </c>
      <c r="AB10" s="6"/>
      <c r="AC10" s="6">
        <v>1</v>
      </c>
      <c r="AD10" s="6"/>
      <c r="AE10" s="6"/>
      <c r="AF10" s="6"/>
      <c r="AG10" s="124"/>
      <c r="AH10" s="131">
        <f t="shared" si="11"/>
        <v>0</v>
      </c>
      <c r="AI10" s="131">
        <f t="shared" si="12"/>
        <v>0</v>
      </c>
      <c r="AJ10" s="131">
        <f t="shared" si="13"/>
        <v>0</v>
      </c>
      <c r="AK10" s="131">
        <f t="shared" si="14"/>
        <v>36.649222187077662</v>
      </c>
      <c r="AL10" s="131">
        <f t="shared" si="15"/>
        <v>43.196652960289846</v>
      </c>
      <c r="AM10" s="131">
        <f t="shared" si="16"/>
        <v>0</v>
      </c>
      <c r="AN10" s="131">
        <f t="shared" si="17"/>
        <v>20.157000316301001</v>
      </c>
      <c r="AO10" s="131">
        <f t="shared" si="18"/>
        <v>0</v>
      </c>
      <c r="AP10" s="131">
        <f t="shared" si="19"/>
        <v>0</v>
      </c>
      <c r="AQ10" s="131">
        <f t="shared" si="20"/>
        <v>0</v>
      </c>
      <c r="AR10" s="124"/>
      <c r="AS10" s="6">
        <f t="shared" si="1"/>
        <v>0</v>
      </c>
      <c r="AT10" s="6">
        <f t="shared" si="2"/>
        <v>128</v>
      </c>
      <c r="AU10" s="6">
        <f t="shared" si="3"/>
        <v>0</v>
      </c>
      <c r="AV10" s="6">
        <f t="shared" si="4"/>
        <v>0</v>
      </c>
      <c r="AW10" s="6">
        <f t="shared" si="5"/>
        <v>53.963999999999999</v>
      </c>
      <c r="AX10" s="6">
        <f t="shared" si="6"/>
        <v>56.171999999999997</v>
      </c>
      <c r="AY10" s="6">
        <f t="shared" si="7"/>
        <v>0</v>
      </c>
      <c r="AZ10" s="6">
        <f t="shared" si="8"/>
        <v>40.08</v>
      </c>
      <c r="BA10" s="6">
        <f t="shared" si="9"/>
        <v>0</v>
      </c>
      <c r="BB10" s="6">
        <f t="shared" si="21"/>
        <v>0</v>
      </c>
      <c r="BC10" s="6">
        <f t="shared" si="10"/>
        <v>0</v>
      </c>
      <c r="BD10" s="124">
        <f t="shared" si="22"/>
        <v>278.21600000000001</v>
      </c>
    </row>
    <row r="11" spans="1:56">
      <c r="A11" s="20" t="s">
        <v>234</v>
      </c>
      <c r="B11" s="121">
        <v>278.33</v>
      </c>
      <c r="C11" s="122">
        <v>108.9</v>
      </c>
      <c r="D11" s="121">
        <v>2555</v>
      </c>
      <c r="E11" s="121">
        <v>0</v>
      </c>
      <c r="F11" s="132">
        <v>3.3500000000000001E-5</v>
      </c>
      <c r="G11" s="121" t="s">
        <v>184</v>
      </c>
      <c r="H11" s="128">
        <f>58300000000</f>
        <v>58300000000</v>
      </c>
      <c r="I11" s="121" t="s">
        <v>198</v>
      </c>
      <c r="J11" s="121">
        <v>4</v>
      </c>
      <c r="K11" s="121" t="s">
        <v>198</v>
      </c>
      <c r="L11" s="128">
        <v>28100000000</v>
      </c>
      <c r="M11" s="121" t="s">
        <v>110</v>
      </c>
      <c r="N11" s="123">
        <f>T11</f>
        <v>4.46</v>
      </c>
      <c r="O11" s="121" t="s">
        <v>209</v>
      </c>
      <c r="P11" s="121">
        <f>(5*L11)/(3*H11)</f>
        <v>0.80331618067467125</v>
      </c>
      <c r="Q11" s="121" t="s">
        <v>13</v>
      </c>
      <c r="R11" s="123">
        <v>0.46</v>
      </c>
      <c r="S11" s="121" t="s">
        <v>4</v>
      </c>
      <c r="T11" s="123">
        <f t="shared" si="23"/>
        <v>4.46</v>
      </c>
      <c r="U11" s="121" t="s">
        <v>211</v>
      </c>
      <c r="V11" s="6"/>
      <c r="W11" s="6">
        <v>8</v>
      </c>
      <c r="X11" s="6"/>
      <c r="Y11" s="6"/>
      <c r="Z11" s="6">
        <v>1</v>
      </c>
      <c r="AA11" s="6">
        <v>3</v>
      </c>
      <c r="AB11" s="6">
        <v>1</v>
      </c>
      <c r="AC11" s="6"/>
      <c r="AD11" s="6"/>
      <c r="AE11" s="6"/>
      <c r="AF11" s="6"/>
      <c r="AG11" s="124"/>
      <c r="AH11" s="131">
        <f t="shared" si="11"/>
        <v>0</v>
      </c>
      <c r="AI11" s="131">
        <f t="shared" si="12"/>
        <v>0</v>
      </c>
      <c r="AJ11" s="131">
        <f t="shared" si="13"/>
        <v>0</v>
      </c>
      <c r="AK11" s="131">
        <f t="shared" si="14"/>
        <v>18.316315899145657</v>
      </c>
      <c r="AL11" s="131">
        <f t="shared" si="15"/>
        <v>64.765648015750415</v>
      </c>
      <c r="AM11" s="131">
        <f t="shared" si="16"/>
        <v>16.922347328107151</v>
      </c>
      <c r="AN11" s="131">
        <f t="shared" si="17"/>
        <v>0</v>
      </c>
      <c r="AO11" s="131">
        <f t="shared" si="18"/>
        <v>0</v>
      </c>
      <c r="AP11" s="131">
        <f t="shared" si="19"/>
        <v>0</v>
      </c>
      <c r="AQ11" s="131">
        <f t="shared" si="20"/>
        <v>0</v>
      </c>
      <c r="AR11" s="124"/>
      <c r="AS11" s="6">
        <f t="shared" si="1"/>
        <v>0</v>
      </c>
      <c r="AT11" s="6">
        <f t="shared" si="2"/>
        <v>128</v>
      </c>
      <c r="AU11" s="6">
        <f t="shared" si="3"/>
        <v>0</v>
      </c>
      <c r="AV11" s="6">
        <f t="shared" si="4"/>
        <v>0</v>
      </c>
      <c r="AW11" s="6">
        <f t="shared" si="5"/>
        <v>26.981999999999999</v>
      </c>
      <c r="AX11" s="6">
        <f t="shared" si="6"/>
        <v>84.257999999999996</v>
      </c>
      <c r="AY11" s="6">
        <f t="shared" si="7"/>
        <v>39.101999999999997</v>
      </c>
      <c r="AZ11" s="6">
        <f t="shared" si="8"/>
        <v>0</v>
      </c>
      <c r="BA11" s="6">
        <f t="shared" si="9"/>
        <v>0</v>
      </c>
      <c r="BB11" s="6">
        <f t="shared" si="21"/>
        <v>0</v>
      </c>
      <c r="BC11" s="6">
        <f t="shared" si="10"/>
        <v>0</v>
      </c>
      <c r="BD11" s="124">
        <f t="shared" si="22"/>
        <v>278.34199999999998</v>
      </c>
    </row>
    <row r="12" spans="1:56">
      <c r="A12" s="20" t="s">
        <v>240</v>
      </c>
      <c r="B12" s="121">
        <v>278.33</v>
      </c>
      <c r="C12" s="122">
        <v>109</v>
      </c>
      <c r="D12" s="121">
        <v>2553</v>
      </c>
      <c r="E12" s="121">
        <v>0</v>
      </c>
      <c r="F12" s="132">
        <v>3.3500000000000001E-5</v>
      </c>
      <c r="G12" s="121" t="s">
        <v>184</v>
      </c>
      <c r="H12" s="128">
        <v>67000000000</v>
      </c>
      <c r="I12" s="121" t="s">
        <v>199</v>
      </c>
      <c r="J12" s="121">
        <v>4</v>
      </c>
      <c r="K12" s="121" t="s">
        <v>199</v>
      </c>
      <c r="L12" s="128">
        <f>L11*H12/H11</f>
        <v>32293310463.121788</v>
      </c>
      <c r="M12" s="121" t="s">
        <v>206</v>
      </c>
      <c r="N12" s="123">
        <f>T12</f>
        <v>4.46</v>
      </c>
      <c r="O12" s="121" t="s">
        <v>209</v>
      </c>
      <c r="P12" s="121">
        <f>(5*L12)/(3*H12)</f>
        <v>0.80331618067467137</v>
      </c>
      <c r="Q12" s="121" t="s">
        <v>13</v>
      </c>
      <c r="R12" s="123">
        <v>0.46</v>
      </c>
      <c r="S12" s="121" t="s">
        <v>4</v>
      </c>
      <c r="T12" s="123">
        <f t="shared" si="23"/>
        <v>4.46</v>
      </c>
      <c r="U12" s="121" t="s">
        <v>211</v>
      </c>
      <c r="V12" s="6"/>
      <c r="W12" s="6">
        <v>8</v>
      </c>
      <c r="X12" s="6"/>
      <c r="Y12" s="6"/>
      <c r="Z12" s="6">
        <v>1</v>
      </c>
      <c r="AA12" s="6">
        <v>3</v>
      </c>
      <c r="AB12" s="6">
        <v>1</v>
      </c>
      <c r="AC12" s="6"/>
      <c r="AD12" s="6"/>
      <c r="AE12" s="6"/>
      <c r="AF12" s="6"/>
      <c r="AG12" s="124"/>
      <c r="AH12" s="131">
        <f t="shared" si="11"/>
        <v>0</v>
      </c>
      <c r="AI12" s="131">
        <f t="shared" si="12"/>
        <v>0</v>
      </c>
      <c r="AJ12" s="131">
        <f t="shared" si="13"/>
        <v>0</v>
      </c>
      <c r="AK12" s="131">
        <f t="shared" si="14"/>
        <v>18.316315899145657</v>
      </c>
      <c r="AL12" s="131">
        <f t="shared" si="15"/>
        <v>64.765648015750415</v>
      </c>
      <c r="AM12" s="131">
        <f t="shared" si="16"/>
        <v>16.922347328107151</v>
      </c>
      <c r="AN12" s="131">
        <f t="shared" si="17"/>
        <v>0</v>
      </c>
      <c r="AO12" s="131">
        <f t="shared" si="18"/>
        <v>0</v>
      </c>
      <c r="AP12" s="131">
        <f t="shared" si="19"/>
        <v>0</v>
      </c>
      <c r="AQ12" s="131">
        <f t="shared" si="20"/>
        <v>0</v>
      </c>
      <c r="AR12" s="124"/>
      <c r="AS12" s="6">
        <f t="shared" si="1"/>
        <v>0</v>
      </c>
      <c r="AT12" s="6">
        <f t="shared" si="2"/>
        <v>128</v>
      </c>
      <c r="AU12" s="6">
        <f t="shared" si="3"/>
        <v>0</v>
      </c>
      <c r="AV12" s="6">
        <f t="shared" si="4"/>
        <v>0</v>
      </c>
      <c r="AW12" s="6">
        <f t="shared" si="5"/>
        <v>26.981999999999999</v>
      </c>
      <c r="AX12" s="6">
        <f t="shared" si="6"/>
        <v>84.257999999999996</v>
      </c>
      <c r="AY12" s="6">
        <f t="shared" si="7"/>
        <v>39.101999999999997</v>
      </c>
      <c r="AZ12" s="6">
        <f t="shared" si="8"/>
        <v>0</v>
      </c>
      <c r="BA12" s="6">
        <f t="shared" si="9"/>
        <v>0</v>
      </c>
      <c r="BB12" s="6">
        <f t="shared" si="21"/>
        <v>0</v>
      </c>
      <c r="BC12" s="6">
        <f t="shared" si="10"/>
        <v>0</v>
      </c>
      <c r="BD12" s="124">
        <f t="shared" si="22"/>
        <v>278.34199999999998</v>
      </c>
    </row>
    <row r="13" spans="1:56">
      <c r="A13" s="20" t="s">
        <v>146</v>
      </c>
      <c r="B13" s="121">
        <v>497.7</v>
      </c>
      <c r="C13" s="122">
        <v>115.1</v>
      </c>
      <c r="D13" s="121">
        <v>4324</v>
      </c>
      <c r="E13" s="121">
        <v>0</v>
      </c>
      <c r="F13" s="132">
        <v>4.0299999999999997E-5</v>
      </c>
      <c r="G13" s="121" t="s">
        <v>184</v>
      </c>
      <c r="H13" s="127">
        <v>170262039710.42722</v>
      </c>
      <c r="I13" s="123" t="s">
        <v>339</v>
      </c>
      <c r="J13" s="123">
        <v>4.9000000000000004</v>
      </c>
      <c r="K13" s="123" t="s">
        <v>339</v>
      </c>
      <c r="L13" s="127">
        <v>96000000000</v>
      </c>
      <c r="M13" s="123" t="s">
        <v>339</v>
      </c>
      <c r="N13" s="121">
        <f>T13</f>
        <v>5.5170000000000003</v>
      </c>
      <c r="O13" s="121" t="s">
        <v>209</v>
      </c>
      <c r="P13" s="123">
        <v>1.4</v>
      </c>
      <c r="Q13" s="123" t="s">
        <v>339</v>
      </c>
      <c r="R13" s="121">
        <v>1.07</v>
      </c>
      <c r="S13" s="121" t="s">
        <v>4</v>
      </c>
      <c r="T13" s="121">
        <v>5.5170000000000003</v>
      </c>
      <c r="U13" s="121" t="s">
        <v>114</v>
      </c>
      <c r="V13" s="6"/>
      <c r="W13" s="6">
        <v>12</v>
      </c>
      <c r="X13" s="6"/>
      <c r="Y13" s="6"/>
      <c r="Z13" s="6">
        <v>2</v>
      </c>
      <c r="AA13" s="6">
        <v>3</v>
      </c>
      <c r="AB13" s="6"/>
      <c r="AC13" s="6"/>
      <c r="AD13" s="6">
        <v>3</v>
      </c>
      <c r="AE13" s="6"/>
      <c r="AF13" s="6"/>
      <c r="AG13" s="124"/>
      <c r="AH13" s="131">
        <f t="shared" si="11"/>
        <v>0</v>
      </c>
      <c r="AI13" s="131">
        <f t="shared" si="12"/>
        <v>0</v>
      </c>
      <c r="AJ13" s="131">
        <f t="shared" si="13"/>
        <v>0</v>
      </c>
      <c r="AK13" s="131">
        <f t="shared" si="14"/>
        <v>20.484447417746999</v>
      </c>
      <c r="AL13" s="131">
        <f t="shared" si="15"/>
        <v>36.216030520548941</v>
      </c>
      <c r="AM13" s="131">
        <f t="shared" si="16"/>
        <v>0</v>
      </c>
      <c r="AN13" s="131">
        <f t="shared" si="17"/>
        <v>0</v>
      </c>
      <c r="AO13" s="131">
        <f t="shared" si="18"/>
        <v>43.303740936951925</v>
      </c>
      <c r="AP13" s="131">
        <f t="shared" si="19"/>
        <v>0</v>
      </c>
      <c r="AQ13" s="131">
        <f t="shared" si="20"/>
        <v>0</v>
      </c>
      <c r="AR13" s="124"/>
      <c r="AS13" s="6">
        <f t="shared" si="1"/>
        <v>0</v>
      </c>
      <c r="AT13" s="6">
        <f t="shared" si="2"/>
        <v>192</v>
      </c>
      <c r="AU13" s="6">
        <f t="shared" si="3"/>
        <v>0</v>
      </c>
      <c r="AV13" s="6">
        <f t="shared" si="4"/>
        <v>0</v>
      </c>
      <c r="AW13" s="6">
        <f t="shared" si="5"/>
        <v>53.963999999999999</v>
      </c>
      <c r="AX13" s="6">
        <f t="shared" si="6"/>
        <v>84.257999999999996</v>
      </c>
      <c r="AY13" s="6">
        <f t="shared" si="7"/>
        <v>0</v>
      </c>
      <c r="AZ13" s="6">
        <f t="shared" si="8"/>
        <v>0</v>
      </c>
      <c r="BA13" s="6">
        <f t="shared" si="9"/>
        <v>167.541</v>
      </c>
      <c r="BB13" s="6">
        <f t="shared" si="21"/>
        <v>0</v>
      </c>
      <c r="BC13" s="6">
        <f t="shared" si="10"/>
        <v>0</v>
      </c>
      <c r="BD13" s="124">
        <f t="shared" si="22"/>
        <v>497.76299999999998</v>
      </c>
    </row>
    <row r="14" spans="1:56">
      <c r="A14" s="20" t="s">
        <v>281</v>
      </c>
      <c r="B14" s="121">
        <v>450.4</v>
      </c>
      <c r="C14" s="122">
        <v>125.4</v>
      </c>
      <c r="D14" s="121">
        <v>3593</v>
      </c>
      <c r="E14" s="121">
        <v>0</v>
      </c>
      <c r="F14" s="132">
        <v>3.93E-5</v>
      </c>
      <c r="G14" s="121" t="s">
        <v>184</v>
      </c>
      <c r="H14" s="127">
        <v>163880853648.81299</v>
      </c>
      <c r="I14" s="123" t="s">
        <v>339</v>
      </c>
      <c r="J14" s="123">
        <v>3.9</v>
      </c>
      <c r="K14" s="123" t="s">
        <v>339</v>
      </c>
      <c r="L14" s="127">
        <v>109000000000</v>
      </c>
      <c r="M14" s="123" t="s">
        <v>339</v>
      </c>
      <c r="N14" s="121">
        <v>5.1100000000000003</v>
      </c>
      <c r="O14" s="121" t="s">
        <v>208</v>
      </c>
      <c r="P14" s="123">
        <v>1.1000000000000001</v>
      </c>
      <c r="Q14" s="123" t="s">
        <v>339</v>
      </c>
      <c r="R14" s="121">
        <v>1.19</v>
      </c>
      <c r="S14" s="121" t="s">
        <v>195</v>
      </c>
      <c r="T14" s="121">
        <v>4.57</v>
      </c>
      <c r="U14" s="121" t="s">
        <v>195</v>
      </c>
      <c r="V14" s="6"/>
      <c r="W14" s="6">
        <v>12</v>
      </c>
      <c r="X14" s="6"/>
      <c r="Y14" s="6"/>
      <c r="Z14" s="6">
        <v>2</v>
      </c>
      <c r="AA14" s="6">
        <v>3</v>
      </c>
      <c r="AB14" s="6"/>
      <c r="AC14" s="6">
        <v>3</v>
      </c>
      <c r="AD14" s="6"/>
      <c r="AE14" s="6"/>
      <c r="AF14" s="6"/>
      <c r="AG14" s="124"/>
      <c r="AH14" s="131">
        <f t="shared" si="11"/>
        <v>0</v>
      </c>
      <c r="AI14" s="131">
        <f t="shared" si="12"/>
        <v>0</v>
      </c>
      <c r="AJ14" s="131">
        <f t="shared" si="13"/>
        <v>0</v>
      </c>
      <c r="AK14" s="131">
        <f t="shared" si="14"/>
        <v>22.635427627635629</v>
      </c>
      <c r="AL14" s="131">
        <f t="shared" si="15"/>
        <v>40.018913915047222</v>
      </c>
      <c r="AM14" s="131">
        <f t="shared" si="16"/>
        <v>0</v>
      </c>
      <c r="AN14" s="131">
        <f t="shared" si="17"/>
        <v>37.348322389013944</v>
      </c>
      <c r="AO14" s="131">
        <f t="shared" si="18"/>
        <v>0</v>
      </c>
      <c r="AP14" s="131">
        <f t="shared" si="19"/>
        <v>0</v>
      </c>
      <c r="AQ14" s="131">
        <f t="shared" si="20"/>
        <v>0</v>
      </c>
      <c r="AR14" s="124"/>
      <c r="AS14" s="6">
        <f t="shared" si="1"/>
        <v>0</v>
      </c>
      <c r="AT14" s="6">
        <f t="shared" si="2"/>
        <v>192</v>
      </c>
      <c r="AU14" s="6">
        <f t="shared" si="3"/>
        <v>0</v>
      </c>
      <c r="AV14" s="6">
        <f t="shared" si="4"/>
        <v>0</v>
      </c>
      <c r="AW14" s="6">
        <f t="shared" si="5"/>
        <v>53.963999999999999</v>
      </c>
      <c r="AX14" s="6">
        <f t="shared" si="6"/>
        <v>84.257999999999996</v>
      </c>
      <c r="AY14" s="6">
        <f t="shared" si="7"/>
        <v>0</v>
      </c>
      <c r="AZ14" s="6">
        <f t="shared" si="8"/>
        <v>120.24</v>
      </c>
      <c r="BA14" s="6">
        <f t="shared" si="9"/>
        <v>0</v>
      </c>
      <c r="BB14" s="6">
        <f t="shared" si="21"/>
        <v>0</v>
      </c>
      <c r="BC14" s="6">
        <f t="shared" si="10"/>
        <v>0</v>
      </c>
      <c r="BD14" s="124">
        <f t="shared" si="22"/>
        <v>450.46199999999999</v>
      </c>
    </row>
    <row r="15" spans="1:56">
      <c r="A15" s="20" t="s">
        <v>151</v>
      </c>
      <c r="B15" s="121">
        <v>403.09</v>
      </c>
      <c r="C15" s="122">
        <v>113.2</v>
      </c>
      <c r="D15" s="121">
        <v>3565</v>
      </c>
      <c r="E15" s="121">
        <v>0</v>
      </c>
      <c r="F15" s="132">
        <v>4.3600000000000003E-5</v>
      </c>
      <c r="G15" s="121" t="s">
        <v>184</v>
      </c>
      <c r="H15" s="127">
        <v>167293557276.33301</v>
      </c>
      <c r="I15" s="123" t="s">
        <v>339</v>
      </c>
      <c r="J15" s="123">
        <v>4.0999999999999996</v>
      </c>
      <c r="K15" s="123" t="s">
        <v>339</v>
      </c>
      <c r="L15" s="127">
        <v>94000000000</v>
      </c>
      <c r="M15" s="123" t="s">
        <v>339</v>
      </c>
      <c r="N15" s="121">
        <v>4.0599999999999996</v>
      </c>
      <c r="O15" s="121" t="s">
        <v>208</v>
      </c>
      <c r="P15" s="123">
        <v>1.3</v>
      </c>
      <c r="Q15" s="123" t="s">
        <v>339</v>
      </c>
      <c r="R15" s="121">
        <v>1.25</v>
      </c>
      <c r="S15" s="121" t="s">
        <v>195</v>
      </c>
      <c r="T15" s="121">
        <v>5.3</v>
      </c>
      <c r="U15" s="121" t="s">
        <v>195</v>
      </c>
      <c r="V15" s="6"/>
      <c r="W15" s="6">
        <v>12</v>
      </c>
      <c r="X15" s="6"/>
      <c r="Y15" s="6">
        <v>3</v>
      </c>
      <c r="Z15" s="6">
        <v>2</v>
      </c>
      <c r="AA15" s="6">
        <v>3</v>
      </c>
      <c r="AB15" s="6"/>
      <c r="AC15" s="6"/>
      <c r="AD15" s="6"/>
      <c r="AE15" s="6"/>
      <c r="AF15" s="6"/>
      <c r="AG15" s="124"/>
      <c r="AH15" s="131">
        <f t="shared" si="11"/>
        <v>0</v>
      </c>
      <c r="AI15" s="131">
        <f t="shared" si="12"/>
        <v>0</v>
      </c>
      <c r="AJ15" s="131">
        <f t="shared" si="13"/>
        <v>29.997172324498084</v>
      </c>
      <c r="AK15" s="131">
        <f t="shared" si="14"/>
        <v>25.291324989210185</v>
      </c>
      <c r="AL15" s="131">
        <f t="shared" si="15"/>
        <v>44.714479186820057</v>
      </c>
      <c r="AM15" s="131">
        <f t="shared" si="16"/>
        <v>0</v>
      </c>
      <c r="AN15" s="131">
        <f t="shared" si="17"/>
        <v>0</v>
      </c>
      <c r="AO15" s="131">
        <f t="shared" si="18"/>
        <v>0</v>
      </c>
      <c r="AP15" s="131">
        <f t="shared" si="19"/>
        <v>0</v>
      </c>
      <c r="AQ15" s="131">
        <f t="shared" si="20"/>
        <v>0</v>
      </c>
      <c r="AR15" s="124"/>
      <c r="AS15" s="6">
        <f t="shared" si="1"/>
        <v>0</v>
      </c>
      <c r="AT15" s="6">
        <f t="shared" si="2"/>
        <v>192</v>
      </c>
      <c r="AU15" s="6">
        <f t="shared" si="3"/>
        <v>0</v>
      </c>
      <c r="AV15" s="6">
        <f t="shared" si="4"/>
        <v>72.936000000000007</v>
      </c>
      <c r="AW15" s="6">
        <f t="shared" si="5"/>
        <v>53.963999999999999</v>
      </c>
      <c r="AX15" s="6">
        <f t="shared" si="6"/>
        <v>84.257999999999996</v>
      </c>
      <c r="AY15" s="6">
        <f t="shared" si="7"/>
        <v>0</v>
      </c>
      <c r="AZ15" s="6">
        <f t="shared" si="8"/>
        <v>0</v>
      </c>
      <c r="BA15" s="6">
        <f t="shared" si="9"/>
        <v>0</v>
      </c>
      <c r="BB15" s="6">
        <f t="shared" si="21"/>
        <v>0</v>
      </c>
      <c r="BC15" s="6">
        <f t="shared" si="10"/>
        <v>0</v>
      </c>
      <c r="BD15" s="124">
        <f t="shared" si="22"/>
        <v>403.15800000000002</v>
      </c>
    </row>
    <row r="16" spans="1:56">
      <c r="A16" s="20" t="s">
        <v>149</v>
      </c>
      <c r="B16" s="121">
        <v>140.69999999999999</v>
      </c>
      <c r="C16" s="122">
        <v>43.7</v>
      </c>
      <c r="D16" s="121">
        <v>3222</v>
      </c>
      <c r="E16" s="121">
        <v>0</v>
      </c>
      <c r="F16" s="132">
        <v>6.1299999999999999E-5</v>
      </c>
      <c r="G16" s="121" t="s">
        <v>184</v>
      </c>
      <c r="H16" s="128">
        <v>127300000000</v>
      </c>
      <c r="I16" s="123" t="s">
        <v>544</v>
      </c>
      <c r="J16" s="123">
        <v>4.2</v>
      </c>
      <c r="K16" s="123" t="s">
        <v>419</v>
      </c>
      <c r="L16" s="128">
        <v>81600000000</v>
      </c>
      <c r="M16" s="123" t="s">
        <v>544</v>
      </c>
      <c r="N16" s="121">
        <v>5.19</v>
      </c>
      <c r="O16" s="121" t="s">
        <v>208</v>
      </c>
      <c r="P16" s="123">
        <v>1.6</v>
      </c>
      <c r="Q16" s="123" t="s">
        <v>419</v>
      </c>
      <c r="R16" s="121">
        <v>1.29</v>
      </c>
      <c r="S16" s="121" t="s">
        <v>195</v>
      </c>
      <c r="T16" s="121">
        <v>5.5</v>
      </c>
      <c r="U16" s="121" t="s">
        <v>195</v>
      </c>
      <c r="V16" s="6"/>
      <c r="W16" s="6">
        <v>4</v>
      </c>
      <c r="X16" s="6"/>
      <c r="Y16" s="6">
        <v>2</v>
      </c>
      <c r="Z16" s="6"/>
      <c r="AA16" s="6">
        <v>1</v>
      </c>
      <c r="AB16" s="6"/>
      <c r="AC16" s="6"/>
      <c r="AD16" s="6"/>
      <c r="AE16" s="6"/>
      <c r="AF16" s="6"/>
      <c r="AG16" s="124"/>
      <c r="AH16" s="131">
        <f t="shared" si="11"/>
        <v>0</v>
      </c>
      <c r="AI16" s="131">
        <f t="shared" si="12"/>
        <v>0</v>
      </c>
      <c r="AJ16" s="131">
        <f t="shared" si="13"/>
        <v>57.297988771231616</v>
      </c>
      <c r="AK16" s="131">
        <f t="shared" si="14"/>
        <v>0</v>
      </c>
      <c r="AL16" s="131">
        <f t="shared" si="15"/>
        <v>42.704853954942799</v>
      </c>
      <c r="AM16" s="131">
        <f t="shared" si="16"/>
        <v>0</v>
      </c>
      <c r="AN16" s="131">
        <f t="shared" si="17"/>
        <v>0</v>
      </c>
      <c r="AO16" s="131">
        <f t="shared" si="18"/>
        <v>0</v>
      </c>
      <c r="AP16" s="131">
        <f t="shared" si="19"/>
        <v>0</v>
      </c>
      <c r="AQ16" s="131">
        <f t="shared" si="20"/>
        <v>0</v>
      </c>
      <c r="AR16" s="124"/>
      <c r="AS16" s="6">
        <f t="shared" si="1"/>
        <v>0</v>
      </c>
      <c r="AT16" s="6">
        <f t="shared" si="2"/>
        <v>64</v>
      </c>
      <c r="AU16" s="6">
        <f t="shared" si="3"/>
        <v>0</v>
      </c>
      <c r="AV16" s="6">
        <f t="shared" si="4"/>
        <v>48.624000000000002</v>
      </c>
      <c r="AW16" s="6">
        <f t="shared" si="5"/>
        <v>0</v>
      </c>
      <c r="AX16" s="6">
        <f t="shared" si="6"/>
        <v>28.085999999999999</v>
      </c>
      <c r="AY16" s="6">
        <f t="shared" si="7"/>
        <v>0</v>
      </c>
      <c r="AZ16" s="6">
        <f t="shared" si="8"/>
        <v>0</v>
      </c>
      <c r="BA16" s="6">
        <f t="shared" si="9"/>
        <v>0</v>
      </c>
      <c r="BB16" s="6">
        <f t="shared" si="21"/>
        <v>0</v>
      </c>
      <c r="BC16" s="6">
        <f t="shared" si="10"/>
        <v>0</v>
      </c>
      <c r="BD16" s="124">
        <f t="shared" si="22"/>
        <v>140.70999999999998</v>
      </c>
    </row>
    <row r="17" spans="1:75">
      <c r="A17" s="20" t="s">
        <v>155</v>
      </c>
      <c r="B17" s="121">
        <v>203.77</v>
      </c>
      <c r="C17" s="122">
        <v>46.3</v>
      </c>
      <c r="D17" s="121">
        <v>4400</v>
      </c>
      <c r="E17" s="121">
        <v>0</v>
      </c>
      <c r="F17" s="132">
        <v>5.0500000000000001E-5</v>
      </c>
      <c r="G17" s="121" t="s">
        <v>184</v>
      </c>
      <c r="H17" s="127">
        <v>136260000000</v>
      </c>
      <c r="I17" s="123" t="s">
        <v>419</v>
      </c>
      <c r="J17" s="123">
        <v>4.88</v>
      </c>
      <c r="K17" s="123" t="s">
        <v>419</v>
      </c>
      <c r="L17" s="127">
        <v>51220000000</v>
      </c>
      <c r="M17" s="123" t="s">
        <v>419</v>
      </c>
      <c r="N17" s="121">
        <v>4.6900000000000004</v>
      </c>
      <c r="O17" s="121" t="s">
        <v>208</v>
      </c>
      <c r="P17" s="123">
        <v>1.71</v>
      </c>
      <c r="Q17" s="123" t="s">
        <v>546</v>
      </c>
      <c r="R17" s="121">
        <v>1.21</v>
      </c>
      <c r="S17" s="121" t="s">
        <v>195</v>
      </c>
      <c r="T17" s="121">
        <v>5.4</v>
      </c>
      <c r="U17" s="121" t="s">
        <v>195</v>
      </c>
      <c r="V17" s="6"/>
      <c r="W17" s="6">
        <v>4</v>
      </c>
      <c r="X17" s="6"/>
      <c r="Y17" s="6"/>
      <c r="Z17" s="6"/>
      <c r="AA17" s="6">
        <v>1</v>
      </c>
      <c r="AB17" s="6"/>
      <c r="AC17" s="6"/>
      <c r="AD17" s="6">
        <v>2</v>
      </c>
      <c r="AE17" s="6"/>
      <c r="AF17" s="6"/>
      <c r="AG17" s="124"/>
      <c r="AH17" s="131">
        <f t="shared" si="11"/>
        <v>0</v>
      </c>
      <c r="AI17" s="131">
        <f t="shared" si="12"/>
        <v>0</v>
      </c>
      <c r="AJ17" s="131">
        <f t="shared" si="13"/>
        <v>0</v>
      </c>
      <c r="AK17" s="131">
        <f t="shared" si="14"/>
        <v>0</v>
      </c>
      <c r="AL17" s="131">
        <f t="shared" si="15"/>
        <v>29.487682795171263</v>
      </c>
      <c r="AM17" s="131">
        <f t="shared" si="16"/>
        <v>0</v>
      </c>
      <c r="AN17" s="131">
        <f t="shared" si="17"/>
        <v>0</v>
      </c>
      <c r="AO17" s="131">
        <f t="shared" si="18"/>
        <v>70.51722445774854</v>
      </c>
      <c r="AP17" s="131">
        <f t="shared" si="19"/>
        <v>0</v>
      </c>
      <c r="AQ17" s="131">
        <f t="shared" si="20"/>
        <v>0</v>
      </c>
      <c r="AR17" s="124"/>
      <c r="AS17" s="6">
        <f t="shared" si="1"/>
        <v>0</v>
      </c>
      <c r="AT17" s="6">
        <f t="shared" si="2"/>
        <v>64</v>
      </c>
      <c r="AU17" s="6">
        <f t="shared" si="3"/>
        <v>0</v>
      </c>
      <c r="AV17" s="6">
        <f t="shared" si="4"/>
        <v>0</v>
      </c>
      <c r="AW17" s="6">
        <f t="shared" si="5"/>
        <v>0</v>
      </c>
      <c r="AX17" s="6">
        <f t="shared" si="6"/>
        <v>28.085999999999999</v>
      </c>
      <c r="AY17" s="6">
        <f t="shared" si="7"/>
        <v>0</v>
      </c>
      <c r="AZ17" s="6">
        <f t="shared" si="8"/>
        <v>0</v>
      </c>
      <c r="BA17" s="6">
        <f t="shared" si="9"/>
        <v>111.694</v>
      </c>
      <c r="BB17" s="6">
        <f t="shared" si="21"/>
        <v>0</v>
      </c>
      <c r="BC17" s="6">
        <f t="shared" si="10"/>
        <v>0</v>
      </c>
      <c r="BD17" s="124">
        <f t="shared" si="22"/>
        <v>203.78</v>
      </c>
    </row>
    <row r="18" spans="1:75">
      <c r="A18" s="20" t="s">
        <v>148</v>
      </c>
      <c r="B18" s="121">
        <v>200.79</v>
      </c>
      <c r="C18" s="122">
        <v>62.6</v>
      </c>
      <c r="D18" s="121">
        <v>3196</v>
      </c>
      <c r="E18" s="121">
        <v>0</v>
      </c>
      <c r="F18" s="132">
        <v>5.0500000000000001E-5</v>
      </c>
      <c r="G18" s="121" t="s">
        <v>184</v>
      </c>
      <c r="H18" s="127">
        <f>108500000000/(1+F18*0.42*R18*298)</f>
        <v>107852394794.9814</v>
      </c>
      <c r="I18" s="123" t="s">
        <v>415</v>
      </c>
      <c r="J18" s="123">
        <v>6.6</v>
      </c>
      <c r="K18" s="123" t="s">
        <v>505</v>
      </c>
      <c r="L18" s="127">
        <v>77900000000</v>
      </c>
      <c r="M18" s="123" t="s">
        <v>415</v>
      </c>
      <c r="N18" s="123">
        <f>T18</f>
        <v>7.55</v>
      </c>
      <c r="O18" s="123" t="s">
        <v>209</v>
      </c>
      <c r="P18" s="123">
        <v>1.9</v>
      </c>
      <c r="Q18" s="123" t="s">
        <v>504</v>
      </c>
      <c r="R18" s="123">
        <v>0.95</v>
      </c>
      <c r="S18" s="123" t="s">
        <v>4</v>
      </c>
      <c r="T18" s="123">
        <f>R18+J18</f>
        <v>7.55</v>
      </c>
      <c r="U18" s="123" t="s">
        <v>211</v>
      </c>
      <c r="V18" s="6"/>
      <c r="W18" s="6">
        <v>6</v>
      </c>
      <c r="X18" s="6"/>
      <c r="Y18" s="6">
        <v>2</v>
      </c>
      <c r="Z18" s="6"/>
      <c r="AA18" s="6">
        <v>2</v>
      </c>
      <c r="AB18" s="6"/>
      <c r="AC18" s="6"/>
      <c r="AD18" s="6"/>
      <c r="AE18" s="6"/>
      <c r="AF18" s="6"/>
      <c r="AG18" s="124"/>
      <c r="AH18" s="131">
        <f t="shared" si="11"/>
        <v>0</v>
      </c>
      <c r="AI18" s="131">
        <f t="shared" si="12"/>
        <v>0</v>
      </c>
      <c r="AJ18" s="131">
        <f t="shared" si="13"/>
        <v>40.152194266818064</v>
      </c>
      <c r="AK18" s="131">
        <f t="shared" si="14"/>
        <v>0</v>
      </c>
      <c r="AL18" s="131">
        <f t="shared" si="15"/>
        <v>59.851789876292358</v>
      </c>
      <c r="AM18" s="131">
        <f t="shared" si="16"/>
        <v>0</v>
      </c>
      <c r="AN18" s="131">
        <f t="shared" si="17"/>
        <v>0</v>
      </c>
      <c r="AO18" s="131">
        <f t="shared" si="18"/>
        <v>0</v>
      </c>
      <c r="AP18" s="131">
        <f t="shared" si="19"/>
        <v>0</v>
      </c>
      <c r="AQ18" s="131">
        <f t="shared" si="20"/>
        <v>0</v>
      </c>
      <c r="AR18" s="124"/>
      <c r="AS18" s="6">
        <f t="shared" si="1"/>
        <v>0</v>
      </c>
      <c r="AT18" s="6">
        <f t="shared" si="2"/>
        <v>96</v>
      </c>
      <c r="AU18" s="6">
        <f t="shared" si="3"/>
        <v>0</v>
      </c>
      <c r="AV18" s="6">
        <f t="shared" si="4"/>
        <v>48.624000000000002</v>
      </c>
      <c r="AW18" s="6">
        <f t="shared" si="5"/>
        <v>0</v>
      </c>
      <c r="AX18" s="6">
        <f t="shared" si="6"/>
        <v>56.171999999999997</v>
      </c>
      <c r="AY18" s="6">
        <f t="shared" si="7"/>
        <v>0</v>
      </c>
      <c r="AZ18" s="6">
        <f t="shared" si="8"/>
        <v>0</v>
      </c>
      <c r="BA18" s="6">
        <f t="shared" si="9"/>
        <v>0</v>
      </c>
      <c r="BB18" s="6">
        <f t="shared" si="21"/>
        <v>0</v>
      </c>
      <c r="BC18" s="6">
        <f t="shared" si="10"/>
        <v>0</v>
      </c>
      <c r="BD18" s="124">
        <f t="shared" si="22"/>
        <v>200.79599999999999</v>
      </c>
    </row>
    <row r="19" spans="1:75">
      <c r="A19" s="20" t="s">
        <v>280</v>
      </c>
      <c r="B19" s="121">
        <v>263.86</v>
      </c>
      <c r="C19" s="122">
        <v>65.900000000000006</v>
      </c>
      <c r="D19" s="121">
        <v>4003</v>
      </c>
      <c r="E19" s="121">
        <v>0</v>
      </c>
      <c r="F19" s="132">
        <v>6.3200000000000005E-5</v>
      </c>
      <c r="G19" s="121" t="s">
        <v>184</v>
      </c>
      <c r="H19" s="127">
        <f>101000000000/(1+F19*0.42*R19*298)</f>
        <v>100097369202.52109</v>
      </c>
      <c r="I19" s="123" t="s">
        <v>551</v>
      </c>
      <c r="J19" s="123">
        <f>J18</f>
        <v>6.6</v>
      </c>
      <c r="K19" s="123" t="s">
        <v>454</v>
      </c>
      <c r="L19" s="128">
        <v>52000000000</v>
      </c>
      <c r="M19" s="123" t="s">
        <v>551</v>
      </c>
      <c r="N19" s="123">
        <f t="shared" ref="N19:N36" si="24">T19</f>
        <v>7.7399999999999993</v>
      </c>
      <c r="O19" s="121" t="s">
        <v>209</v>
      </c>
      <c r="P19" s="123">
        <f>P18</f>
        <v>1.9</v>
      </c>
      <c r="Q19" s="123" t="s">
        <v>454</v>
      </c>
      <c r="R19" s="123">
        <v>1.1399999999999999</v>
      </c>
      <c r="S19" s="121" t="s">
        <v>4</v>
      </c>
      <c r="T19" s="123">
        <f t="shared" ref="T19:T36" si="25">R19+J19</f>
        <v>7.7399999999999993</v>
      </c>
      <c r="U19" s="121" t="s">
        <v>211</v>
      </c>
      <c r="V19" s="6"/>
      <c r="W19" s="6">
        <v>6</v>
      </c>
      <c r="X19" s="6"/>
      <c r="Y19" s="6"/>
      <c r="Z19" s="6"/>
      <c r="AA19" s="6">
        <v>2</v>
      </c>
      <c r="AB19" s="6"/>
      <c r="AC19" s="6"/>
      <c r="AD19" s="6">
        <v>2</v>
      </c>
      <c r="AE19" s="6"/>
      <c r="AF19" s="6"/>
      <c r="AG19" s="124"/>
      <c r="AH19" s="131">
        <f t="shared" si="11"/>
        <v>0</v>
      </c>
      <c r="AI19" s="131">
        <f t="shared" si="12"/>
        <v>0</v>
      </c>
      <c r="AJ19" s="131">
        <f t="shared" si="13"/>
        <v>0</v>
      </c>
      <c r="AK19" s="131">
        <f t="shared" si="14"/>
        <v>0</v>
      </c>
      <c r="AL19" s="131">
        <f t="shared" si="15"/>
        <v>45.545845239629209</v>
      </c>
      <c r="AM19" s="131">
        <f t="shared" si="16"/>
        <v>0</v>
      </c>
      <c r="AN19" s="131">
        <f t="shared" si="17"/>
        <v>0</v>
      </c>
      <c r="AO19" s="131">
        <f t="shared" si="18"/>
        <v>54.459460483730375</v>
      </c>
      <c r="AP19" s="131">
        <f t="shared" si="19"/>
        <v>0</v>
      </c>
      <c r="AQ19" s="131">
        <f t="shared" si="20"/>
        <v>0</v>
      </c>
      <c r="AR19" s="124"/>
      <c r="AS19" s="6">
        <f t="shared" si="1"/>
        <v>0</v>
      </c>
      <c r="AT19" s="6">
        <f t="shared" si="2"/>
        <v>96</v>
      </c>
      <c r="AU19" s="6">
        <f t="shared" si="3"/>
        <v>0</v>
      </c>
      <c r="AV19" s="6">
        <f t="shared" si="4"/>
        <v>0</v>
      </c>
      <c r="AW19" s="6">
        <f t="shared" si="5"/>
        <v>0</v>
      </c>
      <c r="AX19" s="6">
        <f t="shared" si="6"/>
        <v>56.171999999999997</v>
      </c>
      <c r="AY19" s="6">
        <f t="shared" si="7"/>
        <v>0</v>
      </c>
      <c r="AZ19" s="6">
        <f t="shared" si="8"/>
        <v>0</v>
      </c>
      <c r="BA19" s="6">
        <f t="shared" si="9"/>
        <v>111.694</v>
      </c>
      <c r="BB19" s="6">
        <f t="shared" si="21"/>
        <v>0</v>
      </c>
      <c r="BC19" s="6">
        <f t="shared" si="10"/>
        <v>0</v>
      </c>
      <c r="BD19" s="124">
        <f t="shared" si="22"/>
        <v>263.86599999999999</v>
      </c>
    </row>
    <row r="20" spans="1:75">
      <c r="A20" s="103" t="s">
        <v>462</v>
      </c>
      <c r="B20" s="123">
        <v>202.4</v>
      </c>
      <c r="C20" s="123">
        <v>58.9</v>
      </c>
      <c r="D20" s="123">
        <v>3436.3327674023772</v>
      </c>
      <c r="E20" s="123">
        <v>0</v>
      </c>
      <c r="F20" s="133">
        <v>5.0800000000000002E-5</v>
      </c>
      <c r="G20" s="123" t="s">
        <v>184</v>
      </c>
      <c r="H20" s="127">
        <f>(115000000000-0.79*H18-0.09*H19)/0.12</f>
        <v>173232040697.81494</v>
      </c>
      <c r="I20" s="123" t="s">
        <v>457</v>
      </c>
      <c r="J20" s="123">
        <f>J18</f>
        <v>6.6</v>
      </c>
      <c r="K20" s="123" t="s">
        <v>454</v>
      </c>
      <c r="L20" s="127">
        <f>(77900000000-0.79*L18-0.09*L19)/0.12</f>
        <v>97325000000</v>
      </c>
      <c r="M20" s="123" t="s">
        <v>457</v>
      </c>
      <c r="N20" s="123">
        <f>T20</f>
        <v>7.55</v>
      </c>
      <c r="O20" s="123" t="s">
        <v>209</v>
      </c>
      <c r="P20" s="123">
        <f>P19</f>
        <v>1.9</v>
      </c>
      <c r="Q20" s="123" t="s">
        <v>454</v>
      </c>
      <c r="R20" s="123">
        <f>R18</f>
        <v>0.95</v>
      </c>
      <c r="S20" s="123" t="s">
        <v>454</v>
      </c>
      <c r="T20" s="123">
        <f>R20+J20</f>
        <v>7.55</v>
      </c>
      <c r="U20" s="123" t="s">
        <v>211</v>
      </c>
      <c r="V20" s="129"/>
      <c r="W20" s="6">
        <v>6</v>
      </c>
      <c r="X20" s="129"/>
      <c r="Y20" s="129">
        <v>1</v>
      </c>
      <c r="Z20" s="129">
        <v>2</v>
      </c>
      <c r="AA20" s="6">
        <v>1</v>
      </c>
      <c r="AB20" s="129"/>
      <c r="AC20" s="129"/>
      <c r="AD20" s="129"/>
      <c r="AE20" s="129"/>
      <c r="AF20" s="129"/>
      <c r="AG20" s="125"/>
      <c r="AH20" s="131">
        <f>100*V20*oxideH/$BD20</f>
        <v>0</v>
      </c>
      <c r="AI20" s="131">
        <f>100*X20*oxideNa/$BD20</f>
        <v>0</v>
      </c>
      <c r="AJ20" s="131">
        <f>100*Y20*oxideMg/$BD20</f>
        <v>19.920736106581273</v>
      </c>
      <c r="AK20" s="131">
        <f>100*Z20*oxideAl/$BD20</f>
        <v>50.386930352536538</v>
      </c>
      <c r="AL20" s="131">
        <f>100*AA20*oxideSi/$BD20</f>
        <v>29.694310196578407</v>
      </c>
      <c r="AM20" s="131">
        <f>100*AB20*oxideK/$BD20</f>
        <v>0</v>
      </c>
      <c r="AN20" s="131">
        <f>100*AC20*oxideCa/$BD20</f>
        <v>0</v>
      </c>
      <c r="AO20" s="131">
        <f>100*AD20*oxideFe/$BD20</f>
        <v>0</v>
      </c>
      <c r="AP20" s="131">
        <f t="shared" si="19"/>
        <v>0</v>
      </c>
      <c r="AQ20" s="131">
        <f>100*AF20*oxideC/$BD20</f>
        <v>0</v>
      </c>
      <c r="AR20" s="124"/>
      <c r="AS20" s="6">
        <f>V20*atwtH</f>
        <v>0</v>
      </c>
      <c r="AT20" s="6">
        <f>W20*atwtO</f>
        <v>96</v>
      </c>
      <c r="AU20" s="6">
        <f>X20*atwtNa</f>
        <v>0</v>
      </c>
      <c r="AV20" s="6">
        <f>Y20*atwtMg</f>
        <v>24.312000000000001</v>
      </c>
      <c r="AW20" s="6">
        <f>Z20*atwtAl</f>
        <v>53.963999999999999</v>
      </c>
      <c r="AX20" s="6">
        <f>AA20*atwtSi</f>
        <v>28.085999999999999</v>
      </c>
      <c r="AY20" s="6">
        <f>AB20*atwtK</f>
        <v>0</v>
      </c>
      <c r="AZ20" s="6">
        <f>AC20*atwtCa</f>
        <v>0</v>
      </c>
      <c r="BA20" s="6">
        <f t="shared" si="9"/>
        <v>0</v>
      </c>
      <c r="BB20" s="6">
        <f t="shared" si="21"/>
        <v>0</v>
      </c>
      <c r="BC20" s="6">
        <f>AF20*atwtC</f>
        <v>0</v>
      </c>
      <c r="BD20" s="124">
        <f>SUM(AS20:BC20)</f>
        <v>202.36200000000002</v>
      </c>
      <c r="BE20" s="61"/>
      <c r="BF20" s="61"/>
      <c r="BG20" s="61"/>
      <c r="BH20" s="61"/>
      <c r="BI20" s="61"/>
    </row>
    <row r="21" spans="1:75">
      <c r="A21" s="20" t="s">
        <v>241</v>
      </c>
      <c r="B21" s="121">
        <v>216.56</v>
      </c>
      <c r="C21" s="122">
        <v>66.19</v>
      </c>
      <c r="D21" s="123">
        <v>3268</v>
      </c>
      <c r="E21" s="121">
        <v>0</v>
      </c>
      <c r="F21" s="132">
        <v>5.7000000000000003E-5</v>
      </c>
      <c r="G21" s="121" t="s">
        <v>184</v>
      </c>
      <c r="H21" s="127">
        <v>116500000000</v>
      </c>
      <c r="I21" s="123" t="s">
        <v>503</v>
      </c>
      <c r="J21" s="123">
        <v>4.5</v>
      </c>
      <c r="K21" s="123" t="s">
        <v>501</v>
      </c>
      <c r="L21" s="127">
        <v>72800000000</v>
      </c>
      <c r="M21" s="123" t="s">
        <v>503</v>
      </c>
      <c r="N21" s="123">
        <v>4</v>
      </c>
      <c r="O21" s="123" t="s">
        <v>503</v>
      </c>
      <c r="P21" s="123">
        <f>P18</f>
        <v>1.9</v>
      </c>
      <c r="Q21" s="123" t="s">
        <v>454</v>
      </c>
      <c r="R21" s="123">
        <v>1.1000000000000001</v>
      </c>
      <c r="S21" s="123" t="s">
        <v>503</v>
      </c>
      <c r="T21" s="123">
        <v>4.5</v>
      </c>
      <c r="U21" s="123" t="s">
        <v>503</v>
      </c>
      <c r="V21" s="6"/>
      <c r="W21" s="6">
        <v>6</v>
      </c>
      <c r="X21" s="6"/>
      <c r="Y21" s="6">
        <v>1</v>
      </c>
      <c r="Z21" s="6"/>
      <c r="AA21" s="6">
        <v>2</v>
      </c>
      <c r="AB21" s="6"/>
      <c r="AC21" s="6">
        <v>1</v>
      </c>
      <c r="AD21" s="6"/>
      <c r="AE21" s="6"/>
      <c r="AF21" s="6"/>
      <c r="AG21" s="124"/>
      <c r="AH21" s="131">
        <f t="shared" si="11"/>
        <v>0</v>
      </c>
      <c r="AI21" s="131">
        <f t="shared" si="12"/>
        <v>0</v>
      </c>
      <c r="AJ21" s="131">
        <f t="shared" si="13"/>
        <v>18.614358803863986</v>
      </c>
      <c r="AK21" s="131">
        <f t="shared" si="14"/>
        <v>0</v>
      </c>
      <c r="AL21" s="131">
        <f t="shared" si="15"/>
        <v>55.493987920429994</v>
      </c>
      <c r="AM21" s="131">
        <f t="shared" si="16"/>
        <v>0</v>
      </c>
      <c r="AN21" s="131">
        <f t="shared" si="17"/>
        <v>25.895347333813564</v>
      </c>
      <c r="AO21" s="131">
        <f t="shared" si="18"/>
        <v>0</v>
      </c>
      <c r="AP21" s="131">
        <f t="shared" si="19"/>
        <v>0</v>
      </c>
      <c r="AQ21" s="131">
        <f t="shared" si="20"/>
        <v>0</v>
      </c>
      <c r="AR21" s="124"/>
      <c r="AS21" s="6">
        <f t="shared" si="1"/>
        <v>0</v>
      </c>
      <c r="AT21" s="6">
        <f t="shared" si="2"/>
        <v>96</v>
      </c>
      <c r="AU21" s="6">
        <f t="shared" si="3"/>
        <v>0</v>
      </c>
      <c r="AV21" s="6">
        <f t="shared" si="4"/>
        <v>24.312000000000001</v>
      </c>
      <c r="AW21" s="6">
        <f t="shared" si="5"/>
        <v>0</v>
      </c>
      <c r="AX21" s="6">
        <f t="shared" si="6"/>
        <v>56.171999999999997</v>
      </c>
      <c r="AY21" s="6">
        <f t="shared" si="7"/>
        <v>0</v>
      </c>
      <c r="AZ21" s="6">
        <f t="shared" si="8"/>
        <v>40.08</v>
      </c>
      <c r="BA21" s="6">
        <f t="shared" si="9"/>
        <v>0</v>
      </c>
      <c r="BB21" s="6">
        <f t="shared" si="21"/>
        <v>0</v>
      </c>
      <c r="BC21" s="6">
        <f t="shared" si="10"/>
        <v>0</v>
      </c>
      <c r="BD21" s="124">
        <f t="shared" si="22"/>
        <v>216.56399999999996</v>
      </c>
    </row>
    <row r="22" spans="1:75">
      <c r="A22" s="20" t="s">
        <v>282</v>
      </c>
      <c r="B22" s="121">
        <v>248.09</v>
      </c>
      <c r="C22" s="122">
        <v>67.95</v>
      </c>
      <c r="D22" s="121">
        <v>3657</v>
      </c>
      <c r="E22" s="121">
        <v>0</v>
      </c>
      <c r="F22" s="132">
        <v>5.7000000000000003E-5</v>
      </c>
      <c r="G22" s="121" t="s">
        <v>184</v>
      </c>
      <c r="H22" s="127">
        <v>120500000000</v>
      </c>
      <c r="I22" s="123" t="s">
        <v>423</v>
      </c>
      <c r="J22" s="123">
        <f>J21</f>
        <v>4.5</v>
      </c>
      <c r="K22" s="123" t="s">
        <v>453</v>
      </c>
      <c r="L22" s="127">
        <v>61800000000</v>
      </c>
      <c r="M22" s="123" t="s">
        <v>423</v>
      </c>
      <c r="N22" s="123">
        <f>T22</f>
        <v>6</v>
      </c>
      <c r="O22" s="121" t="s">
        <v>209</v>
      </c>
      <c r="P22" s="123">
        <f>P18</f>
        <v>1.9</v>
      </c>
      <c r="Q22" s="123" t="s">
        <v>454</v>
      </c>
      <c r="R22" s="123">
        <v>1.5</v>
      </c>
      <c r="S22" s="123" t="s">
        <v>432</v>
      </c>
      <c r="T22" s="123">
        <f>R22+J22</f>
        <v>6</v>
      </c>
      <c r="U22" s="121" t="s">
        <v>211</v>
      </c>
      <c r="V22" s="6"/>
      <c r="W22" s="6">
        <v>6</v>
      </c>
      <c r="X22" s="6"/>
      <c r="Y22" s="6"/>
      <c r="Z22" s="6"/>
      <c r="AA22" s="6">
        <v>2</v>
      </c>
      <c r="AB22" s="6"/>
      <c r="AC22" s="6">
        <v>1</v>
      </c>
      <c r="AD22" s="6">
        <v>1</v>
      </c>
      <c r="AE22" s="6"/>
      <c r="AF22" s="6"/>
      <c r="AG22" s="124"/>
      <c r="AH22" s="131">
        <f t="shared" si="11"/>
        <v>0</v>
      </c>
      <c r="AI22" s="131">
        <f t="shared" si="12"/>
        <v>0</v>
      </c>
      <c r="AJ22" s="131">
        <f t="shared" si="13"/>
        <v>0</v>
      </c>
      <c r="AK22" s="131">
        <f t="shared" si="14"/>
        <v>0</v>
      </c>
      <c r="AL22" s="131">
        <f t="shared" si="15"/>
        <v>48.440340348006238</v>
      </c>
      <c r="AM22" s="131">
        <f t="shared" si="16"/>
        <v>0</v>
      </c>
      <c r="AN22" s="131">
        <f t="shared" si="17"/>
        <v>22.603879902780744</v>
      </c>
      <c r="AO22" s="131">
        <f t="shared" si="18"/>
        <v>28.960213463173968</v>
      </c>
      <c r="AP22" s="131">
        <f t="shared" si="19"/>
        <v>0</v>
      </c>
      <c r="AQ22" s="131">
        <f t="shared" si="20"/>
        <v>0</v>
      </c>
      <c r="AR22" s="124"/>
      <c r="AS22" s="6">
        <f t="shared" si="1"/>
        <v>0</v>
      </c>
      <c r="AT22" s="6">
        <f t="shared" si="2"/>
        <v>96</v>
      </c>
      <c r="AU22" s="6">
        <f t="shared" si="3"/>
        <v>0</v>
      </c>
      <c r="AV22" s="6">
        <f t="shared" si="4"/>
        <v>0</v>
      </c>
      <c r="AW22" s="6">
        <f t="shared" si="5"/>
        <v>0</v>
      </c>
      <c r="AX22" s="6">
        <f t="shared" si="6"/>
        <v>56.171999999999997</v>
      </c>
      <c r="AY22" s="6">
        <f t="shared" si="7"/>
        <v>0</v>
      </c>
      <c r="AZ22" s="6">
        <f t="shared" si="8"/>
        <v>40.08</v>
      </c>
      <c r="BA22" s="6">
        <f t="shared" si="9"/>
        <v>55.847000000000001</v>
      </c>
      <c r="BB22" s="6">
        <f t="shared" si="21"/>
        <v>0</v>
      </c>
      <c r="BC22" s="6">
        <f t="shared" si="10"/>
        <v>0</v>
      </c>
      <c r="BD22" s="124">
        <f t="shared" si="22"/>
        <v>248.09900000000002</v>
      </c>
    </row>
    <row r="23" spans="1:75">
      <c r="A23" s="20" t="s">
        <v>147</v>
      </c>
      <c r="B23" s="121">
        <v>202.11</v>
      </c>
      <c r="C23" s="122">
        <v>60.4</v>
      </c>
      <c r="D23" s="121">
        <v>3346</v>
      </c>
      <c r="E23" s="121">
        <v>0</v>
      </c>
      <c r="F23" s="132">
        <v>4.6600000000000001E-5</v>
      </c>
      <c r="G23" s="121" t="s">
        <v>184</v>
      </c>
      <c r="H23" s="127">
        <v>142800000000</v>
      </c>
      <c r="I23" s="123" t="s">
        <v>438</v>
      </c>
      <c r="J23" s="123">
        <v>1.6</v>
      </c>
      <c r="K23" s="123" t="s">
        <v>438</v>
      </c>
      <c r="L23" s="127">
        <v>85000000000</v>
      </c>
      <c r="M23" s="123" t="s">
        <v>424</v>
      </c>
      <c r="N23" s="123">
        <f t="shared" si="24"/>
        <v>2.6500000000000004</v>
      </c>
      <c r="O23" s="121" t="s">
        <v>209</v>
      </c>
      <c r="P23" s="123">
        <f>P18</f>
        <v>1.9</v>
      </c>
      <c r="Q23" s="123" t="s">
        <v>454</v>
      </c>
      <c r="R23" s="123">
        <v>1.05</v>
      </c>
      <c r="S23" s="121" t="s">
        <v>4</v>
      </c>
      <c r="T23" s="123">
        <f t="shared" si="25"/>
        <v>2.6500000000000004</v>
      </c>
      <c r="U23" s="121" t="s">
        <v>211</v>
      </c>
      <c r="V23" s="6"/>
      <c r="W23" s="6">
        <v>6</v>
      </c>
      <c r="X23" s="6">
        <v>1</v>
      </c>
      <c r="Y23" s="6"/>
      <c r="Z23" s="6">
        <v>1</v>
      </c>
      <c r="AA23" s="6">
        <v>2</v>
      </c>
      <c r="AB23" s="6"/>
      <c r="AC23" s="6"/>
      <c r="AD23" s="6"/>
      <c r="AE23" s="6"/>
      <c r="AF23" s="6"/>
      <c r="AG23" s="124"/>
      <c r="AH23" s="131">
        <f t="shared" si="11"/>
        <v>0</v>
      </c>
      <c r="AI23" s="131">
        <f t="shared" si="12"/>
        <v>15.330655374386577</v>
      </c>
      <c r="AJ23" s="131">
        <f t="shared" si="13"/>
        <v>0</v>
      </c>
      <c r="AK23" s="131">
        <f t="shared" si="14"/>
        <v>25.220634794997629</v>
      </c>
      <c r="AL23" s="131">
        <f t="shared" si="15"/>
        <v>59.452667405413969</v>
      </c>
      <c r="AM23" s="131">
        <f t="shared" si="16"/>
        <v>0</v>
      </c>
      <c r="AN23" s="131">
        <f t="shared" si="17"/>
        <v>0</v>
      </c>
      <c r="AO23" s="131">
        <f t="shared" si="18"/>
        <v>0</v>
      </c>
      <c r="AP23" s="131">
        <f t="shared" si="19"/>
        <v>0</v>
      </c>
      <c r="AQ23" s="131">
        <f t="shared" si="20"/>
        <v>0</v>
      </c>
      <c r="AR23" s="124"/>
      <c r="AS23" s="6">
        <f t="shared" si="1"/>
        <v>0</v>
      </c>
      <c r="AT23" s="6">
        <f t="shared" si="2"/>
        <v>96</v>
      </c>
      <c r="AU23" s="6">
        <f t="shared" si="3"/>
        <v>22.99</v>
      </c>
      <c r="AV23" s="6">
        <f t="shared" si="4"/>
        <v>0</v>
      </c>
      <c r="AW23" s="6">
        <f t="shared" si="5"/>
        <v>26.981999999999999</v>
      </c>
      <c r="AX23" s="6">
        <f t="shared" si="6"/>
        <v>56.171999999999997</v>
      </c>
      <c r="AY23" s="6">
        <f t="shared" si="7"/>
        <v>0</v>
      </c>
      <c r="AZ23" s="6">
        <f t="shared" si="8"/>
        <v>0</v>
      </c>
      <c r="BA23" s="6">
        <f t="shared" si="9"/>
        <v>0</v>
      </c>
      <c r="BB23" s="6">
        <f t="shared" si="21"/>
        <v>0</v>
      </c>
      <c r="BC23" s="6">
        <f t="shared" si="10"/>
        <v>0</v>
      </c>
      <c r="BD23" s="124">
        <f t="shared" si="22"/>
        <v>202.14399999999998</v>
      </c>
    </row>
    <row r="24" spans="1:75">
      <c r="A24" s="103" t="s">
        <v>425</v>
      </c>
      <c r="B24" s="123">
        <v>231</v>
      </c>
      <c r="C24" s="123">
        <v>64.599999999999994</v>
      </c>
      <c r="D24" s="123">
        <v>3575.8513931888547</v>
      </c>
      <c r="E24" s="123">
        <v>0</v>
      </c>
      <c r="F24" s="133">
        <v>4.6600000000000001E-5</v>
      </c>
      <c r="G24" s="123" t="s">
        <v>184</v>
      </c>
      <c r="H24" s="127">
        <v>117000000000</v>
      </c>
      <c r="I24" s="123" t="s">
        <v>446</v>
      </c>
      <c r="J24" s="123">
        <v>3.2</v>
      </c>
      <c r="K24" s="123" t="s">
        <v>446</v>
      </c>
      <c r="L24" s="127">
        <v>58000000000</v>
      </c>
      <c r="M24" s="123" t="s">
        <v>424</v>
      </c>
      <c r="N24" s="123">
        <f>T24</f>
        <v>4.08</v>
      </c>
      <c r="O24" s="123" t="s">
        <v>209</v>
      </c>
      <c r="P24" s="123">
        <f>P19</f>
        <v>1.9</v>
      </c>
      <c r="Q24" s="123" t="s">
        <v>454</v>
      </c>
      <c r="R24" s="123">
        <v>0.88</v>
      </c>
      <c r="S24" s="123" t="s">
        <v>4</v>
      </c>
      <c r="T24" s="123">
        <f>R24+J24</f>
        <v>4.08</v>
      </c>
      <c r="U24" s="123" t="s">
        <v>211</v>
      </c>
      <c r="V24" s="6"/>
      <c r="W24" s="6">
        <v>6</v>
      </c>
      <c r="X24" s="6">
        <v>1</v>
      </c>
      <c r="Y24" s="6"/>
      <c r="Z24" s="6"/>
      <c r="AA24" s="6">
        <v>2</v>
      </c>
      <c r="AB24" s="6"/>
      <c r="AC24" s="6"/>
      <c r="AD24" s="6">
        <v>1</v>
      </c>
      <c r="AE24" s="6"/>
      <c r="AF24" s="6"/>
      <c r="AG24" s="124"/>
      <c r="AH24" s="131">
        <f>100*V24*oxideH/$BD24</f>
        <v>0</v>
      </c>
      <c r="AI24" s="131">
        <f>100*X24*oxideNa/$BD24</f>
        <v>13.415061750840877</v>
      </c>
      <c r="AJ24" s="131">
        <f>100*Y24*oxideMg/$BD24</f>
        <v>0</v>
      </c>
      <c r="AK24" s="131">
        <f>100*Z24*oxideAl/$BD24</f>
        <v>0</v>
      </c>
      <c r="AL24" s="131">
        <f>100*AA24*oxideSi/$BD24</f>
        <v>52.023947118943418</v>
      </c>
      <c r="AM24" s="131">
        <f>100*AB24*oxideK/$BD24</f>
        <v>0</v>
      </c>
      <c r="AN24" s="131">
        <f>100*AC24*oxideCa/$BD24</f>
        <v>0</v>
      </c>
      <c r="AO24" s="131">
        <f>100*AD24*oxideFe/$BD24</f>
        <v>31.102684311000868</v>
      </c>
      <c r="AP24" s="131">
        <f t="shared" si="19"/>
        <v>0</v>
      </c>
      <c r="AQ24" s="131">
        <f>100*AF24*oxideC/$BD24</f>
        <v>0</v>
      </c>
      <c r="AR24" s="124"/>
      <c r="AS24" s="6">
        <f>V24*atwtH</f>
        <v>0</v>
      </c>
      <c r="AT24" s="6">
        <f>W24*atwtO</f>
        <v>96</v>
      </c>
      <c r="AU24" s="6">
        <f>X24*atwtNa</f>
        <v>22.99</v>
      </c>
      <c r="AV24" s="6">
        <f>Y24*atwtMg</f>
        <v>0</v>
      </c>
      <c r="AW24" s="6">
        <f>Z24*atwtAl</f>
        <v>0</v>
      </c>
      <c r="AX24" s="6">
        <f>AA24*atwtSi</f>
        <v>56.171999999999997</v>
      </c>
      <c r="AY24" s="6">
        <f>AB24*atwtK</f>
        <v>0</v>
      </c>
      <c r="AZ24" s="6">
        <f>AC24*atwtCa</f>
        <v>0</v>
      </c>
      <c r="BA24" s="6">
        <f t="shared" si="9"/>
        <v>55.847000000000001</v>
      </c>
      <c r="BB24" s="6">
        <f t="shared" si="21"/>
        <v>0</v>
      </c>
      <c r="BC24" s="6">
        <f>AF24*atwtC</f>
        <v>0</v>
      </c>
      <c r="BD24" s="124">
        <f>SUM(AS24:BC24)</f>
        <v>231.00899999999999</v>
      </c>
    </row>
    <row r="25" spans="1:75">
      <c r="A25" s="103" t="s">
        <v>463</v>
      </c>
      <c r="B25" s="123">
        <v>218.1</v>
      </c>
      <c r="C25" s="123">
        <v>63.56</v>
      </c>
      <c r="D25" s="123">
        <v>3431.4033983637505</v>
      </c>
      <c r="E25" s="123">
        <v>0</v>
      </c>
      <c r="F25" s="133">
        <v>4.4299999999999999E-5</v>
      </c>
      <c r="G25" s="123" t="s">
        <v>184</v>
      </c>
      <c r="H25" s="127">
        <f>(116000000000-0.75*H21-0.09*H22-0.03*H23)/0.12</f>
        <v>112466666666.66667</v>
      </c>
      <c r="I25" s="123" t="s">
        <v>451</v>
      </c>
      <c r="J25" s="123">
        <v>4.8</v>
      </c>
      <c r="K25" s="123" t="s">
        <v>453</v>
      </c>
      <c r="L25" s="127">
        <f>(72200000000-0.75*L21-0.09*L22-0.03*L23)/0.12</f>
        <v>79066666666.666672</v>
      </c>
      <c r="M25" s="123" t="s">
        <v>451</v>
      </c>
      <c r="N25" s="123">
        <f>T25</f>
        <v>5.9</v>
      </c>
      <c r="O25" s="123" t="s">
        <v>209</v>
      </c>
      <c r="P25" s="123">
        <f>P20</f>
        <v>1.9</v>
      </c>
      <c r="Q25" s="123" t="s">
        <v>454</v>
      </c>
      <c r="R25" s="123">
        <f>R21</f>
        <v>1.1000000000000001</v>
      </c>
      <c r="S25" s="123" t="s">
        <v>453</v>
      </c>
      <c r="T25" s="123">
        <f>R25+J25</f>
        <v>5.9</v>
      </c>
      <c r="U25" s="123" t="s">
        <v>211</v>
      </c>
      <c r="V25" s="129"/>
      <c r="W25" s="6">
        <v>6</v>
      </c>
      <c r="X25" s="129"/>
      <c r="Y25" s="129"/>
      <c r="Z25" s="129">
        <v>2</v>
      </c>
      <c r="AA25" s="6">
        <v>1</v>
      </c>
      <c r="AB25" s="129"/>
      <c r="AC25" s="129">
        <v>1</v>
      </c>
      <c r="AD25" s="129"/>
      <c r="AE25" s="129"/>
      <c r="AF25" s="129"/>
      <c r="AG25" s="125"/>
      <c r="AH25" s="131">
        <f>100*V25*oxideH/$BD25</f>
        <v>0</v>
      </c>
      <c r="AI25" s="131">
        <f>100*X25*oxideNa/$BD25</f>
        <v>0</v>
      </c>
      <c r="AJ25" s="131">
        <f>100*Y25*oxideMg/$BD25</f>
        <v>0</v>
      </c>
      <c r="AK25" s="131">
        <f>100*Z25*oxideAl/$BD25</f>
        <v>46.744601842937698</v>
      </c>
      <c r="AL25" s="131">
        <f>100*AA25*oxideSi/$BD25</f>
        <v>27.547792600742678</v>
      </c>
      <c r="AM25" s="131">
        <f>100*AB25*oxideK/$BD25</f>
        <v>0</v>
      </c>
      <c r="AN25" s="131">
        <f>100*AC25*oxideCa/$BD25</f>
        <v>25.709439325173062</v>
      </c>
      <c r="AO25" s="131">
        <f>100*AD25*oxideFe/$BD25</f>
        <v>0</v>
      </c>
      <c r="AP25" s="131">
        <f t="shared" si="19"/>
        <v>0</v>
      </c>
      <c r="AQ25" s="131">
        <f>100*AF25*oxideC/$BD25</f>
        <v>0</v>
      </c>
      <c r="AR25" s="124"/>
      <c r="AS25" s="6">
        <f>V25*atwtH</f>
        <v>0</v>
      </c>
      <c r="AT25" s="6">
        <f>W25*atwtO</f>
        <v>96</v>
      </c>
      <c r="AU25" s="6">
        <f>X25*atwtNa</f>
        <v>0</v>
      </c>
      <c r="AV25" s="6">
        <f>Y25*atwtMg</f>
        <v>0</v>
      </c>
      <c r="AW25" s="6">
        <f>Z25*atwtAl</f>
        <v>53.963999999999999</v>
      </c>
      <c r="AX25" s="6">
        <f>AA25*atwtSi</f>
        <v>28.085999999999999</v>
      </c>
      <c r="AY25" s="6">
        <f>AB25*atwtK</f>
        <v>0</v>
      </c>
      <c r="AZ25" s="6">
        <f>AC25*atwtCa</f>
        <v>40.08</v>
      </c>
      <c r="BA25" s="6">
        <f t="shared" si="9"/>
        <v>0</v>
      </c>
      <c r="BB25" s="6">
        <f t="shared" si="21"/>
        <v>0</v>
      </c>
      <c r="BC25" s="6">
        <f>AF25*atwtC</f>
        <v>0</v>
      </c>
      <c r="BD25" s="124">
        <f>SUM(AS25:BC25)</f>
        <v>218.13</v>
      </c>
      <c r="BE25" s="61"/>
      <c r="BF25" s="61"/>
      <c r="BG25" s="61"/>
      <c r="BH25" s="61"/>
      <c r="BI25" s="61"/>
      <c r="BP25" s="100"/>
      <c r="BQ25" s="100"/>
      <c r="BR25" s="100"/>
      <c r="BS25" s="100"/>
      <c r="BT25" s="100"/>
      <c r="BU25" s="100"/>
      <c r="BV25" s="100"/>
      <c r="BW25" s="100"/>
    </row>
    <row r="26" spans="1:75">
      <c r="A26" s="20" t="s">
        <v>157</v>
      </c>
      <c r="B26" s="121">
        <v>783.6</v>
      </c>
      <c r="C26" s="122">
        <v>260.5</v>
      </c>
      <c r="D26" s="121">
        <v>3008</v>
      </c>
      <c r="E26" s="121">
        <v>2.2999999999999998</v>
      </c>
      <c r="F26" s="132">
        <v>5.3000000000000001E-5</v>
      </c>
      <c r="G26" s="121" t="s">
        <v>184</v>
      </c>
      <c r="H26" s="127">
        <v>94900000000</v>
      </c>
      <c r="I26" s="123" t="s">
        <v>550</v>
      </c>
      <c r="J26" s="121">
        <v>4</v>
      </c>
      <c r="K26" s="121" t="s">
        <v>190</v>
      </c>
      <c r="L26" s="127">
        <v>63700000000</v>
      </c>
      <c r="M26" s="123" t="s">
        <v>550</v>
      </c>
      <c r="N26" s="123">
        <f t="shared" si="24"/>
        <v>4.8600000000000003</v>
      </c>
      <c r="O26" s="121" t="s">
        <v>209</v>
      </c>
      <c r="P26" s="121">
        <f t="shared" ref="P26:P37" si="26">(5*L26)/(3*H26)</f>
        <v>1.1187214611872147</v>
      </c>
      <c r="Q26" s="121" t="s">
        <v>13</v>
      </c>
      <c r="R26" s="123">
        <v>0.86</v>
      </c>
      <c r="S26" s="121" t="s">
        <v>4</v>
      </c>
      <c r="T26" s="123">
        <f t="shared" si="25"/>
        <v>4.8600000000000003</v>
      </c>
      <c r="U26" s="121" t="s">
        <v>211</v>
      </c>
      <c r="V26" s="6">
        <v>2</v>
      </c>
      <c r="W26" s="6">
        <v>24</v>
      </c>
      <c r="X26" s="6">
        <v>2</v>
      </c>
      <c r="Y26" s="6">
        <v>3</v>
      </c>
      <c r="Z26" s="6">
        <v>2</v>
      </c>
      <c r="AA26" s="6">
        <v>8</v>
      </c>
      <c r="AB26" s="6"/>
      <c r="AC26" s="6"/>
      <c r="AD26" s="6"/>
      <c r="AE26" s="6"/>
      <c r="AF26" s="6"/>
      <c r="AG26" s="124"/>
      <c r="AH26" s="131">
        <f t="shared" si="11"/>
        <v>2.2991791562870096</v>
      </c>
      <c r="AI26" s="131">
        <f t="shared" si="12"/>
        <v>7.9098092865602165</v>
      </c>
      <c r="AJ26" s="131">
        <f t="shared" si="13"/>
        <v>15.43369951402785</v>
      </c>
      <c r="AK26" s="131">
        <f t="shared" si="14"/>
        <v>13.012516845673215</v>
      </c>
      <c r="AL26" s="131">
        <f t="shared" si="15"/>
        <v>61.348878997018829</v>
      </c>
      <c r="AM26" s="131">
        <f t="shared" si="16"/>
        <v>0</v>
      </c>
      <c r="AN26" s="131">
        <f t="shared" si="17"/>
        <v>0</v>
      </c>
      <c r="AO26" s="131">
        <f t="shared" si="18"/>
        <v>0</v>
      </c>
      <c r="AP26" s="131">
        <f t="shared" si="19"/>
        <v>0</v>
      </c>
      <c r="AQ26" s="131">
        <f t="shared" si="20"/>
        <v>0</v>
      </c>
      <c r="AR26" s="124"/>
      <c r="AS26" s="6">
        <f t="shared" si="1"/>
        <v>2.016</v>
      </c>
      <c r="AT26" s="6">
        <f t="shared" si="2"/>
        <v>384</v>
      </c>
      <c r="AU26" s="6">
        <f t="shared" si="3"/>
        <v>45.98</v>
      </c>
      <c r="AV26" s="6">
        <f t="shared" si="4"/>
        <v>72.936000000000007</v>
      </c>
      <c r="AW26" s="6">
        <f t="shared" si="5"/>
        <v>53.963999999999999</v>
      </c>
      <c r="AX26" s="6">
        <f t="shared" si="6"/>
        <v>224.68799999999999</v>
      </c>
      <c r="AY26" s="6">
        <f t="shared" si="7"/>
        <v>0</v>
      </c>
      <c r="AZ26" s="6">
        <f t="shared" si="8"/>
        <v>0</v>
      </c>
      <c r="BA26" s="6">
        <f t="shared" si="9"/>
        <v>0</v>
      </c>
      <c r="BB26" s="6">
        <f t="shared" si="21"/>
        <v>0</v>
      </c>
      <c r="BC26" s="6">
        <f t="shared" si="10"/>
        <v>0</v>
      </c>
      <c r="BD26" s="124">
        <f t="shared" si="22"/>
        <v>783.58399999999995</v>
      </c>
      <c r="BO26" s="101"/>
    </row>
    <row r="27" spans="1:75">
      <c r="A27" s="20" t="s">
        <v>153</v>
      </c>
      <c r="B27" s="121">
        <v>878.13</v>
      </c>
      <c r="C27" s="122">
        <v>265.89999999999998</v>
      </c>
      <c r="D27" s="121">
        <v>3302</v>
      </c>
      <c r="E27" s="121">
        <v>2.1</v>
      </c>
      <c r="F27" s="132">
        <v>5.3000000000000001E-5</v>
      </c>
      <c r="G27" s="121" t="s">
        <v>184</v>
      </c>
      <c r="H27" s="128">
        <v>89000000000</v>
      </c>
      <c r="I27" s="121" t="s">
        <v>191</v>
      </c>
      <c r="J27" s="121">
        <v>4</v>
      </c>
      <c r="K27" s="121" t="s">
        <v>108</v>
      </c>
      <c r="L27" s="128">
        <f>L32*H27/H32</f>
        <v>52877477242.838448</v>
      </c>
      <c r="M27" s="121" t="s">
        <v>192</v>
      </c>
      <c r="N27" s="123">
        <f t="shared" si="24"/>
        <v>4.87</v>
      </c>
      <c r="O27" s="121" t="s">
        <v>209</v>
      </c>
      <c r="P27" s="121">
        <f t="shared" si="26"/>
        <v>0.99021492964116942</v>
      </c>
      <c r="Q27" s="121" t="s">
        <v>13</v>
      </c>
      <c r="R27" s="123">
        <v>0.87</v>
      </c>
      <c r="S27" s="121" t="s">
        <v>4</v>
      </c>
      <c r="T27" s="123">
        <f t="shared" si="25"/>
        <v>4.87</v>
      </c>
      <c r="U27" s="121" t="s">
        <v>211</v>
      </c>
      <c r="V27" s="6">
        <v>2</v>
      </c>
      <c r="W27" s="6">
        <v>24</v>
      </c>
      <c r="X27" s="6">
        <v>2</v>
      </c>
      <c r="Y27" s="6"/>
      <c r="Z27" s="6">
        <v>2</v>
      </c>
      <c r="AA27" s="6">
        <v>8</v>
      </c>
      <c r="AB27" s="6"/>
      <c r="AC27" s="6"/>
      <c r="AD27" s="6">
        <v>3</v>
      </c>
      <c r="AE27" s="6"/>
      <c r="AF27" s="6"/>
      <c r="AG27" s="124"/>
      <c r="AH27" s="131">
        <f t="shared" si="11"/>
        <v>2.0514946099302085</v>
      </c>
      <c r="AI27" s="131">
        <f t="shared" si="12"/>
        <v>7.0577062568535922</v>
      </c>
      <c r="AJ27" s="131">
        <f t="shared" si="13"/>
        <v>0</v>
      </c>
      <c r="AK27" s="131">
        <f t="shared" si="14"/>
        <v>11.610712500384313</v>
      </c>
      <c r="AL27" s="131">
        <f t="shared" si="15"/>
        <v>54.739925004754099</v>
      </c>
      <c r="AM27" s="131">
        <f t="shared" si="16"/>
        <v>0</v>
      </c>
      <c r="AN27" s="131">
        <f t="shared" si="17"/>
        <v>0</v>
      </c>
      <c r="AO27" s="131">
        <f t="shared" si="18"/>
        <v>24.544830326956951</v>
      </c>
      <c r="AP27" s="131">
        <f t="shared" si="19"/>
        <v>0</v>
      </c>
      <c r="AQ27" s="131">
        <f t="shared" si="20"/>
        <v>0</v>
      </c>
      <c r="AR27" s="124"/>
      <c r="AS27" s="6">
        <f t="shared" si="1"/>
        <v>2.016</v>
      </c>
      <c r="AT27" s="6">
        <f t="shared" si="2"/>
        <v>384</v>
      </c>
      <c r="AU27" s="6">
        <f t="shared" si="3"/>
        <v>45.98</v>
      </c>
      <c r="AV27" s="6">
        <f t="shared" si="4"/>
        <v>0</v>
      </c>
      <c r="AW27" s="6">
        <f t="shared" si="5"/>
        <v>53.963999999999999</v>
      </c>
      <c r="AX27" s="6">
        <f t="shared" si="6"/>
        <v>224.68799999999999</v>
      </c>
      <c r="AY27" s="6">
        <f t="shared" si="7"/>
        <v>0</v>
      </c>
      <c r="AZ27" s="6">
        <f t="shared" si="8"/>
        <v>0</v>
      </c>
      <c r="BA27" s="6">
        <f t="shared" si="9"/>
        <v>167.541</v>
      </c>
      <c r="BB27" s="6">
        <f t="shared" si="21"/>
        <v>0</v>
      </c>
      <c r="BC27" s="6">
        <f t="shared" si="10"/>
        <v>0</v>
      </c>
      <c r="BD27" s="124">
        <f t="shared" si="22"/>
        <v>878.18900000000008</v>
      </c>
      <c r="BO27" s="101"/>
    </row>
    <row r="28" spans="1:75">
      <c r="A28" s="20" t="s">
        <v>242</v>
      </c>
      <c r="B28" s="121">
        <v>812.37</v>
      </c>
      <c r="C28" s="122">
        <v>272.7</v>
      </c>
      <c r="D28" s="121">
        <v>2979</v>
      </c>
      <c r="E28" s="121">
        <v>2.2000000000000002</v>
      </c>
      <c r="F28" s="132">
        <v>5.3399999999999997E-5</v>
      </c>
      <c r="G28" s="121" t="s">
        <v>184</v>
      </c>
      <c r="H28" s="128">
        <v>85000000000</v>
      </c>
      <c r="I28" s="121" t="s">
        <v>190</v>
      </c>
      <c r="J28" s="121">
        <v>4</v>
      </c>
      <c r="K28" s="121" t="s">
        <v>190</v>
      </c>
      <c r="L28" s="128">
        <f>L32*H28/H32</f>
        <v>50500961411.699646</v>
      </c>
      <c r="M28" s="121" t="s">
        <v>192</v>
      </c>
      <c r="N28" s="123">
        <f t="shared" si="24"/>
        <v>4.79</v>
      </c>
      <c r="O28" s="121" t="s">
        <v>209</v>
      </c>
      <c r="P28" s="121">
        <f t="shared" si="26"/>
        <v>0.99021492964116953</v>
      </c>
      <c r="Q28" s="121" t="s">
        <v>13</v>
      </c>
      <c r="R28" s="123">
        <v>0.79</v>
      </c>
      <c r="S28" s="121" t="s">
        <v>4</v>
      </c>
      <c r="T28" s="123">
        <f t="shared" si="25"/>
        <v>4.79</v>
      </c>
      <c r="U28" s="121" t="s">
        <v>211</v>
      </c>
      <c r="V28" s="6">
        <v>2</v>
      </c>
      <c r="W28" s="6">
        <v>24</v>
      </c>
      <c r="X28" s="6"/>
      <c r="Y28" s="6">
        <v>5</v>
      </c>
      <c r="Z28" s="6"/>
      <c r="AA28" s="6">
        <v>8</v>
      </c>
      <c r="AB28" s="6"/>
      <c r="AC28" s="6">
        <v>2</v>
      </c>
      <c r="AD28" s="6"/>
      <c r="AE28" s="6"/>
      <c r="AF28" s="6"/>
      <c r="AG28" s="124"/>
      <c r="AH28" s="131">
        <f t="shared" si="11"/>
        <v>2.2175612734237293</v>
      </c>
      <c r="AI28" s="131">
        <f t="shared" si="12"/>
        <v>0</v>
      </c>
      <c r="AJ28" s="131">
        <f t="shared" si="13"/>
        <v>24.809705277047453</v>
      </c>
      <c r="AK28" s="131">
        <f t="shared" si="14"/>
        <v>0</v>
      </c>
      <c r="AL28" s="131">
        <f t="shared" si="15"/>
        <v>59.17107323269623</v>
      </c>
      <c r="AM28" s="131">
        <f t="shared" si="16"/>
        <v>0</v>
      </c>
      <c r="AN28" s="131">
        <f t="shared" si="17"/>
        <v>13.805599046803147</v>
      </c>
      <c r="AO28" s="131">
        <f t="shared" si="18"/>
        <v>0</v>
      </c>
      <c r="AP28" s="131">
        <f t="shared" si="19"/>
        <v>0</v>
      </c>
      <c r="AQ28" s="131">
        <f t="shared" si="20"/>
        <v>0</v>
      </c>
      <c r="AR28" s="124"/>
      <c r="AS28" s="6">
        <f t="shared" si="1"/>
        <v>2.016</v>
      </c>
      <c r="AT28" s="6">
        <f t="shared" si="2"/>
        <v>384</v>
      </c>
      <c r="AU28" s="6">
        <f t="shared" si="3"/>
        <v>0</v>
      </c>
      <c r="AV28" s="6">
        <f t="shared" si="4"/>
        <v>121.56</v>
      </c>
      <c r="AW28" s="6">
        <f t="shared" si="5"/>
        <v>0</v>
      </c>
      <c r="AX28" s="6">
        <f t="shared" si="6"/>
        <v>224.68799999999999</v>
      </c>
      <c r="AY28" s="6">
        <f t="shared" si="7"/>
        <v>0</v>
      </c>
      <c r="AZ28" s="6">
        <f t="shared" si="8"/>
        <v>80.16</v>
      </c>
      <c r="BA28" s="6">
        <f t="shared" si="9"/>
        <v>0</v>
      </c>
      <c r="BB28" s="6">
        <f t="shared" si="21"/>
        <v>0</v>
      </c>
      <c r="BC28" s="6">
        <f t="shared" si="10"/>
        <v>0</v>
      </c>
      <c r="BD28" s="124">
        <f t="shared" si="22"/>
        <v>812.42399999999998</v>
      </c>
      <c r="BO28" s="101"/>
    </row>
    <row r="29" spans="1:75">
      <c r="A29" s="20" t="s">
        <v>154</v>
      </c>
      <c r="B29" s="121">
        <v>970.07</v>
      </c>
      <c r="C29" s="122">
        <v>282.8</v>
      </c>
      <c r="D29" s="121">
        <v>3430</v>
      </c>
      <c r="E29" s="121">
        <v>1.9</v>
      </c>
      <c r="F29" s="132">
        <v>5.3399999999999997E-5</v>
      </c>
      <c r="G29" s="121" t="s">
        <v>184</v>
      </c>
      <c r="H29" s="128">
        <v>76000000000</v>
      </c>
      <c r="I29" s="121" t="s">
        <v>191</v>
      </c>
      <c r="J29" s="121">
        <v>4</v>
      </c>
      <c r="K29" s="121" t="s">
        <v>108</v>
      </c>
      <c r="L29" s="128">
        <f>L32*H29/H32</f>
        <v>45153800791.637329</v>
      </c>
      <c r="M29" s="121" t="s">
        <v>192</v>
      </c>
      <c r="N29" s="123">
        <f t="shared" si="24"/>
        <v>4.78</v>
      </c>
      <c r="O29" s="121" t="s">
        <v>209</v>
      </c>
      <c r="P29" s="121">
        <f t="shared" si="26"/>
        <v>0.99021492964116953</v>
      </c>
      <c r="Q29" s="121" t="s">
        <v>13</v>
      </c>
      <c r="R29" s="123">
        <v>0.78</v>
      </c>
      <c r="S29" s="121" t="s">
        <v>4</v>
      </c>
      <c r="T29" s="123">
        <f t="shared" si="25"/>
        <v>4.78</v>
      </c>
      <c r="U29" s="121" t="s">
        <v>211</v>
      </c>
      <c r="V29" s="6">
        <v>2</v>
      </c>
      <c r="W29" s="6">
        <v>24</v>
      </c>
      <c r="X29" s="6"/>
      <c r="Y29" s="6"/>
      <c r="Z29" s="6"/>
      <c r="AA29" s="6">
        <v>8</v>
      </c>
      <c r="AB29" s="6"/>
      <c r="AC29" s="6">
        <v>2</v>
      </c>
      <c r="AD29" s="6">
        <v>5</v>
      </c>
      <c r="AE29" s="6"/>
      <c r="AF29" s="6"/>
      <c r="AG29" s="124"/>
      <c r="AH29" s="131">
        <f t="shared" si="11"/>
        <v>1.8571300454902027</v>
      </c>
      <c r="AI29" s="131">
        <f t="shared" si="12"/>
        <v>0</v>
      </c>
      <c r="AJ29" s="131">
        <f t="shared" si="13"/>
        <v>0</v>
      </c>
      <c r="AK29" s="131">
        <f t="shared" si="14"/>
        <v>0</v>
      </c>
      <c r="AL29" s="131">
        <f t="shared" si="15"/>
        <v>49.553705343475258</v>
      </c>
      <c r="AM29" s="131">
        <f t="shared" si="16"/>
        <v>0</v>
      </c>
      <c r="AN29" s="131">
        <f t="shared" si="17"/>
        <v>11.561706588708988</v>
      </c>
      <c r="AO29" s="131">
        <f t="shared" si="18"/>
        <v>37.032302888674252</v>
      </c>
      <c r="AP29" s="131">
        <f t="shared" si="19"/>
        <v>0</v>
      </c>
      <c r="AQ29" s="131">
        <f t="shared" si="20"/>
        <v>0</v>
      </c>
      <c r="AR29" s="124"/>
      <c r="AS29" s="6">
        <f t="shared" si="1"/>
        <v>2.016</v>
      </c>
      <c r="AT29" s="6">
        <f t="shared" si="2"/>
        <v>384</v>
      </c>
      <c r="AU29" s="6">
        <f t="shared" si="3"/>
        <v>0</v>
      </c>
      <c r="AV29" s="6">
        <f t="shared" si="4"/>
        <v>0</v>
      </c>
      <c r="AW29" s="6">
        <f t="shared" si="5"/>
        <v>0</v>
      </c>
      <c r="AX29" s="6">
        <f t="shared" si="6"/>
        <v>224.68799999999999</v>
      </c>
      <c r="AY29" s="6">
        <f t="shared" si="7"/>
        <v>0</v>
      </c>
      <c r="AZ29" s="6">
        <f t="shared" si="8"/>
        <v>80.16</v>
      </c>
      <c r="BA29" s="6">
        <f t="shared" si="9"/>
        <v>279.23500000000001</v>
      </c>
      <c r="BB29" s="6">
        <f t="shared" si="21"/>
        <v>0</v>
      </c>
      <c r="BC29" s="6">
        <f t="shared" si="10"/>
        <v>0</v>
      </c>
      <c r="BD29" s="124">
        <f t="shared" si="22"/>
        <v>970.09899999999993</v>
      </c>
      <c r="BO29" s="101"/>
    </row>
    <row r="30" spans="1:75">
      <c r="A30" s="20" t="s">
        <v>239</v>
      </c>
      <c r="B30" s="121">
        <v>815.43600000000004</v>
      </c>
      <c r="C30" s="122">
        <v>268</v>
      </c>
      <c r="D30" s="121">
        <v>3043</v>
      </c>
      <c r="E30" s="121">
        <v>2.2000000000000002</v>
      </c>
      <c r="F30" s="132">
        <v>5.3399999999999997E-5</v>
      </c>
      <c r="G30" s="121" t="s">
        <v>184</v>
      </c>
      <c r="H30" s="128">
        <v>76000000000</v>
      </c>
      <c r="I30" s="121" t="s">
        <v>191</v>
      </c>
      <c r="J30" s="121">
        <v>4</v>
      </c>
      <c r="K30" s="121" t="s">
        <v>108</v>
      </c>
      <c r="L30" s="128">
        <f>L32*H30/H32</f>
        <v>45153800791.637329</v>
      </c>
      <c r="M30" s="121" t="s">
        <v>192</v>
      </c>
      <c r="N30" s="123">
        <f t="shared" si="24"/>
        <v>4.76</v>
      </c>
      <c r="O30" s="121" t="s">
        <v>209</v>
      </c>
      <c r="P30" s="121">
        <f t="shared" si="26"/>
        <v>0.99021492964116953</v>
      </c>
      <c r="Q30" s="121" t="s">
        <v>13</v>
      </c>
      <c r="R30" s="123">
        <v>0.76</v>
      </c>
      <c r="S30" s="121" t="s">
        <v>4</v>
      </c>
      <c r="T30" s="123">
        <f t="shared" si="25"/>
        <v>4.76</v>
      </c>
      <c r="U30" s="121" t="s">
        <v>211</v>
      </c>
      <c r="V30" s="6">
        <v>2</v>
      </c>
      <c r="W30" s="6">
        <v>24</v>
      </c>
      <c r="X30" s="6"/>
      <c r="Y30" s="6">
        <v>3</v>
      </c>
      <c r="Z30" s="6">
        <v>4</v>
      </c>
      <c r="AA30" s="6">
        <v>6</v>
      </c>
      <c r="AB30" s="6"/>
      <c r="AC30" s="6">
        <v>2</v>
      </c>
      <c r="AD30" s="6"/>
      <c r="AE30" s="6"/>
      <c r="AF30" s="6"/>
      <c r="AG30" s="124"/>
      <c r="AH30" s="131">
        <f t="shared" si="11"/>
        <v>2.2090451176865846</v>
      </c>
      <c r="AI30" s="131">
        <f t="shared" si="12"/>
        <v>0</v>
      </c>
      <c r="AJ30" s="131">
        <f t="shared" si="13"/>
        <v>14.828656769124375</v>
      </c>
      <c r="AK30" s="131">
        <f t="shared" si="14"/>
        <v>25.004782013742773</v>
      </c>
      <c r="AL30" s="131">
        <f t="shared" si="15"/>
        <v>44.207877815870404</v>
      </c>
      <c r="AM30" s="131">
        <f t="shared" si="16"/>
        <v>0</v>
      </c>
      <c r="AN30" s="131">
        <f t="shared" si="17"/>
        <v>13.752581061263728</v>
      </c>
      <c r="AO30" s="131">
        <f t="shared" si="18"/>
        <v>0</v>
      </c>
      <c r="AP30" s="131">
        <f t="shared" si="19"/>
        <v>0</v>
      </c>
      <c r="AQ30" s="131">
        <f t="shared" si="20"/>
        <v>0</v>
      </c>
      <c r="AR30" s="124"/>
      <c r="AS30" s="6">
        <f t="shared" si="1"/>
        <v>2.016</v>
      </c>
      <c r="AT30" s="6">
        <f t="shared" si="2"/>
        <v>384</v>
      </c>
      <c r="AU30" s="6">
        <f t="shared" si="3"/>
        <v>0</v>
      </c>
      <c r="AV30" s="6">
        <f t="shared" si="4"/>
        <v>72.936000000000007</v>
      </c>
      <c r="AW30" s="6">
        <f t="shared" si="5"/>
        <v>107.928</v>
      </c>
      <c r="AX30" s="6">
        <f t="shared" si="6"/>
        <v>168.51599999999999</v>
      </c>
      <c r="AY30" s="6">
        <f t="shared" si="7"/>
        <v>0</v>
      </c>
      <c r="AZ30" s="6">
        <f t="shared" si="8"/>
        <v>80.16</v>
      </c>
      <c r="BA30" s="6">
        <f t="shared" si="9"/>
        <v>0</v>
      </c>
      <c r="BB30" s="6">
        <f t="shared" si="21"/>
        <v>0</v>
      </c>
      <c r="BC30" s="6">
        <f t="shared" si="10"/>
        <v>0</v>
      </c>
      <c r="BD30" s="124">
        <f t="shared" si="22"/>
        <v>815.55599999999993</v>
      </c>
      <c r="BO30" s="101"/>
    </row>
    <row r="31" spans="1:75">
      <c r="A31" s="20" t="s">
        <v>244</v>
      </c>
      <c r="B31" s="121">
        <v>835.76900000000001</v>
      </c>
      <c r="C31" s="122">
        <v>271.89999999999998</v>
      </c>
      <c r="D31" s="121">
        <v>3074</v>
      </c>
      <c r="E31" s="121">
        <v>2.2000000000000002</v>
      </c>
      <c r="F31" s="132">
        <v>5.3399999999999997E-5</v>
      </c>
      <c r="G31" s="121" t="s">
        <v>184</v>
      </c>
      <c r="H31" s="127">
        <v>97000000000</v>
      </c>
      <c r="I31" s="123" t="s">
        <v>190</v>
      </c>
      <c r="J31" s="123">
        <v>4</v>
      </c>
      <c r="K31" s="123" t="s">
        <v>190</v>
      </c>
      <c r="L31" s="127">
        <f>L32*H31/H32</f>
        <v>57630508905.116066</v>
      </c>
      <c r="M31" s="123" t="s">
        <v>192</v>
      </c>
      <c r="N31" s="123">
        <f t="shared" si="24"/>
        <v>4.9000000000000004</v>
      </c>
      <c r="O31" s="121" t="s">
        <v>209</v>
      </c>
      <c r="P31" s="123">
        <f t="shared" si="26"/>
        <v>0.99021492964116953</v>
      </c>
      <c r="Q31" s="121" t="s">
        <v>13</v>
      </c>
      <c r="R31" s="123">
        <v>0.9</v>
      </c>
      <c r="S31" s="121" t="s">
        <v>4</v>
      </c>
      <c r="T31" s="123">
        <f t="shared" si="25"/>
        <v>4.9000000000000004</v>
      </c>
      <c r="U31" s="121" t="s">
        <v>211</v>
      </c>
      <c r="V31" s="6">
        <v>2</v>
      </c>
      <c r="W31" s="6">
        <v>24</v>
      </c>
      <c r="X31" s="6">
        <v>1</v>
      </c>
      <c r="Y31" s="6">
        <v>4</v>
      </c>
      <c r="Z31" s="6">
        <v>3</v>
      </c>
      <c r="AA31" s="6">
        <v>6</v>
      </c>
      <c r="AB31" s="6"/>
      <c r="AC31" s="6">
        <v>2</v>
      </c>
      <c r="AD31" s="6"/>
      <c r="AE31" s="6"/>
      <c r="AF31" s="6"/>
      <c r="AG31" s="124"/>
      <c r="AH31" s="131">
        <f t="shared" si="11"/>
        <v>2.1553436155602026</v>
      </c>
      <c r="AI31" s="131">
        <f t="shared" si="12"/>
        <v>3.7074877134886037</v>
      </c>
      <c r="AJ31" s="131">
        <f t="shared" si="13"/>
        <v>19.29089960711876</v>
      </c>
      <c r="AK31" s="131">
        <f t="shared" si="14"/>
        <v>18.297690088003485</v>
      </c>
      <c r="AL31" s="131">
        <f t="shared" si="15"/>
        <v>43.133192004555703</v>
      </c>
      <c r="AM31" s="131">
        <f t="shared" si="16"/>
        <v>0</v>
      </c>
      <c r="AN31" s="131">
        <f t="shared" si="17"/>
        <v>13.418258210547977</v>
      </c>
      <c r="AO31" s="131">
        <f t="shared" si="18"/>
        <v>0</v>
      </c>
      <c r="AP31" s="131">
        <f t="shared" si="19"/>
        <v>0</v>
      </c>
      <c r="AQ31" s="131">
        <f t="shared" si="20"/>
        <v>0</v>
      </c>
      <c r="AR31" s="124"/>
      <c r="AS31" s="6">
        <f t="shared" si="1"/>
        <v>2.016</v>
      </c>
      <c r="AT31" s="6">
        <f t="shared" si="2"/>
        <v>384</v>
      </c>
      <c r="AU31" s="6">
        <f t="shared" si="3"/>
        <v>22.99</v>
      </c>
      <c r="AV31" s="6">
        <f t="shared" si="4"/>
        <v>97.248000000000005</v>
      </c>
      <c r="AW31" s="6">
        <f t="shared" si="5"/>
        <v>80.945999999999998</v>
      </c>
      <c r="AX31" s="6">
        <f t="shared" si="6"/>
        <v>168.51599999999999</v>
      </c>
      <c r="AY31" s="6">
        <f t="shared" si="7"/>
        <v>0</v>
      </c>
      <c r="AZ31" s="6">
        <f t="shared" si="8"/>
        <v>80.16</v>
      </c>
      <c r="BA31" s="6">
        <f t="shared" si="9"/>
        <v>0</v>
      </c>
      <c r="BB31" s="6">
        <f t="shared" si="21"/>
        <v>0</v>
      </c>
      <c r="BC31" s="6">
        <f t="shared" si="10"/>
        <v>0</v>
      </c>
      <c r="BD31" s="124">
        <f t="shared" si="22"/>
        <v>835.87599999999998</v>
      </c>
      <c r="BO31" s="101"/>
    </row>
    <row r="32" spans="1:75">
      <c r="A32" s="20" t="s">
        <v>156</v>
      </c>
      <c r="B32" s="123">
        <f>AVERAGE(B29:B31)</f>
        <v>873.75833333333333</v>
      </c>
      <c r="C32" s="123">
        <f>AVERAGE(C29:C31)</f>
        <v>274.23333333333329</v>
      </c>
      <c r="D32" s="123">
        <f>AVERAGE(D29:D31)</f>
        <v>3182.3333333333335</v>
      </c>
      <c r="E32" s="123">
        <f>AVERAGE(E29:E31)</f>
        <v>2.1</v>
      </c>
      <c r="F32" s="133">
        <v>5.3399999999999997E-5</v>
      </c>
      <c r="G32" s="123" t="s">
        <v>112</v>
      </c>
      <c r="H32" s="127">
        <f>AVERAGE(H29:H31)</f>
        <v>83000000000</v>
      </c>
      <c r="I32" s="123" t="s">
        <v>112</v>
      </c>
      <c r="J32" s="123">
        <f>AVERAGE(J29:J31)</f>
        <v>4</v>
      </c>
      <c r="K32" s="123" t="s">
        <v>112</v>
      </c>
      <c r="L32" s="127">
        <v>49312703496.130241</v>
      </c>
      <c r="M32" s="123" t="s">
        <v>112</v>
      </c>
      <c r="N32" s="123">
        <f>AVERAGE(N29:N31)</f>
        <v>4.8133333333333335</v>
      </c>
      <c r="O32" s="123" t="s">
        <v>112</v>
      </c>
      <c r="P32" s="123">
        <f>AVERAGE(P29:P31)</f>
        <v>0.99021492964116964</v>
      </c>
      <c r="Q32" s="123" t="s">
        <v>112</v>
      </c>
      <c r="R32" s="123">
        <f>AVERAGE(R29:R31)</f>
        <v>0.81333333333333335</v>
      </c>
      <c r="S32" s="123" t="s">
        <v>112</v>
      </c>
      <c r="T32" s="123">
        <f>AVERAGE(T29:T31)</f>
        <v>4.8133333333333335</v>
      </c>
      <c r="U32" s="123" t="s">
        <v>112</v>
      </c>
      <c r="V32" s="6">
        <v>2</v>
      </c>
      <c r="W32" s="6">
        <v>24</v>
      </c>
      <c r="X32" s="6">
        <v>1</v>
      </c>
      <c r="Y32" s="6">
        <v>2</v>
      </c>
      <c r="Z32" s="6">
        <v>3</v>
      </c>
      <c r="AA32" s="6">
        <v>6</v>
      </c>
      <c r="AB32" s="6"/>
      <c r="AC32" s="6">
        <v>2</v>
      </c>
      <c r="AD32" s="6">
        <v>2</v>
      </c>
      <c r="AE32" s="6"/>
      <c r="AF32" s="6"/>
      <c r="AG32" s="124"/>
      <c r="AH32" s="131">
        <f t="shared" si="11"/>
        <v>2.0041248306349884</v>
      </c>
      <c r="AI32" s="131">
        <f t="shared" si="12"/>
        <v>3.447370587332276</v>
      </c>
      <c r="AJ32" s="131">
        <f t="shared" si="13"/>
        <v>8.9687255964206969</v>
      </c>
      <c r="AK32" s="131">
        <f t="shared" si="14"/>
        <v>17.013925196841637</v>
      </c>
      <c r="AL32" s="131">
        <f t="shared" si="15"/>
        <v>40.106969717869596</v>
      </c>
      <c r="AM32" s="131">
        <f t="shared" si="16"/>
        <v>0</v>
      </c>
      <c r="AN32" s="131">
        <f t="shared" si="17"/>
        <v>12.476833981129012</v>
      </c>
      <c r="AO32" s="131">
        <f t="shared" si="18"/>
        <v>15.985387331385867</v>
      </c>
      <c r="AP32" s="131">
        <f t="shared" si="19"/>
        <v>0</v>
      </c>
      <c r="AQ32" s="131">
        <f t="shared" si="20"/>
        <v>0</v>
      </c>
      <c r="AR32" s="124"/>
      <c r="AS32" s="6">
        <f t="shared" si="1"/>
        <v>2.016</v>
      </c>
      <c r="AT32" s="6">
        <f t="shared" si="2"/>
        <v>384</v>
      </c>
      <c r="AU32" s="6">
        <f t="shared" si="3"/>
        <v>22.99</v>
      </c>
      <c r="AV32" s="6">
        <f t="shared" si="4"/>
        <v>48.624000000000002</v>
      </c>
      <c r="AW32" s="6">
        <f t="shared" si="5"/>
        <v>80.945999999999998</v>
      </c>
      <c r="AX32" s="6">
        <f t="shared" si="6"/>
        <v>168.51599999999999</v>
      </c>
      <c r="AY32" s="6">
        <f t="shared" si="7"/>
        <v>0</v>
      </c>
      <c r="AZ32" s="6">
        <f t="shared" si="8"/>
        <v>80.16</v>
      </c>
      <c r="BA32" s="6">
        <f t="shared" si="9"/>
        <v>111.694</v>
      </c>
      <c r="BB32" s="6">
        <f t="shared" si="21"/>
        <v>0</v>
      </c>
      <c r="BC32" s="6">
        <f t="shared" si="10"/>
        <v>0</v>
      </c>
      <c r="BD32" s="124">
        <f t="shared" si="22"/>
        <v>898.94599999999991</v>
      </c>
      <c r="BO32" s="101"/>
    </row>
    <row r="33" spans="1:56">
      <c r="A33" s="17" t="s">
        <v>144</v>
      </c>
      <c r="B33" s="121">
        <v>780.8</v>
      </c>
      <c r="C33" s="122">
        <v>265.39999999999998</v>
      </c>
      <c r="D33" s="121">
        <v>2942</v>
      </c>
      <c r="E33" s="121">
        <v>2.2999999999999998</v>
      </c>
      <c r="F33" s="132">
        <v>5.3399999999999997E-5</v>
      </c>
      <c r="G33" s="121" t="s">
        <v>184</v>
      </c>
      <c r="H33" s="128">
        <v>70000000000</v>
      </c>
      <c r="I33" s="121" t="s">
        <v>191</v>
      </c>
      <c r="J33" s="121">
        <v>4</v>
      </c>
      <c r="K33" s="121" t="s">
        <v>108</v>
      </c>
      <c r="L33" s="128">
        <f>L32*H33/H32</f>
        <v>41589027044.929115</v>
      </c>
      <c r="M33" s="121" t="s">
        <v>192</v>
      </c>
      <c r="N33" s="123">
        <f t="shared" si="24"/>
        <v>4.6399999999999997</v>
      </c>
      <c r="O33" s="121" t="s">
        <v>209</v>
      </c>
      <c r="P33" s="121">
        <f t="shared" si="26"/>
        <v>0.99021492964116942</v>
      </c>
      <c r="Q33" s="121" t="s">
        <v>13</v>
      </c>
      <c r="R33" s="123">
        <v>0.64</v>
      </c>
      <c r="S33" s="121" t="s">
        <v>4</v>
      </c>
      <c r="T33" s="123">
        <f t="shared" si="25"/>
        <v>4.6399999999999997</v>
      </c>
      <c r="U33" s="121" t="s">
        <v>211</v>
      </c>
      <c r="V33" s="6">
        <v>2</v>
      </c>
      <c r="W33" s="6">
        <v>24</v>
      </c>
      <c r="X33" s="6"/>
      <c r="Y33" s="6">
        <v>7</v>
      </c>
      <c r="Z33" s="6"/>
      <c r="AA33" s="6">
        <v>8</v>
      </c>
      <c r="AB33" s="6"/>
      <c r="AC33" s="6"/>
      <c r="AD33" s="6"/>
      <c r="AE33" s="6"/>
      <c r="AF33" s="6"/>
      <c r="AG33" s="124"/>
      <c r="AH33" s="131">
        <f t="shared" si="11"/>
        <v>2.3071170257450491</v>
      </c>
      <c r="AI33" s="131">
        <f t="shared" si="12"/>
        <v>0</v>
      </c>
      <c r="AJ33" s="131">
        <f t="shared" si="13"/>
        <v>36.136296114167457</v>
      </c>
      <c r="AK33" s="131">
        <f t="shared" si="14"/>
        <v>0</v>
      </c>
      <c r="AL33" s="131">
        <f t="shared" si="15"/>
        <v>61.560684758889877</v>
      </c>
      <c r="AM33" s="131">
        <f t="shared" si="16"/>
        <v>0</v>
      </c>
      <c r="AN33" s="131">
        <f t="shared" si="17"/>
        <v>0</v>
      </c>
      <c r="AO33" s="131">
        <f t="shared" si="18"/>
        <v>0</v>
      </c>
      <c r="AP33" s="131">
        <f t="shared" si="19"/>
        <v>0</v>
      </c>
      <c r="AQ33" s="131">
        <f t="shared" si="20"/>
        <v>0</v>
      </c>
      <c r="AR33" s="124"/>
      <c r="AS33" s="6">
        <f t="shared" si="1"/>
        <v>2.016</v>
      </c>
      <c r="AT33" s="6">
        <f t="shared" si="2"/>
        <v>384</v>
      </c>
      <c r="AU33" s="6">
        <f t="shared" si="3"/>
        <v>0</v>
      </c>
      <c r="AV33" s="6">
        <f t="shared" si="4"/>
        <v>170.184</v>
      </c>
      <c r="AW33" s="6">
        <f t="shared" si="5"/>
        <v>0</v>
      </c>
      <c r="AX33" s="6">
        <f t="shared" si="6"/>
        <v>224.68799999999999</v>
      </c>
      <c r="AY33" s="6">
        <f t="shared" si="7"/>
        <v>0</v>
      </c>
      <c r="AZ33" s="6">
        <f t="shared" si="8"/>
        <v>0</v>
      </c>
      <c r="BA33" s="6">
        <f t="shared" si="9"/>
        <v>0</v>
      </c>
      <c r="BB33" s="6">
        <f t="shared" si="21"/>
        <v>0</v>
      </c>
      <c r="BC33" s="6">
        <f t="shared" si="10"/>
        <v>0</v>
      </c>
      <c r="BD33" s="124">
        <f t="shared" si="22"/>
        <v>780.88800000000003</v>
      </c>
    </row>
    <row r="34" spans="1:56">
      <c r="A34" s="20" t="s">
        <v>249</v>
      </c>
      <c r="B34" s="121">
        <v>417.24</v>
      </c>
      <c r="C34" s="122">
        <v>149.69999999999999</v>
      </c>
      <c r="D34" s="121">
        <v>2788</v>
      </c>
      <c r="E34" s="121">
        <v>4.5</v>
      </c>
      <c r="F34" s="132">
        <v>5.7899999999999998E-5</v>
      </c>
      <c r="G34" s="121" t="s">
        <v>184</v>
      </c>
      <c r="H34" s="127">
        <v>49700000000</v>
      </c>
      <c r="I34" s="123" t="s">
        <v>272</v>
      </c>
      <c r="J34" s="123">
        <v>8.59</v>
      </c>
      <c r="K34" s="123" t="s">
        <v>272</v>
      </c>
      <c r="L34" s="127">
        <f>(3*H34-6*H34*0.27)/(2*0.27+2)</f>
        <v>27002362204.724407</v>
      </c>
      <c r="M34" s="123" t="s">
        <v>113</v>
      </c>
      <c r="N34" s="123">
        <f t="shared" si="24"/>
        <v>9.18</v>
      </c>
      <c r="O34" s="121" t="s">
        <v>209</v>
      </c>
      <c r="P34" s="123">
        <f t="shared" si="26"/>
        <v>0.90551181102362199</v>
      </c>
      <c r="Q34" s="121" t="s">
        <v>13</v>
      </c>
      <c r="R34" s="123">
        <v>0.59</v>
      </c>
      <c r="S34" s="121" t="s">
        <v>4</v>
      </c>
      <c r="T34" s="123">
        <f t="shared" si="25"/>
        <v>9.18</v>
      </c>
      <c r="U34" s="121" t="s">
        <v>211</v>
      </c>
      <c r="V34" s="6">
        <v>2</v>
      </c>
      <c r="W34" s="6">
        <v>12</v>
      </c>
      <c r="X34" s="6"/>
      <c r="Y34" s="6">
        <v>3</v>
      </c>
      <c r="Z34" s="6">
        <v>1</v>
      </c>
      <c r="AA34" s="6">
        <v>3</v>
      </c>
      <c r="AB34" s="6">
        <v>1</v>
      </c>
      <c r="AC34" s="6"/>
      <c r="AD34" s="6"/>
      <c r="AE34" s="6"/>
      <c r="AF34" s="6"/>
      <c r="AG34" s="124"/>
      <c r="AH34" s="131">
        <f t="shared" si="11"/>
        <v>4.3173398131772807</v>
      </c>
      <c r="AI34" s="131">
        <f t="shared" si="12"/>
        <v>0</v>
      </c>
      <c r="AJ34" s="131">
        <f t="shared" si="13"/>
        <v>28.981006197069693</v>
      </c>
      <c r="AK34" s="131">
        <f t="shared" si="14"/>
        <v>12.217285654718259</v>
      </c>
      <c r="AL34" s="131">
        <f t="shared" si="15"/>
        <v>43.199758443687195</v>
      </c>
      <c r="AM34" s="131">
        <f t="shared" si="16"/>
        <v>11.287485561738249</v>
      </c>
      <c r="AN34" s="131">
        <f t="shared" si="17"/>
        <v>0</v>
      </c>
      <c r="AO34" s="131">
        <f t="shared" si="18"/>
        <v>0</v>
      </c>
      <c r="AP34" s="131">
        <f t="shared" si="19"/>
        <v>0</v>
      </c>
      <c r="AQ34" s="131">
        <f t="shared" si="20"/>
        <v>0</v>
      </c>
      <c r="AR34" s="124"/>
      <c r="AS34" s="6">
        <f t="shared" si="1"/>
        <v>2.016</v>
      </c>
      <c r="AT34" s="6">
        <f t="shared" si="2"/>
        <v>192</v>
      </c>
      <c r="AU34" s="6">
        <f t="shared" si="3"/>
        <v>0</v>
      </c>
      <c r="AV34" s="6">
        <f t="shared" si="4"/>
        <v>72.936000000000007</v>
      </c>
      <c r="AW34" s="6">
        <f t="shared" si="5"/>
        <v>26.981999999999999</v>
      </c>
      <c r="AX34" s="6">
        <f t="shared" si="6"/>
        <v>84.257999999999996</v>
      </c>
      <c r="AY34" s="6">
        <f t="shared" si="7"/>
        <v>39.101999999999997</v>
      </c>
      <c r="AZ34" s="6">
        <f t="shared" si="8"/>
        <v>0</v>
      </c>
      <c r="BA34" s="6">
        <f t="shared" si="9"/>
        <v>0</v>
      </c>
      <c r="BB34" s="6">
        <f t="shared" si="21"/>
        <v>0</v>
      </c>
      <c r="BC34" s="6">
        <f t="shared" si="10"/>
        <v>0</v>
      </c>
      <c r="BD34" s="124">
        <f t="shared" si="22"/>
        <v>417.29399999999993</v>
      </c>
    </row>
    <row r="35" spans="1:56">
      <c r="A35" s="20" t="s">
        <v>233</v>
      </c>
      <c r="B35" s="121">
        <v>511.86599999999999</v>
      </c>
      <c r="C35" s="122">
        <v>154.30000000000001</v>
      </c>
      <c r="D35" s="121">
        <v>3317</v>
      </c>
      <c r="E35" s="121">
        <v>3.5</v>
      </c>
      <c r="F35" s="132">
        <v>5.7899999999999998E-5</v>
      </c>
      <c r="G35" s="121" t="s">
        <v>184</v>
      </c>
      <c r="H35" s="127">
        <f>H34</f>
        <v>49700000000</v>
      </c>
      <c r="I35" s="123" t="s">
        <v>194</v>
      </c>
      <c r="J35" s="123">
        <f>8.1-(J34-8.1)</f>
        <v>7.6099999999999994</v>
      </c>
      <c r="K35" s="123" t="s">
        <v>537</v>
      </c>
      <c r="L35" s="127">
        <f>(3*H35-6*H35*0.27)/(2*0.27+2)</f>
        <v>27002362204.724407</v>
      </c>
      <c r="M35" s="123" t="s">
        <v>194</v>
      </c>
      <c r="N35" s="123">
        <f t="shared" si="24"/>
        <v>8.1999999999999993</v>
      </c>
      <c r="O35" s="121" t="s">
        <v>209</v>
      </c>
      <c r="P35" s="123">
        <f t="shared" si="26"/>
        <v>0.90551181102362199</v>
      </c>
      <c r="Q35" s="121" t="s">
        <v>13</v>
      </c>
      <c r="R35" s="123">
        <v>0.59</v>
      </c>
      <c r="S35" s="121" t="s">
        <v>4</v>
      </c>
      <c r="T35" s="123">
        <f t="shared" si="25"/>
        <v>8.1999999999999993</v>
      </c>
      <c r="U35" s="121" t="s">
        <v>211</v>
      </c>
      <c r="V35" s="6">
        <v>2</v>
      </c>
      <c r="W35" s="6">
        <v>12</v>
      </c>
      <c r="X35" s="6"/>
      <c r="Y35" s="6"/>
      <c r="Z35" s="6">
        <v>1</v>
      </c>
      <c r="AA35" s="6">
        <v>3</v>
      </c>
      <c r="AB35" s="6">
        <v>1</v>
      </c>
      <c r="AC35" s="6"/>
      <c r="AD35" s="6">
        <v>3</v>
      </c>
      <c r="AE35" s="6"/>
      <c r="AF35" s="6"/>
      <c r="AG35" s="124"/>
      <c r="AH35" s="131">
        <f t="shared" si="11"/>
        <v>3.5194442653726616</v>
      </c>
      <c r="AI35" s="131">
        <f t="shared" si="12"/>
        <v>0</v>
      </c>
      <c r="AJ35" s="131">
        <f t="shared" si="13"/>
        <v>0</v>
      </c>
      <c r="AK35" s="131">
        <f t="shared" si="14"/>
        <v>9.959386519606408</v>
      </c>
      <c r="AL35" s="131">
        <f t="shared" si="15"/>
        <v>35.215931267691481</v>
      </c>
      <c r="AM35" s="131">
        <f t="shared" si="16"/>
        <v>9.2014244997548342</v>
      </c>
      <c r="AN35" s="131">
        <f t="shared" si="17"/>
        <v>0</v>
      </c>
      <c r="AO35" s="131">
        <f t="shared" si="18"/>
        <v>42.107915819331552</v>
      </c>
      <c r="AP35" s="131">
        <f t="shared" si="19"/>
        <v>0</v>
      </c>
      <c r="AQ35" s="131">
        <f t="shared" si="20"/>
        <v>0</v>
      </c>
      <c r="AR35" s="124"/>
      <c r="AS35" s="6">
        <f t="shared" si="1"/>
        <v>2.016</v>
      </c>
      <c r="AT35" s="6">
        <f t="shared" si="2"/>
        <v>192</v>
      </c>
      <c r="AU35" s="6">
        <f t="shared" si="3"/>
        <v>0</v>
      </c>
      <c r="AV35" s="6">
        <f t="shared" si="4"/>
        <v>0</v>
      </c>
      <c r="AW35" s="6">
        <f t="shared" si="5"/>
        <v>26.981999999999999</v>
      </c>
      <c r="AX35" s="6">
        <f t="shared" si="6"/>
        <v>84.257999999999996</v>
      </c>
      <c r="AY35" s="6">
        <f t="shared" si="7"/>
        <v>39.101999999999997</v>
      </c>
      <c r="AZ35" s="6">
        <f t="shared" si="8"/>
        <v>0</v>
      </c>
      <c r="BA35" s="6">
        <f t="shared" si="9"/>
        <v>167.541</v>
      </c>
      <c r="BB35" s="6">
        <f t="shared" si="21"/>
        <v>0</v>
      </c>
      <c r="BC35" s="6">
        <f t="shared" si="10"/>
        <v>0</v>
      </c>
      <c r="BD35" s="124">
        <f t="shared" si="22"/>
        <v>511.89899999999994</v>
      </c>
    </row>
    <row r="36" spans="1:56">
      <c r="A36" s="20" t="s">
        <v>286</v>
      </c>
      <c r="B36" s="121">
        <v>398.24799999999999</v>
      </c>
      <c r="C36" s="122">
        <v>140.80000000000001</v>
      </c>
      <c r="D36" s="121">
        <v>2828</v>
      </c>
      <c r="E36" s="121">
        <v>4.5</v>
      </c>
      <c r="F36" s="132">
        <v>5.9599999999999999E-5</v>
      </c>
      <c r="G36" s="121" t="s">
        <v>184</v>
      </c>
      <c r="H36" s="127">
        <v>59400000000</v>
      </c>
      <c r="I36" s="123" t="s">
        <v>561</v>
      </c>
      <c r="J36" s="121">
        <v>4</v>
      </c>
      <c r="K36" s="121" t="s">
        <v>213</v>
      </c>
      <c r="L36" s="127">
        <v>36800000000</v>
      </c>
      <c r="M36" s="123" t="s">
        <v>561</v>
      </c>
      <c r="N36" s="123">
        <f t="shared" si="24"/>
        <v>4.5600000000000005</v>
      </c>
      <c r="O36" s="121" t="s">
        <v>209</v>
      </c>
      <c r="P36" s="121">
        <f t="shared" si="26"/>
        <v>1.0325476992143658</v>
      </c>
      <c r="Q36" s="121" t="s">
        <v>13</v>
      </c>
      <c r="R36" s="123">
        <v>0.56000000000000005</v>
      </c>
      <c r="S36" s="121" t="s">
        <v>4</v>
      </c>
      <c r="T36" s="123">
        <f t="shared" si="25"/>
        <v>4.5600000000000005</v>
      </c>
      <c r="U36" s="121" t="s">
        <v>211</v>
      </c>
      <c r="V36" s="6">
        <v>2</v>
      </c>
      <c r="W36" s="6">
        <v>12</v>
      </c>
      <c r="X36" s="6"/>
      <c r="Y36" s="6"/>
      <c r="Z36" s="6">
        <v>3</v>
      </c>
      <c r="AA36" s="6">
        <v>3</v>
      </c>
      <c r="AB36" s="6">
        <v>1</v>
      </c>
      <c r="AC36" s="6"/>
      <c r="AD36" s="6"/>
      <c r="AE36" s="6"/>
      <c r="AF36" s="6"/>
      <c r="AG36" s="124"/>
      <c r="AH36" s="131">
        <f t="shared" si="11"/>
        <v>4.5229738754073345</v>
      </c>
      <c r="AI36" s="131">
        <f t="shared" si="12"/>
        <v>0</v>
      </c>
      <c r="AJ36" s="131">
        <f t="shared" si="13"/>
        <v>0</v>
      </c>
      <c r="AK36" s="131">
        <f t="shared" si="14"/>
        <v>38.39757783903476</v>
      </c>
      <c r="AL36" s="131">
        <f t="shared" si="15"/>
        <v>45.257354602557733</v>
      </c>
      <c r="AM36" s="131">
        <f t="shared" si="16"/>
        <v>11.825106321016666</v>
      </c>
      <c r="AN36" s="131">
        <f t="shared" si="17"/>
        <v>0</v>
      </c>
      <c r="AO36" s="131">
        <f t="shared" si="18"/>
        <v>0</v>
      </c>
      <c r="AP36" s="131">
        <f t="shared" si="19"/>
        <v>0</v>
      </c>
      <c r="AQ36" s="131">
        <f t="shared" si="20"/>
        <v>0</v>
      </c>
      <c r="AR36" s="124"/>
      <c r="AS36" s="6">
        <f t="shared" si="1"/>
        <v>2.016</v>
      </c>
      <c r="AT36" s="6">
        <f t="shared" si="2"/>
        <v>192</v>
      </c>
      <c r="AU36" s="6">
        <f t="shared" si="3"/>
        <v>0</v>
      </c>
      <c r="AV36" s="6">
        <f t="shared" si="4"/>
        <v>0</v>
      </c>
      <c r="AW36" s="6">
        <f t="shared" si="5"/>
        <v>80.945999999999998</v>
      </c>
      <c r="AX36" s="6">
        <f t="shared" si="6"/>
        <v>84.257999999999996</v>
      </c>
      <c r="AY36" s="6">
        <f t="shared" si="7"/>
        <v>39.101999999999997</v>
      </c>
      <c r="AZ36" s="6">
        <f t="shared" si="8"/>
        <v>0</v>
      </c>
      <c r="BA36" s="6">
        <f t="shared" si="9"/>
        <v>0</v>
      </c>
      <c r="BB36" s="6">
        <f t="shared" si="21"/>
        <v>0</v>
      </c>
      <c r="BC36" s="6">
        <f t="shared" si="10"/>
        <v>0</v>
      </c>
      <c r="BD36" s="124">
        <f t="shared" si="22"/>
        <v>398.32199999999995</v>
      </c>
    </row>
    <row r="37" spans="1:56">
      <c r="A37" s="20" t="s">
        <v>215</v>
      </c>
      <c r="B37" s="121">
        <v>396.74</v>
      </c>
      <c r="C37" s="122">
        <v>140.4</v>
      </c>
      <c r="D37" s="121">
        <v>2825.7834757834758</v>
      </c>
      <c r="E37" s="121">
        <v>4.5</v>
      </c>
      <c r="F37" s="132">
        <v>5.9599999999999999E-5</v>
      </c>
      <c r="G37" s="121" t="s">
        <v>184</v>
      </c>
      <c r="H37" s="127">
        <v>65000000000</v>
      </c>
      <c r="I37" s="123" t="s">
        <v>440</v>
      </c>
      <c r="J37" s="121">
        <v>9</v>
      </c>
      <c r="K37" s="121" t="s">
        <v>216</v>
      </c>
      <c r="L37" s="127">
        <f>(3*H37-6*H37*0.249)/(2*0.249+2)</f>
        <v>39187349879.903923</v>
      </c>
      <c r="M37" s="123" t="s">
        <v>508</v>
      </c>
      <c r="N37" s="123">
        <v>9.52</v>
      </c>
      <c r="O37" s="121" t="s">
        <v>209</v>
      </c>
      <c r="P37" s="121">
        <f t="shared" si="26"/>
        <v>1.0048038430744597</v>
      </c>
      <c r="Q37" s="121" t="s">
        <v>13</v>
      </c>
      <c r="R37" s="123">
        <v>0.56999999999999995</v>
      </c>
      <c r="S37" s="121" t="s">
        <v>4</v>
      </c>
      <c r="T37" s="123">
        <v>9.52</v>
      </c>
      <c r="U37" s="121" t="s">
        <v>211</v>
      </c>
      <c r="V37" s="6">
        <v>2</v>
      </c>
      <c r="W37" s="6">
        <v>12</v>
      </c>
      <c r="X37" s="6"/>
      <c r="Y37" s="6">
        <v>1</v>
      </c>
      <c r="Z37" s="6">
        <v>1</v>
      </c>
      <c r="AA37" s="6">
        <v>4</v>
      </c>
      <c r="AB37" s="6">
        <v>1</v>
      </c>
      <c r="AC37" s="6"/>
      <c r="AD37" s="6"/>
      <c r="AE37" s="6"/>
      <c r="AF37" s="6"/>
      <c r="AG37" s="124"/>
      <c r="AH37" s="131">
        <f t="shared" si="11"/>
        <v>4.5408260996683101</v>
      </c>
      <c r="AI37" s="131">
        <f t="shared" si="12"/>
        <v>0</v>
      </c>
      <c r="AJ37" s="131">
        <f t="shared" si="13"/>
        <v>10.160400850900805</v>
      </c>
      <c r="AK37" s="131">
        <f t="shared" si="14"/>
        <v>12.849711157487222</v>
      </c>
      <c r="AL37" s="131">
        <f t="shared" si="15"/>
        <v>60.581314460272814</v>
      </c>
      <c r="AM37" s="131">
        <f t="shared" si="16"/>
        <v>11.871780136910344</v>
      </c>
      <c r="AN37" s="131">
        <f t="shared" si="17"/>
        <v>0</v>
      </c>
      <c r="AO37" s="131">
        <f t="shared" si="18"/>
        <v>0</v>
      </c>
      <c r="AP37" s="131">
        <f t="shared" si="19"/>
        <v>0</v>
      </c>
      <c r="AQ37" s="131">
        <f t="shared" si="20"/>
        <v>0</v>
      </c>
      <c r="AR37" s="124"/>
      <c r="AS37" s="6">
        <f t="shared" si="1"/>
        <v>2.016</v>
      </c>
      <c r="AT37" s="6">
        <f t="shared" si="2"/>
        <v>192</v>
      </c>
      <c r="AU37" s="6">
        <f t="shared" si="3"/>
        <v>0</v>
      </c>
      <c r="AV37" s="6">
        <f t="shared" si="4"/>
        <v>24.312000000000001</v>
      </c>
      <c r="AW37" s="6">
        <f t="shared" si="5"/>
        <v>26.981999999999999</v>
      </c>
      <c r="AX37" s="6">
        <f t="shared" si="6"/>
        <v>112.34399999999999</v>
      </c>
      <c r="AY37" s="6">
        <f t="shared" si="7"/>
        <v>39.101999999999997</v>
      </c>
      <c r="AZ37" s="6">
        <f t="shared" si="8"/>
        <v>0</v>
      </c>
      <c r="BA37" s="6">
        <f t="shared" si="9"/>
        <v>0</v>
      </c>
      <c r="BB37" s="6">
        <f t="shared" si="21"/>
        <v>0</v>
      </c>
      <c r="BC37" s="6">
        <f t="shared" si="10"/>
        <v>0</v>
      </c>
      <c r="BD37" s="124">
        <f t="shared" si="22"/>
        <v>396.75599999999997</v>
      </c>
    </row>
    <row r="38" spans="1:56">
      <c r="A38" s="20" t="s">
        <v>150</v>
      </c>
      <c r="B38" s="121">
        <v>379.65</v>
      </c>
      <c r="C38" s="122">
        <v>136.4</v>
      </c>
      <c r="D38" s="121">
        <v>2784</v>
      </c>
      <c r="E38" s="121">
        <v>4.8</v>
      </c>
      <c r="F38" s="132">
        <v>3.6999999999999998E-5</v>
      </c>
      <c r="G38" s="121" t="s">
        <v>184</v>
      </c>
      <c r="H38" s="127">
        <v>55500000000</v>
      </c>
      <c r="I38" s="123" t="s">
        <v>511</v>
      </c>
      <c r="J38" s="123">
        <v>5.2</v>
      </c>
      <c r="K38" s="123" t="s">
        <v>511</v>
      </c>
      <c r="L38" s="127">
        <v>47300000000</v>
      </c>
      <c r="M38" s="123" t="s">
        <v>511</v>
      </c>
      <c r="N38" s="123">
        <f t="shared" ref="N38:N47" si="27">T38</f>
        <v>5.54</v>
      </c>
      <c r="O38" s="121" t="s">
        <v>209</v>
      </c>
      <c r="P38" s="123">
        <v>2.8</v>
      </c>
      <c r="Q38" s="123" t="s">
        <v>511</v>
      </c>
      <c r="R38" s="123">
        <v>0.34</v>
      </c>
      <c r="S38" s="121" t="s">
        <v>4</v>
      </c>
      <c r="T38" s="123">
        <f t="shared" ref="T38:T49" si="28">R38+J38</f>
        <v>5.54</v>
      </c>
      <c r="U38" s="121" t="s">
        <v>211</v>
      </c>
      <c r="V38" s="6">
        <v>2</v>
      </c>
      <c r="W38" s="6">
        <v>12</v>
      </c>
      <c r="X38" s="6"/>
      <c r="Y38" s="6">
        <v>3</v>
      </c>
      <c r="Z38" s="6"/>
      <c r="AA38" s="6">
        <v>4</v>
      </c>
      <c r="AB38" s="6"/>
      <c r="AC38" s="6"/>
      <c r="AD38" s="6"/>
      <c r="AE38" s="6"/>
      <c r="AF38" s="6"/>
      <c r="AG38" s="124"/>
      <c r="AH38" s="131">
        <f t="shared" si="11"/>
        <v>4.7498523580528138</v>
      </c>
      <c r="AI38" s="131">
        <f t="shared" si="12"/>
        <v>0</v>
      </c>
      <c r="AJ38" s="131">
        <f t="shared" si="13"/>
        <v>31.88433308023285</v>
      </c>
      <c r="AK38" s="131">
        <f t="shared" si="14"/>
        <v>0</v>
      </c>
      <c r="AL38" s="131">
        <f t="shared" si="15"/>
        <v>63.370032903062516</v>
      </c>
      <c r="AM38" s="131">
        <f t="shared" si="16"/>
        <v>0</v>
      </c>
      <c r="AN38" s="131">
        <f t="shared" si="17"/>
        <v>0</v>
      </c>
      <c r="AO38" s="131">
        <f t="shared" si="18"/>
        <v>0</v>
      </c>
      <c r="AP38" s="131">
        <f t="shared" si="19"/>
        <v>0</v>
      </c>
      <c r="AQ38" s="131">
        <f t="shared" si="20"/>
        <v>0</v>
      </c>
      <c r="AR38" s="124"/>
      <c r="AS38" s="6">
        <f t="shared" si="1"/>
        <v>2.016</v>
      </c>
      <c r="AT38" s="6">
        <f t="shared" si="2"/>
        <v>192</v>
      </c>
      <c r="AU38" s="6">
        <f t="shared" si="3"/>
        <v>0</v>
      </c>
      <c r="AV38" s="6">
        <f t="shared" si="4"/>
        <v>72.936000000000007</v>
      </c>
      <c r="AW38" s="6">
        <f t="shared" si="5"/>
        <v>0</v>
      </c>
      <c r="AX38" s="6">
        <f t="shared" si="6"/>
        <v>112.34399999999999</v>
      </c>
      <c r="AY38" s="6">
        <f t="shared" si="7"/>
        <v>0</v>
      </c>
      <c r="AZ38" s="6">
        <f t="shared" si="8"/>
        <v>0</v>
      </c>
      <c r="BA38" s="6">
        <f t="shared" si="9"/>
        <v>0</v>
      </c>
      <c r="BB38" s="6">
        <f t="shared" si="21"/>
        <v>0</v>
      </c>
      <c r="BC38" s="6">
        <f t="shared" si="10"/>
        <v>0</v>
      </c>
      <c r="BD38" s="124">
        <f t="shared" si="22"/>
        <v>379.29599999999999</v>
      </c>
    </row>
    <row r="39" spans="1:56">
      <c r="A39" s="20" t="s">
        <v>228</v>
      </c>
      <c r="B39" s="121">
        <v>555.57500000000005</v>
      </c>
      <c r="C39" s="122">
        <v>210.8</v>
      </c>
      <c r="D39" s="121">
        <v>2635</v>
      </c>
      <c r="E39" s="121">
        <v>13</v>
      </c>
      <c r="F39" s="132">
        <v>3.9799999999999998E-5</v>
      </c>
      <c r="G39" s="121" t="s">
        <v>184</v>
      </c>
      <c r="H39" s="127">
        <v>77900000000</v>
      </c>
      <c r="I39" s="123" t="s">
        <v>277</v>
      </c>
      <c r="J39" s="121">
        <v>4</v>
      </c>
      <c r="K39" s="123" t="s">
        <v>277</v>
      </c>
      <c r="L39" s="127">
        <v>33800000000</v>
      </c>
      <c r="M39" s="123" t="s">
        <v>449</v>
      </c>
      <c r="N39" s="123">
        <f t="shared" si="27"/>
        <v>4.32</v>
      </c>
      <c r="O39" s="121" t="s">
        <v>209</v>
      </c>
      <c r="P39" s="121">
        <f t="shared" ref="P39:P64" si="29">(5*L39)/(3*H39)</f>
        <v>0.72314933675652548</v>
      </c>
      <c r="Q39" s="121" t="s">
        <v>13</v>
      </c>
      <c r="R39" s="123">
        <v>0.32</v>
      </c>
      <c r="S39" s="121" t="s">
        <v>4</v>
      </c>
      <c r="T39" s="123">
        <f t="shared" si="28"/>
        <v>4.32</v>
      </c>
      <c r="U39" s="121" t="s">
        <v>211</v>
      </c>
      <c r="V39" s="6">
        <v>8</v>
      </c>
      <c r="W39" s="6">
        <v>18</v>
      </c>
      <c r="X39" s="6"/>
      <c r="Y39" s="6">
        <v>5</v>
      </c>
      <c r="Z39" s="6">
        <v>2</v>
      </c>
      <c r="AA39" s="6">
        <v>3</v>
      </c>
      <c r="AB39" s="6"/>
      <c r="AC39" s="6"/>
      <c r="AD39" s="6"/>
      <c r="AE39" s="6"/>
      <c r="AF39" s="6"/>
      <c r="AG39" s="124"/>
      <c r="AH39" s="131">
        <f t="shared" si="11"/>
        <v>12.964742032865217</v>
      </c>
      <c r="AI39" s="131">
        <f t="shared" si="12"/>
        <v>0</v>
      </c>
      <c r="AJ39" s="131">
        <f t="shared" si="13"/>
        <v>36.26184230884094</v>
      </c>
      <c r="AK39" s="131">
        <f t="shared" si="14"/>
        <v>18.343929793503957</v>
      </c>
      <c r="AL39" s="131">
        <f t="shared" si="15"/>
        <v>32.43164473613195</v>
      </c>
      <c r="AM39" s="131">
        <f t="shared" si="16"/>
        <v>0</v>
      </c>
      <c r="AN39" s="131">
        <f t="shared" si="17"/>
        <v>0</v>
      </c>
      <c r="AO39" s="131">
        <f t="shared" si="18"/>
        <v>0</v>
      </c>
      <c r="AP39" s="131">
        <f t="shared" si="19"/>
        <v>0</v>
      </c>
      <c r="AQ39" s="131">
        <f t="shared" si="20"/>
        <v>0</v>
      </c>
      <c r="AR39" s="124"/>
      <c r="AS39" s="6">
        <f t="shared" si="1"/>
        <v>8.0640000000000001</v>
      </c>
      <c r="AT39" s="6">
        <f t="shared" si="2"/>
        <v>288</v>
      </c>
      <c r="AU39" s="6">
        <f t="shared" si="3"/>
        <v>0</v>
      </c>
      <c r="AV39" s="6">
        <f t="shared" si="4"/>
        <v>121.56</v>
      </c>
      <c r="AW39" s="6">
        <f t="shared" si="5"/>
        <v>53.963999999999999</v>
      </c>
      <c r="AX39" s="6">
        <f t="shared" si="6"/>
        <v>84.257999999999996</v>
      </c>
      <c r="AY39" s="6">
        <f t="shared" si="7"/>
        <v>0</v>
      </c>
      <c r="AZ39" s="6">
        <f t="shared" si="8"/>
        <v>0</v>
      </c>
      <c r="BA39" s="6">
        <f t="shared" si="9"/>
        <v>0</v>
      </c>
      <c r="BB39" s="6">
        <f t="shared" si="21"/>
        <v>0</v>
      </c>
      <c r="BC39" s="6">
        <f t="shared" si="10"/>
        <v>0</v>
      </c>
      <c r="BD39" s="124">
        <f t="shared" si="22"/>
        <v>555.846</v>
      </c>
    </row>
    <row r="40" spans="1:56">
      <c r="A40" s="20" t="s">
        <v>229</v>
      </c>
      <c r="B40" s="121">
        <v>713.46698000000004</v>
      </c>
      <c r="C40" s="122">
        <v>213.4</v>
      </c>
      <c r="D40" s="121">
        <v>3343</v>
      </c>
      <c r="E40" s="121">
        <v>10.1</v>
      </c>
      <c r="F40" s="132">
        <v>3.9799999999999998E-5</v>
      </c>
      <c r="G40" s="121" t="s">
        <v>184</v>
      </c>
      <c r="H40" s="127">
        <f>H39</f>
        <v>77900000000</v>
      </c>
      <c r="I40" s="123" t="s">
        <v>214</v>
      </c>
      <c r="J40" s="121">
        <v>4</v>
      </c>
      <c r="K40" s="121" t="s">
        <v>108</v>
      </c>
      <c r="L40" s="127">
        <f>L39</f>
        <v>33800000000</v>
      </c>
      <c r="M40" s="121" t="s">
        <v>214</v>
      </c>
      <c r="N40" s="123">
        <f t="shared" si="27"/>
        <v>4.3099999999999996</v>
      </c>
      <c r="O40" s="121" t="s">
        <v>209</v>
      </c>
      <c r="P40" s="121">
        <f t="shared" si="29"/>
        <v>0.72314933675652548</v>
      </c>
      <c r="Q40" s="121" t="s">
        <v>13</v>
      </c>
      <c r="R40" s="123">
        <v>0.31</v>
      </c>
      <c r="S40" s="121" t="s">
        <v>4</v>
      </c>
      <c r="T40" s="123">
        <f t="shared" si="28"/>
        <v>4.3099999999999996</v>
      </c>
      <c r="U40" s="121" t="s">
        <v>211</v>
      </c>
      <c r="V40" s="6">
        <v>8</v>
      </c>
      <c r="W40" s="6">
        <v>18</v>
      </c>
      <c r="X40" s="6"/>
      <c r="Y40" s="6"/>
      <c r="Z40" s="6">
        <v>2</v>
      </c>
      <c r="AA40" s="6">
        <v>3</v>
      </c>
      <c r="AB40" s="6"/>
      <c r="AC40" s="6"/>
      <c r="AD40" s="6">
        <v>5</v>
      </c>
      <c r="AE40" s="6"/>
      <c r="AF40" s="6"/>
      <c r="AG40" s="124"/>
      <c r="AH40" s="131">
        <f t="shared" si="11"/>
        <v>10.099772816777643</v>
      </c>
      <c r="AI40" s="131">
        <f t="shared" si="12"/>
        <v>0</v>
      </c>
      <c r="AJ40" s="131">
        <f t="shared" si="13"/>
        <v>0</v>
      </c>
      <c r="AK40" s="131">
        <f t="shared" si="14"/>
        <v>14.29025915144754</v>
      </c>
      <c r="AL40" s="131">
        <f t="shared" si="15"/>
        <v>25.264848546854264</v>
      </c>
      <c r="AM40" s="131">
        <f t="shared" si="16"/>
        <v>0</v>
      </c>
      <c r="AN40" s="131">
        <f t="shared" si="17"/>
        <v>0</v>
      </c>
      <c r="AO40" s="131">
        <f t="shared" si="18"/>
        <v>50.348903536125782</v>
      </c>
      <c r="AP40" s="131">
        <f t="shared" si="19"/>
        <v>0</v>
      </c>
      <c r="AQ40" s="131">
        <f t="shared" si="20"/>
        <v>0</v>
      </c>
      <c r="AR40" s="124"/>
      <c r="AS40" s="6">
        <f t="shared" ref="AS40:AS64" si="30">V40*atwtH</f>
        <v>8.0640000000000001</v>
      </c>
      <c r="AT40" s="6">
        <f t="shared" ref="AT40:AT64" si="31">W40*atwtO</f>
        <v>288</v>
      </c>
      <c r="AU40" s="6">
        <f t="shared" ref="AU40:AU64" si="32">X40*atwtNa</f>
        <v>0</v>
      </c>
      <c r="AV40" s="6">
        <f t="shared" ref="AV40:AV64" si="33">Y40*atwtMg</f>
        <v>0</v>
      </c>
      <c r="AW40" s="6">
        <f t="shared" ref="AW40:AW64" si="34">Z40*atwtAl</f>
        <v>53.963999999999999</v>
      </c>
      <c r="AX40" s="6">
        <f t="shared" ref="AX40:AX64" si="35">AA40*atwtSi</f>
        <v>84.257999999999996</v>
      </c>
      <c r="AY40" s="6">
        <f t="shared" ref="AY40:AY64" si="36">AB40*atwtK</f>
        <v>0</v>
      </c>
      <c r="AZ40" s="6">
        <f t="shared" ref="AZ40:AZ64" si="37">AC40*atwtCa</f>
        <v>0</v>
      </c>
      <c r="BA40" s="6">
        <f t="shared" ref="BA40:BA64" si="38">AD40*atwtFe</f>
        <v>279.23500000000001</v>
      </c>
      <c r="BB40" s="6">
        <f t="shared" si="21"/>
        <v>0</v>
      </c>
      <c r="BC40" s="6">
        <f t="shared" ref="BC40:BC64" si="39">AF40*atwtC</f>
        <v>0</v>
      </c>
      <c r="BD40" s="124">
        <f t="shared" si="22"/>
        <v>713.52099999999996</v>
      </c>
    </row>
    <row r="41" spans="1:56">
      <c r="A41" s="20" t="s">
        <v>159</v>
      </c>
      <c r="B41" s="121">
        <v>4535.95</v>
      </c>
      <c r="C41" s="122">
        <v>1754</v>
      </c>
      <c r="D41" s="121">
        <v>2585</v>
      </c>
      <c r="E41" s="121">
        <v>12.3</v>
      </c>
      <c r="F41" s="132">
        <v>4.6999999999999997E-5</v>
      </c>
      <c r="G41" s="121" t="s">
        <v>184</v>
      </c>
      <c r="H41" s="127">
        <v>62900000000</v>
      </c>
      <c r="I41" s="123" t="s">
        <v>554</v>
      </c>
      <c r="J41" s="123">
        <v>6.1</v>
      </c>
      <c r="K41" s="123" t="s">
        <v>554</v>
      </c>
      <c r="L41" s="127">
        <v>38500000000</v>
      </c>
      <c r="M41" s="123" t="s">
        <v>550</v>
      </c>
      <c r="N41" s="123">
        <f t="shared" si="27"/>
        <v>6.84</v>
      </c>
      <c r="O41" s="121" t="s">
        <v>209</v>
      </c>
      <c r="P41" s="123">
        <f t="shared" si="29"/>
        <v>1.0201377848436672</v>
      </c>
      <c r="Q41" s="121" t="s">
        <v>13</v>
      </c>
      <c r="R41" s="123">
        <v>0.74</v>
      </c>
      <c r="S41" s="123" t="s">
        <v>530</v>
      </c>
      <c r="T41" s="123">
        <f t="shared" si="28"/>
        <v>6.84</v>
      </c>
      <c r="U41" s="121" t="s">
        <v>211</v>
      </c>
      <c r="V41" s="6">
        <v>62</v>
      </c>
      <c r="W41" s="6">
        <v>147</v>
      </c>
      <c r="X41" s="6"/>
      <c r="Y41" s="6">
        <v>48</v>
      </c>
      <c r="Z41" s="6"/>
      <c r="AA41" s="6">
        <v>34</v>
      </c>
      <c r="AB41" s="6"/>
      <c r="AC41" s="6"/>
      <c r="AD41" s="6"/>
      <c r="AE41" s="6"/>
      <c r="AF41" s="6"/>
      <c r="AG41" s="124"/>
      <c r="AH41" s="131">
        <f>100*V41*oxideH/$BD41</f>
        <v>12.311447236969608</v>
      </c>
      <c r="AI41" s="131">
        <f>100*X41*oxideNa/$BD41</f>
        <v>0</v>
      </c>
      <c r="AJ41" s="131">
        <f>100*Y41*oxideMg/$BD41</f>
        <v>42.654477254631196</v>
      </c>
      <c r="AK41" s="131">
        <f>100*Z41*oxideAl/$BD41</f>
        <v>0</v>
      </c>
      <c r="AL41" s="131">
        <f>100*AA41*oxideSi/$BD41</f>
        <v>45.0370734830028</v>
      </c>
      <c r="AM41" s="131">
        <f>100*AB41*oxideK/$BD41</f>
        <v>0</v>
      </c>
      <c r="AN41" s="131">
        <f>100*AC41*oxideCa/$BD41</f>
        <v>0</v>
      </c>
      <c r="AO41" s="131">
        <f>100*AD41*oxideFe/$BD41</f>
        <v>0</v>
      </c>
      <c r="AP41" s="131">
        <f t="shared" si="19"/>
        <v>0</v>
      </c>
      <c r="AQ41" s="131">
        <f>100*AF41*oxideC/$BD41</f>
        <v>0</v>
      </c>
      <c r="AR41" s="124"/>
      <c r="AS41" s="6">
        <f>V41*atwtH</f>
        <v>62.496000000000002</v>
      </c>
      <c r="AT41" s="6">
        <f>W41*atwtO</f>
        <v>2352</v>
      </c>
      <c r="AU41" s="6">
        <f>X41*atwtNa</f>
        <v>0</v>
      </c>
      <c r="AV41" s="6">
        <f>Y41*atwtMg</f>
        <v>1166.9760000000001</v>
      </c>
      <c r="AW41" s="6">
        <f>Z41*atwtAl</f>
        <v>0</v>
      </c>
      <c r="AX41" s="6">
        <f>AA41*atwtSi</f>
        <v>954.92399999999998</v>
      </c>
      <c r="AY41" s="6">
        <f>AB41*atwtK</f>
        <v>0</v>
      </c>
      <c r="AZ41" s="6">
        <f>AC41*atwtCa</f>
        <v>0</v>
      </c>
      <c r="BA41" s="6">
        <f>AD41*atwtFe</f>
        <v>0</v>
      </c>
      <c r="BB41" s="6">
        <f t="shared" si="21"/>
        <v>0</v>
      </c>
      <c r="BC41" s="6">
        <f>AF41*atwtC</f>
        <v>0</v>
      </c>
      <c r="BD41" s="124">
        <f t="shared" si="22"/>
        <v>4536.3960000000006</v>
      </c>
    </row>
    <row r="42" spans="1:56">
      <c r="A42" s="20" t="s">
        <v>142</v>
      </c>
      <c r="B42" s="121">
        <v>454.36</v>
      </c>
      <c r="C42" s="122">
        <v>135.80000000000001</v>
      </c>
      <c r="D42" s="121">
        <v>3347</v>
      </c>
      <c r="E42" s="121">
        <v>2</v>
      </c>
      <c r="F42" s="132">
        <v>6.7000000000000002E-5</v>
      </c>
      <c r="G42" s="121" t="s">
        <v>184</v>
      </c>
      <c r="H42" s="127">
        <v>122100000000</v>
      </c>
      <c r="I42" s="123" t="s">
        <v>563</v>
      </c>
      <c r="J42" s="123">
        <v>6.8</v>
      </c>
      <c r="K42" s="123" t="s">
        <v>563</v>
      </c>
      <c r="L42" s="127">
        <v>72900000000</v>
      </c>
      <c r="M42" s="123" t="s">
        <v>428</v>
      </c>
      <c r="N42" s="123">
        <f t="shared" si="27"/>
        <v>8.39</v>
      </c>
      <c r="O42" s="121" t="s">
        <v>209</v>
      </c>
      <c r="P42" s="123">
        <f t="shared" si="29"/>
        <v>0.99508599508599505</v>
      </c>
      <c r="Q42" s="121" t="s">
        <v>13</v>
      </c>
      <c r="R42" s="123">
        <v>1.59</v>
      </c>
      <c r="S42" s="123" t="s">
        <v>428</v>
      </c>
      <c r="T42" s="123">
        <f t="shared" si="28"/>
        <v>8.39</v>
      </c>
      <c r="U42" s="121" t="s">
        <v>211</v>
      </c>
      <c r="V42" s="6">
        <v>1</v>
      </c>
      <c r="W42" s="6">
        <v>13</v>
      </c>
      <c r="X42" s="6"/>
      <c r="Y42" s="6"/>
      <c r="Z42" s="6">
        <v>3</v>
      </c>
      <c r="AA42" s="6">
        <v>3</v>
      </c>
      <c r="AB42" s="6"/>
      <c r="AC42" s="6">
        <v>2</v>
      </c>
      <c r="AD42" s="6"/>
      <c r="AE42" s="6"/>
      <c r="AF42" s="6"/>
      <c r="AG42" s="124"/>
      <c r="AH42" s="131">
        <f t="shared" si="11"/>
        <v>1.9825165283072022</v>
      </c>
      <c r="AI42" s="131">
        <f t="shared" si="12"/>
        <v>0</v>
      </c>
      <c r="AJ42" s="131">
        <f t="shared" si="13"/>
        <v>0</v>
      </c>
      <c r="AK42" s="131">
        <f t="shared" si="14"/>
        <v>33.660965024253258</v>
      </c>
      <c r="AL42" s="131">
        <f t="shared" si="15"/>
        <v>39.674539804389362</v>
      </c>
      <c r="AM42" s="131">
        <f t="shared" si="16"/>
        <v>0</v>
      </c>
      <c r="AN42" s="131">
        <f t="shared" si="17"/>
        <v>24.684619650858771</v>
      </c>
      <c r="AO42" s="131">
        <f t="shared" si="18"/>
        <v>0</v>
      </c>
      <c r="AP42" s="131">
        <f t="shared" si="19"/>
        <v>0</v>
      </c>
      <c r="AQ42" s="131">
        <f t="shared" si="20"/>
        <v>0</v>
      </c>
      <c r="AR42" s="124"/>
      <c r="AS42" s="6">
        <f t="shared" si="30"/>
        <v>1.008</v>
      </c>
      <c r="AT42" s="6">
        <f t="shared" si="31"/>
        <v>208</v>
      </c>
      <c r="AU42" s="6">
        <f t="shared" si="32"/>
        <v>0</v>
      </c>
      <c r="AV42" s="6">
        <f t="shared" si="33"/>
        <v>0</v>
      </c>
      <c r="AW42" s="6">
        <f t="shared" si="34"/>
        <v>80.945999999999998</v>
      </c>
      <c r="AX42" s="6">
        <f t="shared" si="35"/>
        <v>84.257999999999996</v>
      </c>
      <c r="AY42" s="6">
        <f t="shared" si="36"/>
        <v>0</v>
      </c>
      <c r="AZ42" s="6">
        <f t="shared" si="37"/>
        <v>80.16</v>
      </c>
      <c r="BA42" s="6">
        <f t="shared" si="38"/>
        <v>0</v>
      </c>
      <c r="BB42" s="6">
        <f t="shared" si="21"/>
        <v>0</v>
      </c>
      <c r="BC42" s="6">
        <f t="shared" si="39"/>
        <v>0</v>
      </c>
      <c r="BD42" s="124">
        <f t="shared" si="22"/>
        <v>454.37199999999996</v>
      </c>
    </row>
    <row r="43" spans="1:56">
      <c r="A43" s="20" t="s">
        <v>285</v>
      </c>
      <c r="B43" s="121">
        <v>454.36</v>
      </c>
      <c r="C43" s="122">
        <v>136.30000000000001</v>
      </c>
      <c r="D43" s="121">
        <v>3333</v>
      </c>
      <c r="E43" s="121">
        <v>2</v>
      </c>
      <c r="F43" s="132">
        <v>4.6E-5</v>
      </c>
      <c r="G43" s="121" t="s">
        <v>184</v>
      </c>
      <c r="H43" s="127">
        <f>kzo</f>
        <v>122100000000</v>
      </c>
      <c r="I43" s="123" t="s">
        <v>193</v>
      </c>
      <c r="J43" s="123">
        <f>J42</f>
        <v>6.8</v>
      </c>
      <c r="K43" s="123" t="s">
        <v>193</v>
      </c>
      <c r="L43" s="127">
        <f>L42</f>
        <v>72900000000</v>
      </c>
      <c r="M43" s="123" t="s">
        <v>193</v>
      </c>
      <c r="N43" s="123">
        <f t="shared" si="27"/>
        <v>8.39</v>
      </c>
      <c r="O43" s="121" t="s">
        <v>209</v>
      </c>
      <c r="P43" s="123">
        <f t="shared" si="29"/>
        <v>0.99508599508599505</v>
      </c>
      <c r="Q43" s="121" t="s">
        <v>13</v>
      </c>
      <c r="R43" s="123">
        <f>R42</f>
        <v>1.59</v>
      </c>
      <c r="S43" s="123" t="s">
        <v>193</v>
      </c>
      <c r="T43" s="123">
        <f>T42</f>
        <v>8.39</v>
      </c>
      <c r="U43" s="123" t="s">
        <v>193</v>
      </c>
      <c r="V43" s="6">
        <v>1</v>
      </c>
      <c r="W43" s="6">
        <v>13</v>
      </c>
      <c r="X43" s="6"/>
      <c r="Y43" s="6"/>
      <c r="Z43" s="6">
        <v>3</v>
      </c>
      <c r="AA43" s="6">
        <v>3</v>
      </c>
      <c r="AB43" s="6"/>
      <c r="AC43" s="6">
        <v>2</v>
      </c>
      <c r="AD43" s="6"/>
      <c r="AE43" s="6"/>
      <c r="AF43" s="6"/>
      <c r="AG43" s="124"/>
      <c r="AH43" s="131">
        <f t="shared" si="11"/>
        <v>1.9825165283072022</v>
      </c>
      <c r="AI43" s="131">
        <f t="shared" si="12"/>
        <v>0</v>
      </c>
      <c r="AJ43" s="131">
        <f t="shared" si="13"/>
        <v>0</v>
      </c>
      <c r="AK43" s="131">
        <f t="shared" si="14"/>
        <v>33.660965024253258</v>
      </c>
      <c r="AL43" s="131">
        <f t="shared" si="15"/>
        <v>39.674539804389362</v>
      </c>
      <c r="AM43" s="131">
        <f t="shared" si="16"/>
        <v>0</v>
      </c>
      <c r="AN43" s="131">
        <f t="shared" si="17"/>
        <v>24.684619650858771</v>
      </c>
      <c r="AO43" s="131">
        <f t="shared" si="18"/>
        <v>0</v>
      </c>
      <c r="AP43" s="131">
        <f t="shared" si="19"/>
        <v>0</v>
      </c>
      <c r="AQ43" s="131">
        <f t="shared" si="20"/>
        <v>0</v>
      </c>
      <c r="AR43" s="124"/>
      <c r="AS43" s="6">
        <f t="shared" si="30"/>
        <v>1.008</v>
      </c>
      <c r="AT43" s="6">
        <f t="shared" si="31"/>
        <v>208</v>
      </c>
      <c r="AU43" s="6">
        <f t="shared" si="32"/>
        <v>0</v>
      </c>
      <c r="AV43" s="6">
        <f t="shared" si="33"/>
        <v>0</v>
      </c>
      <c r="AW43" s="6">
        <f t="shared" si="34"/>
        <v>80.945999999999998</v>
      </c>
      <c r="AX43" s="6">
        <f t="shared" si="35"/>
        <v>84.257999999999996</v>
      </c>
      <c r="AY43" s="6">
        <f t="shared" si="36"/>
        <v>0</v>
      </c>
      <c r="AZ43" s="6">
        <f t="shared" si="37"/>
        <v>80.16</v>
      </c>
      <c r="BA43" s="6">
        <f t="shared" si="38"/>
        <v>0</v>
      </c>
      <c r="BB43" s="6">
        <f t="shared" si="21"/>
        <v>0</v>
      </c>
      <c r="BC43" s="6">
        <f t="shared" si="39"/>
        <v>0</v>
      </c>
      <c r="BD43" s="124">
        <f t="shared" si="22"/>
        <v>454.37199999999996</v>
      </c>
    </row>
    <row r="44" spans="1:56">
      <c r="A44" s="20" t="s">
        <v>141</v>
      </c>
      <c r="B44" s="121">
        <v>483.22</v>
      </c>
      <c r="C44" s="122">
        <v>138.1</v>
      </c>
      <c r="D44" s="121">
        <v>3498</v>
      </c>
      <c r="E44" s="121">
        <v>1.9</v>
      </c>
      <c r="F44" s="132">
        <v>5.0500000000000001E-5</v>
      </c>
      <c r="G44" s="121" t="s">
        <v>184</v>
      </c>
      <c r="H44" s="127">
        <v>119100000000</v>
      </c>
      <c r="I44" s="123" t="s">
        <v>563</v>
      </c>
      <c r="J44" s="123">
        <v>7.3</v>
      </c>
      <c r="K44" s="123" t="s">
        <v>563</v>
      </c>
      <c r="L44" s="127">
        <v>93400000000</v>
      </c>
      <c r="M44" s="123" t="s">
        <v>476</v>
      </c>
      <c r="N44" s="123">
        <f t="shared" si="27"/>
        <v>8.48</v>
      </c>
      <c r="O44" s="121" t="s">
        <v>209</v>
      </c>
      <c r="P44" s="123">
        <f t="shared" si="29"/>
        <v>1.3070249090400223</v>
      </c>
      <c r="Q44" s="121" t="s">
        <v>13</v>
      </c>
      <c r="R44" s="123">
        <v>1.18</v>
      </c>
      <c r="S44" s="121" t="s">
        <v>4</v>
      </c>
      <c r="T44" s="123">
        <f t="shared" si="28"/>
        <v>8.48</v>
      </c>
      <c r="U44" s="121" t="s">
        <v>211</v>
      </c>
      <c r="V44" s="6">
        <v>1</v>
      </c>
      <c r="W44" s="6">
        <v>13</v>
      </c>
      <c r="X44" s="6"/>
      <c r="Y44" s="6"/>
      <c r="Z44" s="6">
        <v>2</v>
      </c>
      <c r="AA44" s="6">
        <v>3</v>
      </c>
      <c r="AB44" s="6"/>
      <c r="AC44" s="6">
        <v>2</v>
      </c>
      <c r="AD44" s="6">
        <v>1</v>
      </c>
      <c r="AE44" s="6"/>
      <c r="AF44" s="6"/>
      <c r="AG44" s="124"/>
      <c r="AH44" s="131">
        <f t="shared" si="11"/>
        <v>1.8640956714821093</v>
      </c>
      <c r="AI44" s="131">
        <f t="shared" si="12"/>
        <v>0</v>
      </c>
      <c r="AJ44" s="131">
        <f t="shared" si="13"/>
        <v>0</v>
      </c>
      <c r="AK44" s="131">
        <f t="shared" si="14"/>
        <v>21.100205489231993</v>
      </c>
      <c r="AL44" s="131">
        <f t="shared" si="15"/>
        <v>37.304676587264638</v>
      </c>
      <c r="AM44" s="131">
        <f t="shared" si="16"/>
        <v>0</v>
      </c>
      <c r="AN44" s="131">
        <f t="shared" si="17"/>
        <v>23.210143263036567</v>
      </c>
      <c r="AO44" s="131">
        <f t="shared" si="18"/>
        <v>14.868480683391379</v>
      </c>
      <c r="AP44" s="131">
        <f t="shared" si="19"/>
        <v>0</v>
      </c>
      <c r="AQ44" s="131">
        <f t="shared" si="20"/>
        <v>0</v>
      </c>
      <c r="AR44" s="124"/>
      <c r="AS44" s="6">
        <f t="shared" si="30"/>
        <v>1.008</v>
      </c>
      <c r="AT44" s="6">
        <f t="shared" si="31"/>
        <v>208</v>
      </c>
      <c r="AU44" s="6">
        <f t="shared" si="32"/>
        <v>0</v>
      </c>
      <c r="AV44" s="6">
        <f t="shared" si="33"/>
        <v>0</v>
      </c>
      <c r="AW44" s="6">
        <f t="shared" si="34"/>
        <v>53.963999999999999</v>
      </c>
      <c r="AX44" s="6">
        <f t="shared" si="35"/>
        <v>84.257999999999996</v>
      </c>
      <c r="AY44" s="6">
        <f t="shared" si="36"/>
        <v>0</v>
      </c>
      <c r="AZ44" s="6">
        <f t="shared" si="37"/>
        <v>80.16</v>
      </c>
      <c r="BA44" s="6">
        <f t="shared" si="38"/>
        <v>55.847000000000001</v>
      </c>
      <c r="BB44" s="6">
        <f t="shared" si="21"/>
        <v>0</v>
      </c>
      <c r="BC44" s="6">
        <f t="shared" si="39"/>
        <v>0</v>
      </c>
      <c r="BD44" s="124">
        <f t="shared" si="22"/>
        <v>483.23699999999997</v>
      </c>
    </row>
    <row r="45" spans="1:56">
      <c r="A45" s="20" t="s">
        <v>236</v>
      </c>
      <c r="B45" s="121">
        <v>314.24</v>
      </c>
      <c r="C45" s="122">
        <v>101.3</v>
      </c>
      <c r="D45" s="121">
        <v>3101</v>
      </c>
      <c r="E45" s="121">
        <v>11.5</v>
      </c>
      <c r="F45" s="134">
        <v>3.1600000000000002E-5</v>
      </c>
      <c r="G45" s="122" t="s">
        <v>185</v>
      </c>
      <c r="H45" s="127">
        <v>123200000000</v>
      </c>
      <c r="I45" s="123" t="s">
        <v>413</v>
      </c>
      <c r="J45" s="123">
        <v>5.5</v>
      </c>
      <c r="K45" s="123" t="s">
        <v>261</v>
      </c>
      <c r="L45" s="127">
        <v>52300000000</v>
      </c>
      <c r="M45" s="123" t="s">
        <v>413</v>
      </c>
      <c r="N45" s="123">
        <f t="shared" si="27"/>
        <v>6.42</v>
      </c>
      <c r="O45" s="121" t="s">
        <v>209</v>
      </c>
      <c r="P45" s="123">
        <f>(5*L45)/(3*H45)</f>
        <v>0.70752164502164505</v>
      </c>
      <c r="Q45" s="121" t="s">
        <v>13</v>
      </c>
      <c r="R45" s="123">
        <v>0.92</v>
      </c>
      <c r="S45" s="121" t="s">
        <v>4</v>
      </c>
      <c r="T45" s="123">
        <f t="shared" si="28"/>
        <v>6.42</v>
      </c>
      <c r="U45" s="121" t="s">
        <v>211</v>
      </c>
      <c r="V45" s="6">
        <v>4</v>
      </c>
      <c r="W45" s="6">
        <v>10</v>
      </c>
      <c r="X45" s="6"/>
      <c r="Y45" s="6"/>
      <c r="Z45" s="6">
        <v>2</v>
      </c>
      <c r="AA45" s="6">
        <v>2</v>
      </c>
      <c r="AB45" s="6"/>
      <c r="AC45" s="6">
        <v>1</v>
      </c>
      <c r="AD45" s="6"/>
      <c r="AE45" s="6"/>
      <c r="AF45" s="6"/>
      <c r="AG45" s="124"/>
      <c r="AH45" s="131">
        <f t="shared" si="11"/>
        <v>11.466103205111885</v>
      </c>
      <c r="AI45" s="131">
        <f t="shared" si="12"/>
        <v>0</v>
      </c>
      <c r="AJ45" s="131">
        <f t="shared" si="13"/>
        <v>0</v>
      </c>
      <c r="AK45" s="131">
        <f t="shared" si="14"/>
        <v>32.446984547236575</v>
      </c>
      <c r="AL45" s="131">
        <f t="shared" si="15"/>
        <v>38.243680150708997</v>
      </c>
      <c r="AM45" s="131">
        <f t="shared" si="16"/>
        <v>0</v>
      </c>
      <c r="AN45" s="131">
        <f t="shared" si="17"/>
        <v>17.8457778569792</v>
      </c>
      <c r="AO45" s="131">
        <f t="shared" si="18"/>
        <v>0</v>
      </c>
      <c r="AP45" s="131">
        <f t="shared" si="19"/>
        <v>0</v>
      </c>
      <c r="AQ45" s="131">
        <f t="shared" si="20"/>
        <v>0</v>
      </c>
      <c r="AR45" s="124"/>
      <c r="AS45" s="6">
        <f t="shared" si="30"/>
        <v>4.032</v>
      </c>
      <c r="AT45" s="6">
        <f t="shared" si="31"/>
        <v>160</v>
      </c>
      <c r="AU45" s="6">
        <f t="shared" si="32"/>
        <v>0</v>
      </c>
      <c r="AV45" s="6">
        <f t="shared" si="33"/>
        <v>0</v>
      </c>
      <c r="AW45" s="6">
        <f t="shared" si="34"/>
        <v>53.963999999999999</v>
      </c>
      <c r="AX45" s="6">
        <f t="shared" si="35"/>
        <v>56.171999999999997</v>
      </c>
      <c r="AY45" s="6">
        <f t="shared" si="36"/>
        <v>0</v>
      </c>
      <c r="AZ45" s="6">
        <f t="shared" si="37"/>
        <v>40.08</v>
      </c>
      <c r="BA45" s="6">
        <f t="shared" si="38"/>
        <v>0</v>
      </c>
      <c r="BB45" s="6">
        <f t="shared" si="21"/>
        <v>0</v>
      </c>
      <c r="BC45" s="6">
        <f t="shared" si="39"/>
        <v>0</v>
      </c>
      <c r="BD45" s="124">
        <f t="shared" si="22"/>
        <v>314.24799999999999</v>
      </c>
    </row>
    <row r="46" spans="1:56">
      <c r="A46" s="20" t="s">
        <v>283</v>
      </c>
      <c r="B46" s="121">
        <v>412.39100000000002</v>
      </c>
      <c r="C46" s="122">
        <v>140.30000000000001</v>
      </c>
      <c r="D46" s="121">
        <v>2940</v>
      </c>
      <c r="E46" s="121">
        <v>4.4000000000000004</v>
      </c>
      <c r="F46" s="134">
        <v>5.1E-5</v>
      </c>
      <c r="G46" s="122" t="s">
        <v>184</v>
      </c>
      <c r="H46" s="128">
        <v>83500000000</v>
      </c>
      <c r="I46" s="121" t="s">
        <v>191</v>
      </c>
      <c r="J46" s="121">
        <v>4</v>
      </c>
      <c r="K46" s="121" t="s">
        <v>108</v>
      </c>
      <c r="L46" s="128">
        <f>L36*(H46/H36)</f>
        <v>51730639730.639732</v>
      </c>
      <c r="M46" s="121" t="s">
        <v>111</v>
      </c>
      <c r="N46" s="123">
        <f t="shared" si="27"/>
        <v>4.83</v>
      </c>
      <c r="O46" s="121" t="s">
        <v>209</v>
      </c>
      <c r="P46" s="121">
        <f t="shared" si="29"/>
        <v>1.0325476992143658</v>
      </c>
      <c r="Q46" s="121" t="s">
        <v>13</v>
      </c>
      <c r="R46" s="123">
        <v>0.83</v>
      </c>
      <c r="S46" s="121" t="s">
        <v>4</v>
      </c>
      <c r="T46" s="123">
        <f t="shared" si="28"/>
        <v>4.83</v>
      </c>
      <c r="U46" s="121" t="s">
        <v>211</v>
      </c>
      <c r="V46" s="6">
        <v>2</v>
      </c>
      <c r="W46" s="6">
        <v>12</v>
      </c>
      <c r="X46" s="6"/>
      <c r="Y46" s="6"/>
      <c r="Z46" s="6">
        <v>2</v>
      </c>
      <c r="AA46" s="6">
        <v>3</v>
      </c>
      <c r="AB46" s="6"/>
      <c r="AC46" s="6">
        <v>2</v>
      </c>
      <c r="AD46" s="6"/>
      <c r="AE46" s="6"/>
      <c r="AF46" s="6"/>
      <c r="AG46" s="124"/>
      <c r="AH46" s="131">
        <f t="shared" si="11"/>
        <v>4.3685953860106013</v>
      </c>
      <c r="AI46" s="131">
        <f t="shared" si="12"/>
        <v>0</v>
      </c>
      <c r="AJ46" s="131">
        <f t="shared" si="13"/>
        <v>0</v>
      </c>
      <c r="AK46" s="131">
        <f t="shared" si="14"/>
        <v>24.72465918845387</v>
      </c>
      <c r="AL46" s="131">
        <f t="shared" si="15"/>
        <v>43.71262712234298</v>
      </c>
      <c r="AM46" s="131">
        <f t="shared" si="16"/>
        <v>0</v>
      </c>
      <c r="AN46" s="131">
        <f t="shared" si="17"/>
        <v>27.197028113618398</v>
      </c>
      <c r="AO46" s="131">
        <f t="shared" si="18"/>
        <v>0</v>
      </c>
      <c r="AP46" s="131">
        <f t="shared" si="19"/>
        <v>0</v>
      </c>
      <c r="AQ46" s="131">
        <f t="shared" si="20"/>
        <v>0</v>
      </c>
      <c r="AR46" s="124"/>
      <c r="AS46" s="6">
        <f t="shared" si="30"/>
        <v>2.016</v>
      </c>
      <c r="AT46" s="6">
        <f t="shared" si="31"/>
        <v>192</v>
      </c>
      <c r="AU46" s="6">
        <f t="shared" si="32"/>
        <v>0</v>
      </c>
      <c r="AV46" s="6">
        <f t="shared" si="33"/>
        <v>0</v>
      </c>
      <c r="AW46" s="6">
        <f t="shared" si="34"/>
        <v>53.963999999999999</v>
      </c>
      <c r="AX46" s="6">
        <f t="shared" si="35"/>
        <v>84.257999999999996</v>
      </c>
      <c r="AY46" s="6">
        <f t="shared" si="36"/>
        <v>0</v>
      </c>
      <c r="AZ46" s="6">
        <f t="shared" si="37"/>
        <v>80.16</v>
      </c>
      <c r="BA46" s="6">
        <f t="shared" si="38"/>
        <v>0</v>
      </c>
      <c r="BB46" s="6">
        <f t="shared" si="21"/>
        <v>0</v>
      </c>
      <c r="BC46" s="6">
        <f t="shared" si="39"/>
        <v>0</v>
      </c>
      <c r="BD46" s="124">
        <f t="shared" si="22"/>
        <v>412.39800000000002</v>
      </c>
    </row>
    <row r="47" spans="1:56">
      <c r="A47" s="20" t="s">
        <v>284</v>
      </c>
      <c r="B47" s="121">
        <v>943</v>
      </c>
      <c r="C47" s="122">
        <v>295.5</v>
      </c>
      <c r="D47" s="121">
        <v>3191</v>
      </c>
      <c r="E47" s="121">
        <v>6.7</v>
      </c>
      <c r="F47" s="134">
        <v>5.0000000000000002E-5</v>
      </c>
      <c r="G47" s="122" t="s">
        <v>184</v>
      </c>
      <c r="H47" s="128">
        <v>161500000000</v>
      </c>
      <c r="I47" s="121" t="s">
        <v>191</v>
      </c>
      <c r="J47" s="121">
        <v>4</v>
      </c>
      <c r="K47" s="121" t="s">
        <v>108</v>
      </c>
      <c r="L47" s="127">
        <f>L43*H47/H43</f>
        <v>96423832923.832932</v>
      </c>
      <c r="M47" s="123" t="s">
        <v>472</v>
      </c>
      <c r="N47" s="123">
        <f t="shared" si="27"/>
        <v>5.39</v>
      </c>
      <c r="O47" s="121" t="s">
        <v>209</v>
      </c>
      <c r="P47" s="123">
        <f t="shared" si="29"/>
        <v>0.99508599508599516</v>
      </c>
      <c r="Q47" s="121" t="s">
        <v>13</v>
      </c>
      <c r="R47" s="123">
        <v>1.39</v>
      </c>
      <c r="S47" s="121" t="s">
        <v>4</v>
      </c>
      <c r="T47" s="123">
        <f t="shared" si="28"/>
        <v>5.39</v>
      </c>
      <c r="U47" s="121" t="s">
        <v>211</v>
      </c>
      <c r="V47" s="6">
        <v>7</v>
      </c>
      <c r="W47" s="6">
        <v>28</v>
      </c>
      <c r="X47" s="6"/>
      <c r="Y47" s="6">
        <v>1</v>
      </c>
      <c r="Z47" s="6">
        <v>5</v>
      </c>
      <c r="AA47" s="6">
        <v>6</v>
      </c>
      <c r="AB47" s="6"/>
      <c r="AC47" s="6">
        <v>4</v>
      </c>
      <c r="AD47" s="6"/>
      <c r="AE47" s="6"/>
      <c r="AF47" s="6"/>
      <c r="AG47" s="124"/>
      <c r="AH47" s="131">
        <f t="shared" si="11"/>
        <v>6.68593616466302</v>
      </c>
      <c r="AI47" s="131">
        <f t="shared" si="12"/>
        <v>0</v>
      </c>
      <c r="AJ47" s="131">
        <f t="shared" si="13"/>
        <v>4.2743507147598274</v>
      </c>
      <c r="AK47" s="131">
        <f t="shared" si="14"/>
        <v>27.02854585977941</v>
      </c>
      <c r="AL47" s="131">
        <f t="shared" si="15"/>
        <v>38.228676490859002</v>
      </c>
      <c r="AM47" s="131">
        <f t="shared" si="16"/>
        <v>0</v>
      </c>
      <c r="AN47" s="131">
        <f t="shared" si="17"/>
        <v>23.785035531229521</v>
      </c>
      <c r="AO47" s="131">
        <f t="shared" si="18"/>
        <v>0</v>
      </c>
      <c r="AP47" s="131">
        <f t="shared" si="19"/>
        <v>0</v>
      </c>
      <c r="AQ47" s="131">
        <f t="shared" si="20"/>
        <v>0</v>
      </c>
      <c r="AR47" s="124"/>
      <c r="AS47" s="6">
        <f t="shared" si="30"/>
        <v>7.056</v>
      </c>
      <c r="AT47" s="6">
        <f t="shared" si="31"/>
        <v>448</v>
      </c>
      <c r="AU47" s="6">
        <f t="shared" si="32"/>
        <v>0</v>
      </c>
      <c r="AV47" s="6">
        <f t="shared" si="33"/>
        <v>24.312000000000001</v>
      </c>
      <c r="AW47" s="6">
        <f t="shared" si="34"/>
        <v>134.91</v>
      </c>
      <c r="AX47" s="6">
        <f t="shared" si="35"/>
        <v>168.51599999999999</v>
      </c>
      <c r="AY47" s="6">
        <f t="shared" si="36"/>
        <v>0</v>
      </c>
      <c r="AZ47" s="6">
        <f t="shared" si="37"/>
        <v>160.32</v>
      </c>
      <c r="BA47" s="6">
        <f t="shared" si="38"/>
        <v>0</v>
      </c>
      <c r="BB47" s="6">
        <f t="shared" si="21"/>
        <v>0</v>
      </c>
      <c r="BC47" s="6">
        <f t="shared" si="39"/>
        <v>0</v>
      </c>
      <c r="BD47" s="124">
        <f t="shared" si="22"/>
        <v>943.11400000000003</v>
      </c>
    </row>
    <row r="48" spans="1:56">
      <c r="A48" s="20" t="s">
        <v>288</v>
      </c>
      <c r="B48" s="121">
        <v>470.44</v>
      </c>
      <c r="C48" s="122">
        <v>203.7</v>
      </c>
      <c r="D48" s="121">
        <v>2309</v>
      </c>
      <c r="E48" s="121">
        <v>15.3</v>
      </c>
      <c r="F48" s="134">
        <v>2.3799999999999999E-5</v>
      </c>
      <c r="G48" s="122" t="s">
        <v>184</v>
      </c>
      <c r="H48" s="127">
        <f>H49</f>
        <v>39000000000</v>
      </c>
      <c r="I48" s="123" t="s">
        <v>516</v>
      </c>
      <c r="J48" s="123">
        <f>J49</f>
        <v>4</v>
      </c>
      <c r="K48" s="123" t="s">
        <v>516</v>
      </c>
      <c r="L48" s="127">
        <f>L49</f>
        <v>23376623376.623375</v>
      </c>
      <c r="M48" s="123" t="s">
        <v>516</v>
      </c>
      <c r="N48" s="123">
        <f>N49</f>
        <v>4.54</v>
      </c>
      <c r="O48" s="123" t="s">
        <v>516</v>
      </c>
      <c r="P48" s="123">
        <f>P49</f>
        <v>0.99900099900099903</v>
      </c>
      <c r="Q48" s="123" t="s">
        <v>516</v>
      </c>
      <c r="R48" s="123">
        <f>R49</f>
        <v>0.54</v>
      </c>
      <c r="S48" s="123" t="s">
        <v>516</v>
      </c>
      <c r="T48" s="123">
        <f>T49</f>
        <v>4.54</v>
      </c>
      <c r="U48" s="123" t="s">
        <v>516</v>
      </c>
      <c r="V48" s="6">
        <v>8</v>
      </c>
      <c r="W48" s="6">
        <v>16</v>
      </c>
      <c r="X48" s="6"/>
      <c r="Y48" s="6"/>
      <c r="Z48" s="6">
        <v>2</v>
      </c>
      <c r="AA48" s="6">
        <v>4</v>
      </c>
      <c r="AB48" s="6"/>
      <c r="AC48" s="6">
        <v>1</v>
      </c>
      <c r="AD48" s="6"/>
      <c r="AE48" s="6"/>
      <c r="AF48" s="6"/>
      <c r="AG48" s="124"/>
      <c r="AH48" s="131">
        <f t="shared" si="11"/>
        <v>15.318034571008306</v>
      </c>
      <c r="AI48" s="131">
        <f t="shared" si="12"/>
        <v>0</v>
      </c>
      <c r="AJ48" s="131">
        <f t="shared" si="13"/>
        <v>0</v>
      </c>
      <c r="AK48" s="131">
        <f t="shared" si="14"/>
        <v>21.67362451429689</v>
      </c>
      <c r="AL48" s="131">
        <f t="shared" si="15"/>
        <v>51.091290928723865</v>
      </c>
      <c r="AM48" s="131">
        <f t="shared" si="16"/>
        <v>0</v>
      </c>
      <c r="AN48" s="131">
        <f t="shared" si="17"/>
        <v>11.920450970555976</v>
      </c>
      <c r="AO48" s="131">
        <f t="shared" si="18"/>
        <v>0</v>
      </c>
      <c r="AP48" s="131">
        <f t="shared" si="19"/>
        <v>0</v>
      </c>
      <c r="AQ48" s="131">
        <f t="shared" si="20"/>
        <v>0</v>
      </c>
      <c r="AR48" s="124"/>
      <c r="AS48" s="6">
        <f t="shared" si="30"/>
        <v>8.0640000000000001</v>
      </c>
      <c r="AT48" s="6">
        <f t="shared" si="31"/>
        <v>256</v>
      </c>
      <c r="AU48" s="6">
        <f t="shared" si="32"/>
        <v>0</v>
      </c>
      <c r="AV48" s="6">
        <f t="shared" si="33"/>
        <v>0</v>
      </c>
      <c r="AW48" s="6">
        <f t="shared" si="34"/>
        <v>53.963999999999999</v>
      </c>
      <c r="AX48" s="6">
        <f t="shared" si="35"/>
        <v>112.34399999999999</v>
      </c>
      <c r="AY48" s="6">
        <f t="shared" si="36"/>
        <v>0</v>
      </c>
      <c r="AZ48" s="6">
        <f t="shared" si="37"/>
        <v>40.08</v>
      </c>
      <c r="BA48" s="6">
        <f t="shared" si="38"/>
        <v>0</v>
      </c>
      <c r="BB48" s="6">
        <f t="shared" si="21"/>
        <v>0</v>
      </c>
      <c r="BC48" s="6">
        <f t="shared" si="39"/>
        <v>0</v>
      </c>
      <c r="BD48" s="124">
        <f t="shared" si="22"/>
        <v>470.452</v>
      </c>
    </row>
    <row r="49" spans="1:61">
      <c r="A49" s="20" t="s">
        <v>289</v>
      </c>
      <c r="B49" s="121">
        <v>434.44</v>
      </c>
      <c r="C49" s="122">
        <v>190.4</v>
      </c>
      <c r="D49" s="121">
        <v>2281</v>
      </c>
      <c r="E49" s="121">
        <v>8.3000000000000007</v>
      </c>
      <c r="F49" s="134">
        <v>2.3799999999999999E-5</v>
      </c>
      <c r="G49" s="122" t="s">
        <v>184</v>
      </c>
      <c r="H49" s="127">
        <v>39000000000</v>
      </c>
      <c r="I49" s="123" t="s">
        <v>490</v>
      </c>
      <c r="J49" s="123">
        <v>4</v>
      </c>
      <c r="K49" s="123" t="s">
        <v>490</v>
      </c>
      <c r="L49" s="127">
        <f>L9*(H49/H9)</f>
        <v>23376623376.623375</v>
      </c>
      <c r="M49" s="123" t="s">
        <v>513</v>
      </c>
      <c r="N49" s="123">
        <f t="shared" ref="N49:N54" si="40">T49</f>
        <v>4.54</v>
      </c>
      <c r="O49" s="121" t="s">
        <v>209</v>
      </c>
      <c r="P49" s="121">
        <f t="shared" si="29"/>
        <v>0.99900099900099903</v>
      </c>
      <c r="Q49" s="121" t="s">
        <v>13</v>
      </c>
      <c r="R49" s="123">
        <v>0.54</v>
      </c>
      <c r="S49" s="121" t="s">
        <v>4</v>
      </c>
      <c r="T49" s="123">
        <f t="shared" si="28"/>
        <v>4.54</v>
      </c>
      <c r="U49" s="121" t="s">
        <v>211</v>
      </c>
      <c r="V49" s="6">
        <v>4</v>
      </c>
      <c r="W49" s="6">
        <v>14</v>
      </c>
      <c r="X49" s="6"/>
      <c r="Y49" s="6"/>
      <c r="Z49" s="6">
        <v>2</v>
      </c>
      <c r="AA49" s="6">
        <v>4</v>
      </c>
      <c r="AB49" s="6"/>
      <c r="AC49" s="6">
        <v>1</v>
      </c>
      <c r="AD49" s="6"/>
      <c r="AE49" s="6"/>
      <c r="AF49" s="6"/>
      <c r="AG49" s="124"/>
      <c r="AH49" s="131">
        <f t="shared" si="11"/>
        <v>8.2942774273744302</v>
      </c>
      <c r="AI49" s="131">
        <f t="shared" si="12"/>
        <v>0</v>
      </c>
      <c r="AJ49" s="131">
        <f t="shared" si="13"/>
        <v>0</v>
      </c>
      <c r="AK49" s="131">
        <f t="shared" si="14"/>
        <v>23.471295060080109</v>
      </c>
      <c r="AL49" s="131">
        <f t="shared" si="15"/>
        <v>55.328944339579216</v>
      </c>
      <c r="AM49" s="131">
        <f t="shared" si="16"/>
        <v>0</v>
      </c>
      <c r="AN49" s="131">
        <f t="shared" si="17"/>
        <v>12.909166244648038</v>
      </c>
      <c r="AO49" s="131">
        <f t="shared" si="18"/>
        <v>0</v>
      </c>
      <c r="AP49" s="131">
        <f t="shared" si="19"/>
        <v>0</v>
      </c>
      <c r="AQ49" s="131">
        <f t="shared" si="20"/>
        <v>0</v>
      </c>
      <c r="AR49" s="124"/>
      <c r="AS49" s="6">
        <f t="shared" si="30"/>
        <v>4.032</v>
      </c>
      <c r="AT49" s="6">
        <f t="shared" si="31"/>
        <v>224</v>
      </c>
      <c r="AU49" s="6">
        <f t="shared" si="32"/>
        <v>0</v>
      </c>
      <c r="AV49" s="6">
        <f t="shared" si="33"/>
        <v>0</v>
      </c>
      <c r="AW49" s="6">
        <f t="shared" si="34"/>
        <v>53.963999999999999</v>
      </c>
      <c r="AX49" s="6">
        <f t="shared" si="35"/>
        <v>112.34399999999999</v>
      </c>
      <c r="AY49" s="6">
        <f t="shared" si="36"/>
        <v>0</v>
      </c>
      <c r="AZ49" s="6">
        <f t="shared" si="37"/>
        <v>40.08</v>
      </c>
      <c r="BA49" s="6">
        <f t="shared" si="38"/>
        <v>0</v>
      </c>
      <c r="BB49" s="6">
        <f t="shared" si="21"/>
        <v>0</v>
      </c>
      <c r="BC49" s="6">
        <f t="shared" si="39"/>
        <v>0</v>
      </c>
      <c r="BD49" s="124">
        <f t="shared" si="22"/>
        <v>434.41999999999996</v>
      </c>
    </row>
    <row r="50" spans="1:61">
      <c r="A50" s="20" t="s">
        <v>160</v>
      </c>
      <c r="B50" s="121">
        <v>58.32</v>
      </c>
      <c r="C50" s="122">
        <v>24.63</v>
      </c>
      <c r="D50" s="121">
        <v>2380</v>
      </c>
      <c r="E50" s="121">
        <v>30.9</v>
      </c>
      <c r="F50" s="134">
        <v>1.2999999999999999E-4</v>
      </c>
      <c r="G50" s="122" t="s">
        <v>186</v>
      </c>
      <c r="H50" s="127">
        <v>43200000000</v>
      </c>
      <c r="I50" s="123" t="s">
        <v>427</v>
      </c>
      <c r="J50" s="123">
        <v>6.8</v>
      </c>
      <c r="K50" s="123" t="s">
        <v>427</v>
      </c>
      <c r="L50" s="127">
        <v>35200000000</v>
      </c>
      <c r="M50" s="123" t="s">
        <v>427</v>
      </c>
      <c r="N50" s="123">
        <f t="shared" si="40"/>
        <v>4.5</v>
      </c>
      <c r="O50" s="121" t="s">
        <v>209</v>
      </c>
      <c r="P50" s="123">
        <v>3.4</v>
      </c>
      <c r="Q50" s="123" t="s">
        <v>427</v>
      </c>
      <c r="R50" s="123">
        <v>0.57999999999999996</v>
      </c>
      <c r="S50" s="123" t="s">
        <v>427</v>
      </c>
      <c r="T50" s="123">
        <v>4.5</v>
      </c>
      <c r="U50" s="121" t="s">
        <v>212</v>
      </c>
      <c r="V50" s="6">
        <v>2</v>
      </c>
      <c r="W50" s="6">
        <v>2</v>
      </c>
      <c r="X50" s="6"/>
      <c r="Y50" s="6">
        <v>1</v>
      </c>
      <c r="Z50" s="6"/>
      <c r="AA50" s="6"/>
      <c r="AB50" s="6"/>
      <c r="AC50" s="6"/>
      <c r="AD50" s="6"/>
      <c r="AE50" s="6"/>
      <c r="AF50" s="6"/>
      <c r="AG50" s="124"/>
      <c r="AH50" s="131">
        <f t="shared" si="11"/>
        <v>30.887395419009735</v>
      </c>
      <c r="AI50" s="131">
        <f t="shared" si="12"/>
        <v>0</v>
      </c>
      <c r="AJ50" s="131">
        <f t="shared" si="13"/>
        <v>69.112604580990251</v>
      </c>
      <c r="AK50" s="131">
        <f t="shared" si="14"/>
        <v>0</v>
      </c>
      <c r="AL50" s="131">
        <f t="shared" si="15"/>
        <v>0</v>
      </c>
      <c r="AM50" s="131">
        <f t="shared" si="16"/>
        <v>0</v>
      </c>
      <c r="AN50" s="131">
        <f t="shared" si="17"/>
        <v>0</v>
      </c>
      <c r="AO50" s="131">
        <f t="shared" si="18"/>
        <v>0</v>
      </c>
      <c r="AP50" s="131">
        <f t="shared" si="19"/>
        <v>0</v>
      </c>
      <c r="AQ50" s="131">
        <f t="shared" si="20"/>
        <v>0</v>
      </c>
      <c r="AR50" s="124"/>
      <c r="AS50" s="6">
        <f t="shared" si="30"/>
        <v>2.016</v>
      </c>
      <c r="AT50" s="6">
        <f t="shared" si="31"/>
        <v>32</v>
      </c>
      <c r="AU50" s="6">
        <f t="shared" si="32"/>
        <v>0</v>
      </c>
      <c r="AV50" s="6">
        <f t="shared" si="33"/>
        <v>24.312000000000001</v>
      </c>
      <c r="AW50" s="6">
        <f t="shared" si="34"/>
        <v>0</v>
      </c>
      <c r="AX50" s="6">
        <f t="shared" si="35"/>
        <v>0</v>
      </c>
      <c r="AY50" s="6">
        <f t="shared" si="36"/>
        <v>0</v>
      </c>
      <c r="AZ50" s="6">
        <f t="shared" si="37"/>
        <v>0</v>
      </c>
      <c r="BA50" s="6">
        <f t="shared" si="38"/>
        <v>0</v>
      </c>
      <c r="BB50" s="6">
        <f t="shared" si="21"/>
        <v>0</v>
      </c>
      <c r="BC50" s="6">
        <f t="shared" si="39"/>
        <v>0</v>
      </c>
      <c r="BD50" s="124">
        <f t="shared" si="22"/>
        <v>58.328000000000003</v>
      </c>
    </row>
    <row r="51" spans="1:61">
      <c r="A51" s="20" t="s">
        <v>139</v>
      </c>
      <c r="B51" s="121">
        <v>621.09</v>
      </c>
      <c r="C51" s="122">
        <v>197.4</v>
      </c>
      <c r="D51" s="121">
        <v>3146</v>
      </c>
      <c r="E51" s="121">
        <v>2.9</v>
      </c>
      <c r="F51" s="134">
        <v>5.0000000000000002E-5</v>
      </c>
      <c r="G51" s="122" t="s">
        <v>184</v>
      </c>
      <c r="H51" s="127">
        <f>125000000000/(1+F51*0.42*R51*298)</f>
        <v>124199442684.31203</v>
      </c>
      <c r="I51" s="123" t="s">
        <v>541</v>
      </c>
      <c r="J51" s="121">
        <v>4</v>
      </c>
      <c r="K51" s="121" t="s">
        <v>108</v>
      </c>
      <c r="L51" s="127">
        <v>73200000000</v>
      </c>
      <c r="M51" s="123" t="s">
        <v>541</v>
      </c>
      <c r="N51" s="123">
        <f t="shared" si="40"/>
        <v>5.03</v>
      </c>
      <c r="O51" s="121" t="s">
        <v>209</v>
      </c>
      <c r="P51" s="121">
        <f t="shared" si="29"/>
        <v>0.98229104223999997</v>
      </c>
      <c r="Q51" s="121" t="s">
        <v>13</v>
      </c>
      <c r="R51" s="123">
        <v>1.03</v>
      </c>
      <c r="S51" s="121" t="s">
        <v>4</v>
      </c>
      <c r="T51" s="123">
        <f>R51+J51</f>
        <v>5.03</v>
      </c>
      <c r="U51" s="121" t="s">
        <v>211</v>
      </c>
      <c r="V51" s="6">
        <v>2</v>
      </c>
      <c r="W51" s="6">
        <v>18</v>
      </c>
      <c r="X51" s="6"/>
      <c r="Y51" s="6">
        <v>9</v>
      </c>
      <c r="Z51" s="6"/>
      <c r="AA51" s="6">
        <v>4</v>
      </c>
      <c r="AB51" s="6"/>
      <c r="AC51" s="6"/>
      <c r="AD51" s="6"/>
      <c r="AE51" s="6"/>
      <c r="AF51" s="6"/>
      <c r="AG51" s="124"/>
      <c r="AH51" s="131">
        <f t="shared" si="11"/>
        <v>2.9003425804291263</v>
      </c>
      <c r="AI51" s="131">
        <f t="shared" si="12"/>
        <v>0</v>
      </c>
      <c r="AJ51" s="131">
        <f t="shared" si="13"/>
        <v>58.407387373464168</v>
      </c>
      <c r="AK51" s="131">
        <f t="shared" si="14"/>
        <v>0</v>
      </c>
      <c r="AL51" s="131">
        <f t="shared" si="15"/>
        <v>38.694845838806884</v>
      </c>
      <c r="AM51" s="131">
        <f t="shared" si="16"/>
        <v>0</v>
      </c>
      <c r="AN51" s="131">
        <f t="shared" si="17"/>
        <v>0</v>
      </c>
      <c r="AO51" s="131">
        <f t="shared" si="18"/>
        <v>0</v>
      </c>
      <c r="AP51" s="131">
        <f t="shared" si="19"/>
        <v>0</v>
      </c>
      <c r="AQ51" s="131">
        <f t="shared" si="20"/>
        <v>0</v>
      </c>
      <c r="AR51" s="124"/>
      <c r="AS51" s="6">
        <f t="shared" si="30"/>
        <v>2.016</v>
      </c>
      <c r="AT51" s="6">
        <f t="shared" si="31"/>
        <v>288</v>
      </c>
      <c r="AU51" s="6">
        <f t="shared" si="32"/>
        <v>0</v>
      </c>
      <c r="AV51" s="6">
        <f t="shared" si="33"/>
        <v>218.80800000000002</v>
      </c>
      <c r="AW51" s="6">
        <f t="shared" si="34"/>
        <v>0</v>
      </c>
      <c r="AX51" s="6">
        <f t="shared" si="35"/>
        <v>112.34399999999999</v>
      </c>
      <c r="AY51" s="6">
        <f t="shared" si="36"/>
        <v>0</v>
      </c>
      <c r="AZ51" s="6">
        <f t="shared" si="37"/>
        <v>0</v>
      </c>
      <c r="BA51" s="6">
        <f t="shared" si="38"/>
        <v>0</v>
      </c>
      <c r="BB51" s="6">
        <f t="shared" si="21"/>
        <v>0</v>
      </c>
      <c r="BC51" s="6">
        <f t="shared" si="39"/>
        <v>0</v>
      </c>
      <c r="BD51" s="124">
        <f t="shared" si="22"/>
        <v>621.16800000000012</v>
      </c>
    </row>
    <row r="52" spans="1:61">
      <c r="A52" s="20" t="s">
        <v>290</v>
      </c>
      <c r="B52" s="121">
        <v>456.34500000000003</v>
      </c>
      <c r="C52" s="122">
        <v>154.4</v>
      </c>
      <c r="D52" s="121">
        <v>2955</v>
      </c>
      <c r="E52" s="121">
        <v>11.8</v>
      </c>
      <c r="F52" s="134">
        <v>8.2600000000000002E-5</v>
      </c>
      <c r="G52" s="122" t="s">
        <v>186</v>
      </c>
      <c r="H52" s="127">
        <f>106000000000/(1+F52*0.42*R52*298)</f>
        <v>103852696777.07225</v>
      </c>
      <c r="I52" s="123" t="s">
        <v>417</v>
      </c>
      <c r="J52" s="123">
        <v>5.8</v>
      </c>
      <c r="K52" s="123" t="s">
        <v>417</v>
      </c>
      <c r="L52" s="127">
        <v>61000000000</v>
      </c>
      <c r="M52" s="123" t="s">
        <v>417</v>
      </c>
      <c r="N52" s="123">
        <f t="shared" si="40"/>
        <v>7.8</v>
      </c>
      <c r="O52" s="121" t="s">
        <v>209</v>
      </c>
      <c r="P52" s="123">
        <v>1.8</v>
      </c>
      <c r="Q52" s="123" t="s">
        <v>417</v>
      </c>
      <c r="R52" s="123">
        <v>2</v>
      </c>
      <c r="S52" s="121" t="s">
        <v>4</v>
      </c>
      <c r="T52" s="123">
        <f>R52+J52</f>
        <v>7.8</v>
      </c>
      <c r="U52" s="121" t="s">
        <v>211</v>
      </c>
      <c r="V52" s="6">
        <v>6</v>
      </c>
      <c r="W52" s="6">
        <v>14</v>
      </c>
      <c r="X52" s="6"/>
      <c r="Y52" s="6">
        <v>7</v>
      </c>
      <c r="Z52" s="6"/>
      <c r="AA52" s="6">
        <v>2</v>
      </c>
      <c r="AB52" s="6"/>
      <c r="AC52" s="6"/>
      <c r="AD52" s="6"/>
      <c r="AE52" s="6"/>
      <c r="AF52" s="6"/>
      <c r="AG52" s="124"/>
      <c r="AH52" s="131">
        <f t="shared" si="11"/>
        <v>11.842139858546375</v>
      </c>
      <c r="AI52" s="131">
        <f t="shared" si="12"/>
        <v>0</v>
      </c>
      <c r="AJ52" s="131">
        <f t="shared" si="13"/>
        <v>61.827678986161381</v>
      </c>
      <c r="AK52" s="131">
        <f t="shared" si="14"/>
        <v>0</v>
      </c>
      <c r="AL52" s="131">
        <f t="shared" si="15"/>
        <v>26.331933988308602</v>
      </c>
      <c r="AM52" s="131">
        <f t="shared" si="16"/>
        <v>0</v>
      </c>
      <c r="AN52" s="131">
        <f t="shared" si="17"/>
        <v>0</v>
      </c>
      <c r="AO52" s="131">
        <f t="shared" si="18"/>
        <v>0</v>
      </c>
      <c r="AP52" s="131">
        <f t="shared" si="19"/>
        <v>0</v>
      </c>
      <c r="AQ52" s="131">
        <f t="shared" si="20"/>
        <v>0</v>
      </c>
      <c r="AR52" s="124"/>
      <c r="AS52" s="6">
        <f t="shared" si="30"/>
        <v>6.048</v>
      </c>
      <c r="AT52" s="6">
        <f t="shared" si="31"/>
        <v>224</v>
      </c>
      <c r="AU52" s="6">
        <f t="shared" si="32"/>
        <v>0</v>
      </c>
      <c r="AV52" s="6">
        <f t="shared" si="33"/>
        <v>170.184</v>
      </c>
      <c r="AW52" s="6">
        <f t="shared" si="34"/>
        <v>0</v>
      </c>
      <c r="AX52" s="6">
        <f t="shared" si="35"/>
        <v>56.171999999999997</v>
      </c>
      <c r="AY52" s="6">
        <f t="shared" si="36"/>
        <v>0</v>
      </c>
      <c r="AZ52" s="6">
        <f t="shared" si="37"/>
        <v>0</v>
      </c>
      <c r="BA52" s="6">
        <f t="shared" si="38"/>
        <v>0</v>
      </c>
      <c r="BB52" s="6">
        <f t="shared" si="21"/>
        <v>0</v>
      </c>
      <c r="BC52" s="6">
        <f t="shared" si="39"/>
        <v>0</v>
      </c>
      <c r="BD52" s="124">
        <f t="shared" si="22"/>
        <v>456.404</v>
      </c>
    </row>
    <row r="53" spans="1:61">
      <c r="A53" s="20" t="s">
        <v>291</v>
      </c>
      <c r="B53" s="121">
        <v>162.006</v>
      </c>
      <c r="C53" s="122">
        <v>49.9</v>
      </c>
      <c r="D53" s="121">
        <v>3249</v>
      </c>
      <c r="E53" s="121">
        <v>0</v>
      </c>
      <c r="F53" s="134">
        <v>2.2099999999999998E-5</v>
      </c>
      <c r="G53" s="122" t="s">
        <v>184</v>
      </c>
      <c r="H53" s="128">
        <f>170800000000/(1+F53*0.42*R53*298)</f>
        <v>170559395551.60068</v>
      </c>
      <c r="I53" s="123" t="s">
        <v>510</v>
      </c>
      <c r="J53" s="121">
        <v>4</v>
      </c>
      <c r="K53" s="121" t="s">
        <v>108</v>
      </c>
      <c r="L53" s="127">
        <v>93000000000</v>
      </c>
      <c r="M53" s="123" t="s">
        <v>510</v>
      </c>
      <c r="N53" s="123">
        <f t="shared" si="40"/>
        <v>4.51</v>
      </c>
      <c r="O53" s="121" t="s">
        <v>209</v>
      </c>
      <c r="P53" s="121">
        <f t="shared" si="29"/>
        <v>0.90877432755152232</v>
      </c>
      <c r="Q53" s="121" t="s">
        <v>13</v>
      </c>
      <c r="R53" s="123">
        <v>0.51</v>
      </c>
      <c r="S53" s="121" t="s">
        <v>4</v>
      </c>
      <c r="T53" s="123">
        <f>R53+J53</f>
        <v>4.51</v>
      </c>
      <c r="U53" s="121" t="s">
        <v>211</v>
      </c>
      <c r="V53" s="6"/>
      <c r="W53" s="6">
        <v>5</v>
      </c>
      <c r="X53" s="6"/>
      <c r="Y53" s="6"/>
      <c r="Z53" s="6">
        <v>2</v>
      </c>
      <c r="AA53" s="6">
        <v>1</v>
      </c>
      <c r="AB53" s="6"/>
      <c r="AC53" s="6"/>
      <c r="AD53" s="6"/>
      <c r="AE53" s="6"/>
      <c r="AF53" s="6"/>
      <c r="AG53" s="124"/>
      <c r="AH53" s="131">
        <f t="shared" si="11"/>
        <v>0</v>
      </c>
      <c r="AI53" s="131">
        <f t="shared" si="12"/>
        <v>0</v>
      </c>
      <c r="AJ53" s="131">
        <f t="shared" si="13"/>
        <v>0</v>
      </c>
      <c r="AK53" s="131">
        <f t="shared" si="14"/>
        <v>62.921320580067871</v>
      </c>
      <c r="AL53" s="131">
        <f t="shared" si="15"/>
        <v>37.081147793890771</v>
      </c>
      <c r="AM53" s="131">
        <f t="shared" si="16"/>
        <v>0</v>
      </c>
      <c r="AN53" s="131">
        <f t="shared" si="17"/>
        <v>0</v>
      </c>
      <c r="AO53" s="131">
        <f t="shared" si="18"/>
        <v>0</v>
      </c>
      <c r="AP53" s="131">
        <f t="shared" si="19"/>
        <v>0</v>
      </c>
      <c r="AQ53" s="131">
        <f t="shared" si="20"/>
        <v>0</v>
      </c>
      <c r="AR53" s="124"/>
      <c r="AS53" s="6">
        <f t="shared" si="30"/>
        <v>0</v>
      </c>
      <c r="AT53" s="6">
        <f t="shared" si="31"/>
        <v>80</v>
      </c>
      <c r="AU53" s="6">
        <f t="shared" si="32"/>
        <v>0</v>
      </c>
      <c r="AV53" s="6">
        <f t="shared" si="33"/>
        <v>0</v>
      </c>
      <c r="AW53" s="6">
        <f t="shared" si="34"/>
        <v>53.963999999999999</v>
      </c>
      <c r="AX53" s="6">
        <f t="shared" si="35"/>
        <v>28.085999999999999</v>
      </c>
      <c r="AY53" s="6">
        <f t="shared" si="36"/>
        <v>0</v>
      </c>
      <c r="AZ53" s="6">
        <f t="shared" si="37"/>
        <v>0</v>
      </c>
      <c r="BA53" s="6">
        <f t="shared" si="38"/>
        <v>0</v>
      </c>
      <c r="BB53" s="6">
        <f t="shared" si="21"/>
        <v>0</v>
      </c>
      <c r="BC53" s="6">
        <f t="shared" si="39"/>
        <v>0</v>
      </c>
      <c r="BD53" s="124">
        <f t="shared" si="22"/>
        <v>162.05000000000001</v>
      </c>
    </row>
    <row r="54" spans="1:61">
      <c r="A54" s="20" t="s">
        <v>292</v>
      </c>
      <c r="B54" s="121">
        <v>162.006</v>
      </c>
      <c r="C54" s="122">
        <v>44.14</v>
      </c>
      <c r="D54" s="121">
        <v>3670</v>
      </c>
      <c r="E54" s="121">
        <v>0</v>
      </c>
      <c r="F54" s="132">
        <v>4.0399999999999999E-5</v>
      </c>
      <c r="G54" s="121" t="s">
        <v>184</v>
      </c>
      <c r="H54" s="128">
        <v>156000000000</v>
      </c>
      <c r="I54" s="121" t="s">
        <v>197</v>
      </c>
      <c r="J54" s="121">
        <v>5.6</v>
      </c>
      <c r="K54" s="121" t="s">
        <v>197</v>
      </c>
      <c r="L54" s="128">
        <f>L53*H54/H53</f>
        <v>85061277058.822495</v>
      </c>
      <c r="M54" s="121" t="s">
        <v>205</v>
      </c>
      <c r="N54" s="123">
        <f t="shared" si="40"/>
        <v>6.6099999999999994</v>
      </c>
      <c r="O54" s="121" t="s">
        <v>209</v>
      </c>
      <c r="P54" s="121">
        <f t="shared" si="29"/>
        <v>0.90877432755152243</v>
      </c>
      <c r="Q54" s="121" t="s">
        <v>13</v>
      </c>
      <c r="R54" s="123">
        <v>1.01</v>
      </c>
      <c r="S54" s="121" t="s">
        <v>4</v>
      </c>
      <c r="T54" s="123">
        <f>R54+J54</f>
        <v>6.6099999999999994</v>
      </c>
      <c r="U54" s="121" t="s">
        <v>211</v>
      </c>
      <c r="V54" s="6"/>
      <c r="W54" s="6">
        <v>5</v>
      </c>
      <c r="X54" s="6"/>
      <c r="Y54" s="6"/>
      <c r="Z54" s="6">
        <v>2</v>
      </c>
      <c r="AA54" s="6">
        <v>1</v>
      </c>
      <c r="AB54" s="6"/>
      <c r="AC54" s="6"/>
      <c r="AD54" s="6"/>
      <c r="AE54" s="6"/>
      <c r="AF54" s="6"/>
      <c r="AG54" s="124"/>
      <c r="AH54" s="131">
        <f t="shared" si="11"/>
        <v>0</v>
      </c>
      <c r="AI54" s="131">
        <f t="shared" si="12"/>
        <v>0</v>
      </c>
      <c r="AJ54" s="131">
        <f t="shared" si="13"/>
        <v>0</v>
      </c>
      <c r="AK54" s="131">
        <f t="shared" si="14"/>
        <v>62.921320580067871</v>
      </c>
      <c r="AL54" s="131">
        <f t="shared" si="15"/>
        <v>37.081147793890771</v>
      </c>
      <c r="AM54" s="131">
        <f t="shared" si="16"/>
        <v>0</v>
      </c>
      <c r="AN54" s="131">
        <f t="shared" si="17"/>
        <v>0</v>
      </c>
      <c r="AO54" s="131">
        <f t="shared" si="18"/>
        <v>0</v>
      </c>
      <c r="AP54" s="131">
        <f t="shared" si="19"/>
        <v>0</v>
      </c>
      <c r="AQ54" s="131">
        <f t="shared" si="20"/>
        <v>0</v>
      </c>
      <c r="AR54" s="124"/>
      <c r="AS54" s="6">
        <f t="shared" si="30"/>
        <v>0</v>
      </c>
      <c r="AT54" s="6">
        <f t="shared" si="31"/>
        <v>80</v>
      </c>
      <c r="AU54" s="6">
        <f t="shared" si="32"/>
        <v>0</v>
      </c>
      <c r="AV54" s="6">
        <f t="shared" si="33"/>
        <v>0</v>
      </c>
      <c r="AW54" s="6">
        <f t="shared" si="34"/>
        <v>53.963999999999999</v>
      </c>
      <c r="AX54" s="6">
        <f t="shared" si="35"/>
        <v>28.085999999999999</v>
      </c>
      <c r="AY54" s="6">
        <f t="shared" si="36"/>
        <v>0</v>
      </c>
      <c r="AZ54" s="6">
        <f t="shared" si="37"/>
        <v>0</v>
      </c>
      <c r="BA54" s="6">
        <f t="shared" si="38"/>
        <v>0</v>
      </c>
      <c r="BB54" s="6">
        <f t="shared" si="21"/>
        <v>0</v>
      </c>
      <c r="BC54" s="6">
        <f t="shared" si="39"/>
        <v>0</v>
      </c>
      <c r="BD54" s="124">
        <f t="shared" si="22"/>
        <v>162.05000000000001</v>
      </c>
    </row>
    <row r="55" spans="1:61">
      <c r="A55" s="20" t="s">
        <v>293</v>
      </c>
      <c r="B55" s="121">
        <v>142.27000000000001</v>
      </c>
      <c r="C55" s="122">
        <v>39.78</v>
      </c>
      <c r="D55" s="121">
        <v>3575</v>
      </c>
      <c r="E55" s="121">
        <v>0</v>
      </c>
      <c r="F55" s="132">
        <v>4.3099999999999997E-5</v>
      </c>
      <c r="G55" s="121" t="s">
        <v>184</v>
      </c>
      <c r="H55" s="128">
        <v>196200000000</v>
      </c>
      <c r="I55" s="121" t="s">
        <v>201</v>
      </c>
      <c r="J55" s="121">
        <v>4</v>
      </c>
      <c r="K55" s="121" t="s">
        <v>195</v>
      </c>
      <c r="L55" s="128">
        <v>107810000000</v>
      </c>
      <c r="M55" s="121" t="s">
        <v>201</v>
      </c>
      <c r="N55" s="121">
        <v>4.2</v>
      </c>
      <c r="O55" s="121" t="s">
        <v>208</v>
      </c>
      <c r="P55" s="121">
        <f t="shared" si="29"/>
        <v>0.91581719334012912</v>
      </c>
      <c r="Q55" s="121" t="s">
        <v>13</v>
      </c>
      <c r="R55" s="121">
        <v>1.28</v>
      </c>
      <c r="S55" s="121" t="s">
        <v>195</v>
      </c>
      <c r="T55" s="121">
        <v>6.5</v>
      </c>
      <c r="U55" s="121" t="s">
        <v>195</v>
      </c>
      <c r="V55" s="6"/>
      <c r="W55" s="6">
        <v>4</v>
      </c>
      <c r="X55" s="6"/>
      <c r="Y55" s="6">
        <v>1</v>
      </c>
      <c r="Z55" s="6">
        <v>2</v>
      </c>
      <c r="AA55" s="6"/>
      <c r="AB55" s="6"/>
      <c r="AC55" s="6"/>
      <c r="AD55" s="6"/>
      <c r="AE55" s="6"/>
      <c r="AF55" s="6"/>
      <c r="AG55" s="124"/>
      <c r="AH55" s="131">
        <f t="shared" si="11"/>
        <v>0</v>
      </c>
      <c r="AI55" s="131">
        <f t="shared" si="12"/>
        <v>0</v>
      </c>
      <c r="AJ55" s="131">
        <f t="shared" si="13"/>
        <v>28.333661334307962</v>
      </c>
      <c r="AK55" s="131">
        <f t="shared" si="14"/>
        <v>71.666338665692024</v>
      </c>
      <c r="AL55" s="131">
        <f t="shared" si="15"/>
        <v>0</v>
      </c>
      <c r="AM55" s="131">
        <f t="shared" si="16"/>
        <v>0</v>
      </c>
      <c r="AN55" s="131">
        <f t="shared" si="17"/>
        <v>0</v>
      </c>
      <c r="AO55" s="131">
        <f t="shared" si="18"/>
        <v>0</v>
      </c>
      <c r="AP55" s="131">
        <f t="shared" si="19"/>
        <v>0</v>
      </c>
      <c r="AQ55" s="131">
        <f t="shared" si="20"/>
        <v>0</v>
      </c>
      <c r="AR55" s="124"/>
      <c r="AS55" s="6">
        <f t="shared" si="30"/>
        <v>0</v>
      </c>
      <c r="AT55" s="6">
        <f t="shared" si="31"/>
        <v>64</v>
      </c>
      <c r="AU55" s="6">
        <f t="shared" si="32"/>
        <v>0</v>
      </c>
      <c r="AV55" s="6">
        <f t="shared" si="33"/>
        <v>24.312000000000001</v>
      </c>
      <c r="AW55" s="6">
        <f t="shared" si="34"/>
        <v>53.963999999999999</v>
      </c>
      <c r="AX55" s="6">
        <f t="shared" si="35"/>
        <v>0</v>
      </c>
      <c r="AY55" s="6">
        <f t="shared" si="36"/>
        <v>0</v>
      </c>
      <c r="AZ55" s="6">
        <f t="shared" si="37"/>
        <v>0</v>
      </c>
      <c r="BA55" s="6">
        <f t="shared" si="38"/>
        <v>0</v>
      </c>
      <c r="BB55" s="6">
        <f t="shared" si="21"/>
        <v>0</v>
      </c>
      <c r="BC55" s="6">
        <f t="shared" si="39"/>
        <v>0</v>
      </c>
      <c r="BD55" s="124">
        <f t="shared" si="22"/>
        <v>142.27600000000001</v>
      </c>
    </row>
    <row r="56" spans="1:61">
      <c r="A56" s="20" t="s">
        <v>294</v>
      </c>
      <c r="B56" s="121">
        <v>173.81</v>
      </c>
      <c r="C56" s="122">
        <v>40.75</v>
      </c>
      <c r="D56" s="121">
        <v>4264</v>
      </c>
      <c r="E56" s="121">
        <v>0</v>
      </c>
      <c r="F56" s="132">
        <v>3.9499999999999998E-5</v>
      </c>
      <c r="G56" s="121" t="s">
        <v>184</v>
      </c>
      <c r="H56" s="128">
        <f>210300000000/(1+F56*0.42*R56*298)</f>
        <v>209008375267.72983</v>
      </c>
      <c r="I56" s="121" t="s">
        <v>189</v>
      </c>
      <c r="J56" s="121">
        <v>4</v>
      </c>
      <c r="K56" s="121" t="s">
        <v>108</v>
      </c>
      <c r="L56" s="128">
        <v>84500000000</v>
      </c>
      <c r="M56" s="121" t="s">
        <v>110</v>
      </c>
      <c r="N56" s="123">
        <f>T56</f>
        <v>5.25</v>
      </c>
      <c r="O56" s="121" t="s">
        <v>209</v>
      </c>
      <c r="P56" s="121">
        <f t="shared" si="29"/>
        <v>0.673816698268347</v>
      </c>
      <c r="Q56" s="121" t="s">
        <v>13</v>
      </c>
      <c r="R56" s="123">
        <v>1.25</v>
      </c>
      <c r="S56" s="121" t="s">
        <v>4</v>
      </c>
      <c r="T56" s="123">
        <f t="shared" ref="T56:T64" si="41">R56+J56</f>
        <v>5.25</v>
      </c>
      <c r="U56" s="121" t="s">
        <v>211</v>
      </c>
      <c r="V56" s="6"/>
      <c r="W56" s="6">
        <v>4</v>
      </c>
      <c r="X56" s="6"/>
      <c r="Y56" s="6"/>
      <c r="Z56" s="6">
        <v>2</v>
      </c>
      <c r="AA56" s="6"/>
      <c r="AB56" s="6"/>
      <c r="AC56" s="6"/>
      <c r="AD56" s="6">
        <v>1</v>
      </c>
      <c r="AE56" s="6"/>
      <c r="AF56" s="6"/>
      <c r="AG56" s="124"/>
      <c r="AH56" s="131">
        <f t="shared" si="11"/>
        <v>0</v>
      </c>
      <c r="AI56" s="131">
        <f t="shared" si="12"/>
        <v>0</v>
      </c>
      <c r="AJ56" s="131">
        <f t="shared" si="13"/>
        <v>0</v>
      </c>
      <c r="AK56" s="131">
        <f t="shared" si="14"/>
        <v>58.663720938260518</v>
      </c>
      <c r="AL56" s="131">
        <f t="shared" si="15"/>
        <v>0</v>
      </c>
      <c r="AM56" s="131">
        <f t="shared" si="16"/>
        <v>0</v>
      </c>
      <c r="AN56" s="131">
        <f t="shared" si="17"/>
        <v>0</v>
      </c>
      <c r="AO56" s="131">
        <f t="shared" si="18"/>
        <v>41.338005074477444</v>
      </c>
      <c r="AP56" s="131">
        <f t="shared" si="19"/>
        <v>0</v>
      </c>
      <c r="AQ56" s="131">
        <f t="shared" si="20"/>
        <v>0</v>
      </c>
      <c r="AR56" s="124"/>
      <c r="AS56" s="6">
        <f t="shared" si="30"/>
        <v>0</v>
      </c>
      <c r="AT56" s="6">
        <f t="shared" si="31"/>
        <v>64</v>
      </c>
      <c r="AU56" s="6">
        <f t="shared" si="32"/>
        <v>0</v>
      </c>
      <c r="AV56" s="6">
        <f t="shared" si="33"/>
        <v>0</v>
      </c>
      <c r="AW56" s="6">
        <f t="shared" si="34"/>
        <v>53.963999999999999</v>
      </c>
      <c r="AX56" s="6">
        <f t="shared" si="35"/>
        <v>0</v>
      </c>
      <c r="AY56" s="6">
        <f t="shared" si="36"/>
        <v>0</v>
      </c>
      <c r="AZ56" s="6">
        <f t="shared" si="37"/>
        <v>0</v>
      </c>
      <c r="BA56" s="6">
        <f t="shared" si="38"/>
        <v>55.847000000000001</v>
      </c>
      <c r="BB56" s="6">
        <f t="shared" si="21"/>
        <v>0</v>
      </c>
      <c r="BC56" s="6">
        <f t="shared" si="39"/>
        <v>0</v>
      </c>
      <c r="BD56" s="124">
        <f t="shared" si="22"/>
        <v>173.81100000000001</v>
      </c>
    </row>
    <row r="57" spans="1:61">
      <c r="A57" s="20" t="s">
        <v>295</v>
      </c>
      <c r="B57" s="121">
        <v>231.54</v>
      </c>
      <c r="C57" s="122">
        <v>44.52</v>
      </c>
      <c r="D57" s="121">
        <v>5201</v>
      </c>
      <c r="E57" s="121">
        <v>0</v>
      </c>
      <c r="F57" s="132">
        <v>6.9599999999999998E-5</v>
      </c>
      <c r="G57" s="121" t="s">
        <v>184</v>
      </c>
      <c r="H57" s="127">
        <v>190900000000</v>
      </c>
      <c r="I57" s="123" t="s">
        <v>526</v>
      </c>
      <c r="J57" s="123">
        <v>5.2</v>
      </c>
      <c r="K57" s="123" t="s">
        <v>526</v>
      </c>
      <c r="L57" s="127">
        <v>60300000000</v>
      </c>
      <c r="M57" s="123" t="s">
        <v>526</v>
      </c>
      <c r="N57" s="123">
        <v>-0.1</v>
      </c>
      <c r="O57" s="123" t="s">
        <v>526</v>
      </c>
      <c r="P57" s="123">
        <f t="shared" si="29"/>
        <v>0.52645364064955469</v>
      </c>
      <c r="Q57" s="121" t="s">
        <v>13</v>
      </c>
      <c r="R57" s="123">
        <v>2.15</v>
      </c>
      <c r="S57" s="121" t="s">
        <v>4</v>
      </c>
      <c r="T57" s="123">
        <f t="shared" si="41"/>
        <v>7.35</v>
      </c>
      <c r="U57" s="121" t="s">
        <v>211</v>
      </c>
      <c r="V57" s="6"/>
      <c r="W57" s="6">
        <v>4</v>
      </c>
      <c r="X57" s="6"/>
      <c r="Y57" s="6"/>
      <c r="Z57" s="6"/>
      <c r="AA57" s="6"/>
      <c r="AB57" s="6"/>
      <c r="AC57" s="6"/>
      <c r="AD57" s="6">
        <v>3</v>
      </c>
      <c r="AE57" s="6"/>
      <c r="AF57" s="6"/>
      <c r="AG57" s="124"/>
      <c r="AH57" s="131">
        <f t="shared" si="11"/>
        <v>0</v>
      </c>
      <c r="AI57" s="131">
        <f t="shared" si="12"/>
        <v>0</v>
      </c>
      <c r="AJ57" s="131">
        <f t="shared" si="13"/>
        <v>0</v>
      </c>
      <c r="AK57" s="131">
        <f t="shared" si="14"/>
        <v>0</v>
      </c>
      <c r="AL57" s="131">
        <f t="shared" si="15"/>
        <v>0</v>
      </c>
      <c r="AM57" s="131">
        <f t="shared" si="16"/>
        <v>0</v>
      </c>
      <c r="AN57" s="131">
        <f t="shared" si="17"/>
        <v>0</v>
      </c>
      <c r="AO57" s="131">
        <f t="shared" si="18"/>
        <v>93.093663757174753</v>
      </c>
      <c r="AP57" s="131">
        <f t="shared" si="19"/>
        <v>0</v>
      </c>
      <c r="AQ57" s="131">
        <f t="shared" si="20"/>
        <v>0</v>
      </c>
      <c r="AR57" s="124"/>
      <c r="AS57" s="6">
        <f t="shared" si="30"/>
        <v>0</v>
      </c>
      <c r="AT57" s="6">
        <f t="shared" si="31"/>
        <v>64</v>
      </c>
      <c r="AU57" s="6">
        <f t="shared" si="32"/>
        <v>0</v>
      </c>
      <c r="AV57" s="6">
        <f t="shared" si="33"/>
        <v>0</v>
      </c>
      <c r="AW57" s="6">
        <f t="shared" si="34"/>
        <v>0</v>
      </c>
      <c r="AX57" s="6">
        <f t="shared" si="35"/>
        <v>0</v>
      </c>
      <c r="AY57" s="6">
        <f t="shared" si="36"/>
        <v>0</v>
      </c>
      <c r="AZ57" s="6">
        <f t="shared" si="37"/>
        <v>0</v>
      </c>
      <c r="BA57" s="6">
        <f t="shared" si="38"/>
        <v>167.541</v>
      </c>
      <c r="BB57" s="6">
        <f t="shared" si="21"/>
        <v>0</v>
      </c>
      <c r="BC57" s="6">
        <f t="shared" si="39"/>
        <v>0</v>
      </c>
      <c r="BD57" s="124">
        <f t="shared" si="22"/>
        <v>231.541</v>
      </c>
    </row>
    <row r="58" spans="1:61">
      <c r="A58" s="103" t="s">
        <v>572</v>
      </c>
      <c r="B58" s="123">
        <v>151.69999999999999</v>
      </c>
      <c r="C58" s="123">
        <v>31.69</v>
      </c>
      <c r="D58" s="123">
        <v>4788</v>
      </c>
      <c r="E58" s="123">
        <v>0</v>
      </c>
      <c r="F58" s="133">
        <v>4.9499999999999997E-5</v>
      </c>
      <c r="G58" s="123" t="s">
        <v>184</v>
      </c>
      <c r="H58" s="127">
        <v>165000000000</v>
      </c>
      <c r="I58" s="123" t="s">
        <v>558</v>
      </c>
      <c r="J58" s="123">
        <v>3</v>
      </c>
      <c r="K58" s="123" t="s">
        <v>558</v>
      </c>
      <c r="L58" s="127">
        <v>74700000000</v>
      </c>
      <c r="M58" s="123" t="s">
        <v>560</v>
      </c>
      <c r="N58" s="123">
        <f t="shared" ref="N58:N65" si="42">T58</f>
        <v>4.5600000000000005</v>
      </c>
      <c r="O58" s="123" t="s">
        <v>209</v>
      </c>
      <c r="P58" s="123">
        <v>1.7</v>
      </c>
      <c r="Q58" s="123" t="s">
        <v>560</v>
      </c>
      <c r="R58" s="123">
        <v>1.56</v>
      </c>
      <c r="S58" s="123" t="s">
        <v>4</v>
      </c>
      <c r="T58" s="123">
        <f t="shared" si="41"/>
        <v>4.5600000000000005</v>
      </c>
      <c r="U58" s="123" t="s">
        <v>211</v>
      </c>
      <c r="V58" s="130"/>
      <c r="W58" s="130">
        <v>3</v>
      </c>
      <c r="X58" s="130"/>
      <c r="Y58" s="130"/>
      <c r="Z58" s="130"/>
      <c r="AA58" s="130"/>
      <c r="AB58" s="130"/>
      <c r="AC58" s="130"/>
      <c r="AD58" s="130">
        <v>1</v>
      </c>
      <c r="AE58" s="130">
        <v>1</v>
      </c>
      <c r="AF58" s="130"/>
      <c r="AG58" s="125"/>
      <c r="AH58" s="131">
        <f>100*V58*oxideH/$BD58</f>
        <v>0</v>
      </c>
      <c r="AI58" s="131">
        <f>100*X58*oxideNa/$BD58</f>
        <v>0</v>
      </c>
      <c r="AJ58" s="131">
        <f>100*Y58*oxideMg/$BD58</f>
        <v>0</v>
      </c>
      <c r="AK58" s="131">
        <f>100*Z58*oxideAl/$BD58</f>
        <v>0</v>
      </c>
      <c r="AL58" s="131">
        <f>100*AA58*oxideSi/$BD58</f>
        <v>0</v>
      </c>
      <c r="AM58" s="131">
        <f>100*AB58*oxideK/$BD58</f>
        <v>0</v>
      </c>
      <c r="AN58" s="131">
        <f>100*AC58*oxideCa/$BD58</f>
        <v>0</v>
      </c>
      <c r="AO58" s="131">
        <f>100*AD58*oxideFe/$BD58</f>
        <v>47.358846250181259</v>
      </c>
      <c r="AP58" s="131">
        <f>100*AE58*oxideTi/$BD58</f>
        <v>52.642472019721318</v>
      </c>
      <c r="AQ58" s="131">
        <f>100*AF58*oxideC/$BD58</f>
        <v>0</v>
      </c>
      <c r="AR58" s="124"/>
      <c r="AS58" s="6">
        <f>V58*atwtH</f>
        <v>0</v>
      </c>
      <c r="AT58" s="6">
        <f>W58*atwtO</f>
        <v>48</v>
      </c>
      <c r="AU58" s="6">
        <f>X58*atwtNa</f>
        <v>0</v>
      </c>
      <c r="AV58" s="6">
        <f>Y58*atwtMg</f>
        <v>0</v>
      </c>
      <c r="AW58" s="6">
        <f>Z58*atwtAl</f>
        <v>0</v>
      </c>
      <c r="AX58" s="6">
        <f>AA58*atwtSi</f>
        <v>0</v>
      </c>
      <c r="AY58" s="6">
        <f>AB58*atwtK</f>
        <v>0</v>
      </c>
      <c r="AZ58" s="6">
        <f>AC58*atwtCa</f>
        <v>0</v>
      </c>
      <c r="BA58" s="6">
        <f>AD58*atwtFe</f>
        <v>55.847000000000001</v>
      </c>
      <c r="BB58" s="6">
        <f>AE58*atwtTi</f>
        <v>47.866999999999997</v>
      </c>
      <c r="BC58" s="6">
        <f>AF58*atwtC</f>
        <v>0</v>
      </c>
      <c r="BD58" s="124">
        <f>SUM(AS58:BC58)</f>
        <v>151.714</v>
      </c>
      <c r="BE58" s="61"/>
      <c r="BF58" s="61"/>
      <c r="BG58" s="61"/>
      <c r="BH58" s="61"/>
      <c r="BI58" s="61"/>
    </row>
    <row r="59" spans="1:61" s="59" customFormat="1">
      <c r="A59" s="103" t="s">
        <v>573</v>
      </c>
      <c r="B59" s="123">
        <v>79.900000000000006</v>
      </c>
      <c r="C59" s="123">
        <v>18.82</v>
      </c>
      <c r="D59" s="123">
        <v>4245</v>
      </c>
      <c r="E59" s="123">
        <v>0</v>
      </c>
      <c r="F59" s="133">
        <v>4.4299999999999999E-5</v>
      </c>
      <c r="G59" s="123" t="s">
        <v>184</v>
      </c>
      <c r="H59" s="127">
        <f>212000000000/(1+F59*0.42*R59*298)</f>
        <v>209882048730.37335</v>
      </c>
      <c r="I59" s="123" t="s">
        <v>535</v>
      </c>
      <c r="J59" s="123">
        <v>4</v>
      </c>
      <c r="K59" s="123" t="s">
        <v>108</v>
      </c>
      <c r="L59" s="127">
        <v>113000000000</v>
      </c>
      <c r="M59" s="123" t="s">
        <v>535</v>
      </c>
      <c r="N59" s="123">
        <f t="shared" si="42"/>
        <v>5.82</v>
      </c>
      <c r="O59" s="123" t="s">
        <v>209</v>
      </c>
      <c r="P59" s="123">
        <f>(5*L59)/(3*H59)</f>
        <v>0.89732940226477986</v>
      </c>
      <c r="Q59" s="123" t="s">
        <v>13</v>
      </c>
      <c r="R59" s="123">
        <v>1.82</v>
      </c>
      <c r="S59" s="123" t="s">
        <v>4</v>
      </c>
      <c r="T59" s="123">
        <f t="shared" si="41"/>
        <v>5.82</v>
      </c>
      <c r="U59" s="123" t="s">
        <v>211</v>
      </c>
      <c r="V59" s="6"/>
      <c r="W59" s="130">
        <v>1</v>
      </c>
      <c r="X59" s="130"/>
      <c r="Y59" s="130"/>
      <c r="Z59" s="130"/>
      <c r="AA59" s="130"/>
      <c r="AB59" s="130"/>
      <c r="AC59" s="130"/>
      <c r="AD59" s="130"/>
      <c r="AE59" s="130">
        <v>1</v>
      </c>
      <c r="AF59" s="130"/>
      <c r="AG59" s="126"/>
      <c r="AH59" s="131">
        <f>100*V59*oxideH/$BD59</f>
        <v>0</v>
      </c>
      <c r="AI59" s="131">
        <f>100*X59*oxideNa/$BD59</f>
        <v>0</v>
      </c>
      <c r="AJ59" s="131">
        <f>100*Y59*oxideMg/$BD59</f>
        <v>0</v>
      </c>
      <c r="AK59" s="131">
        <f>100*Z59*oxideAl/$BD59</f>
        <v>0</v>
      </c>
      <c r="AL59" s="131">
        <f>100*AA59*oxideSi/$BD59</f>
        <v>0</v>
      </c>
      <c r="AM59" s="131">
        <f>100*AB59*oxideK/$BD59</f>
        <v>0</v>
      </c>
      <c r="AN59" s="131">
        <f>100*AC59*oxideCa/$BD59</f>
        <v>0</v>
      </c>
      <c r="AO59" s="131">
        <f>100*AD59*oxideFe/$BD59</f>
        <v>0</v>
      </c>
      <c r="AP59" s="131">
        <f>100*AE59*oxideTi/$BD59</f>
        <v>125.0504955610879</v>
      </c>
      <c r="AQ59" s="131">
        <f>100*AF59*oxideC/$BD59</f>
        <v>0</v>
      </c>
      <c r="AR59" s="124"/>
      <c r="AS59" s="6">
        <f>V59*atwtH</f>
        <v>0</v>
      </c>
      <c r="AT59" s="6">
        <f>W59*atwtO</f>
        <v>16</v>
      </c>
      <c r="AU59" s="6">
        <f>X59*atwtNa</f>
        <v>0</v>
      </c>
      <c r="AV59" s="6">
        <f>Y59*atwtMg</f>
        <v>0</v>
      </c>
      <c r="AW59" s="6">
        <f>Z59*atwtAl</f>
        <v>0</v>
      </c>
      <c r="AX59" s="6">
        <f>AA59*atwtSi</f>
        <v>0</v>
      </c>
      <c r="AY59" s="6">
        <f>AB59*atwtK</f>
        <v>0</v>
      </c>
      <c r="AZ59" s="6">
        <f>AC59*atwtCa</f>
        <v>0</v>
      </c>
      <c r="BA59" s="6">
        <f>AD59*atwtFe</f>
        <v>0</v>
      </c>
      <c r="BB59" s="6">
        <f>AE59*atwtTi</f>
        <v>47.866999999999997</v>
      </c>
      <c r="BC59" s="6">
        <f>AF59*atwtC</f>
        <v>0</v>
      </c>
      <c r="BD59" s="124">
        <f>SUM(AS59:BC59)</f>
        <v>63.866999999999997</v>
      </c>
    </row>
    <row r="60" spans="1:61" s="59" customFormat="1">
      <c r="A60" s="103" t="s">
        <v>574</v>
      </c>
      <c r="B60" s="123">
        <v>196.06</v>
      </c>
      <c r="C60" s="123">
        <v>55.65</v>
      </c>
      <c r="D60" s="123">
        <v>3523</v>
      </c>
      <c r="E60" s="123">
        <v>0</v>
      </c>
      <c r="F60" s="133">
        <v>4.1999999999999998E-5</v>
      </c>
      <c r="G60" s="123" t="s">
        <v>184</v>
      </c>
      <c r="H60" s="127">
        <f>123300000000</f>
        <v>123300000000</v>
      </c>
      <c r="I60" s="123" t="s">
        <v>555</v>
      </c>
      <c r="J60" s="123">
        <v>4</v>
      </c>
      <c r="K60" s="123" t="s">
        <v>108</v>
      </c>
      <c r="L60" s="127">
        <v>67000000000</v>
      </c>
      <c r="M60" s="123" t="s">
        <v>557</v>
      </c>
      <c r="N60" s="123">
        <f t="shared" si="42"/>
        <v>4.9399999999999995</v>
      </c>
      <c r="O60" s="123" t="s">
        <v>209</v>
      </c>
      <c r="P60" s="123">
        <f>(5*L60)/(3*H60)</f>
        <v>0.90565017572316842</v>
      </c>
      <c r="Q60" s="123" t="s">
        <v>13</v>
      </c>
      <c r="R60" s="123">
        <v>0.94</v>
      </c>
      <c r="S60" s="123" t="s">
        <v>4</v>
      </c>
      <c r="T60" s="123">
        <f t="shared" si="41"/>
        <v>4.9399999999999995</v>
      </c>
      <c r="U60" s="123" t="s">
        <v>211</v>
      </c>
      <c r="V60" s="6"/>
      <c r="W60" s="130">
        <v>5</v>
      </c>
      <c r="X60" s="130"/>
      <c r="Y60" s="130"/>
      <c r="Z60" s="130"/>
      <c r="AA60" s="130"/>
      <c r="AB60" s="130"/>
      <c r="AC60" s="130">
        <v>1</v>
      </c>
      <c r="AD60" s="130"/>
      <c r="AE60" s="130">
        <v>1</v>
      </c>
      <c r="AF60" s="130"/>
      <c r="AG60" s="126"/>
      <c r="AH60" s="131">
        <f>100*V60*oxideH/$BD60</f>
        <v>0</v>
      </c>
      <c r="AI60" s="131">
        <f>100*X60*oxideNa/$BD60</f>
        <v>0</v>
      </c>
      <c r="AJ60" s="131">
        <f>100*Y60*oxideMg/$BD60</f>
        <v>0</v>
      </c>
      <c r="AK60" s="131">
        <f>100*Z60*oxideAl/$BD60</f>
        <v>0</v>
      </c>
      <c r="AL60" s="131">
        <f>100*AA60*oxideSi/$BD60</f>
        <v>0</v>
      </c>
      <c r="AM60" s="131">
        <f>100*AB60*oxideK/$BD60</f>
        <v>0</v>
      </c>
      <c r="AN60" s="131">
        <f>100*AC60*oxideCa/$BD60</f>
        <v>33.391486599939263</v>
      </c>
      <c r="AO60" s="131">
        <f>100*AD60*oxideFe/$BD60</f>
        <v>0</v>
      </c>
      <c r="AP60" s="131">
        <f>100*AE60*oxideTi/$BD60</f>
        <v>47.554287959892108</v>
      </c>
      <c r="AQ60" s="131">
        <f>100*AF60*oxideC/$BD60</f>
        <v>0</v>
      </c>
      <c r="AR60" s="124"/>
      <c r="AS60" s="6">
        <f>V60*atwtH</f>
        <v>0</v>
      </c>
      <c r="AT60" s="6">
        <f>W60*atwtO</f>
        <v>80</v>
      </c>
      <c r="AU60" s="6">
        <f>X60*atwtNa</f>
        <v>0</v>
      </c>
      <c r="AV60" s="6">
        <f>Y60*atwtMg</f>
        <v>0</v>
      </c>
      <c r="AW60" s="6">
        <f>Z60*atwtAl</f>
        <v>0</v>
      </c>
      <c r="AX60" s="6">
        <f>AA60*atwtSi</f>
        <v>0</v>
      </c>
      <c r="AY60" s="6">
        <f>AB60*atwtK</f>
        <v>0</v>
      </c>
      <c r="AZ60" s="6">
        <f>AC60*atwtCa</f>
        <v>40.08</v>
      </c>
      <c r="BA60" s="6">
        <f>AD60*atwtFe</f>
        <v>0</v>
      </c>
      <c r="BB60" s="6">
        <f>AE60*atwtTi</f>
        <v>47.866999999999997</v>
      </c>
      <c r="BC60" s="6">
        <f>AF60*atwtC</f>
        <v>0</v>
      </c>
      <c r="BD60" s="124">
        <f>SUM(AS60:BC60)</f>
        <v>167.947</v>
      </c>
    </row>
    <row r="61" spans="1:61" s="59" customFormat="1">
      <c r="A61" s="103" t="s">
        <v>569</v>
      </c>
      <c r="B61" s="123">
        <v>611.1</v>
      </c>
      <c r="C61" s="123">
        <v>23.3</v>
      </c>
      <c r="D61" s="123">
        <v>2623</v>
      </c>
      <c r="E61" s="123">
        <v>0.73452558686776015</v>
      </c>
      <c r="F61" s="133">
        <v>5.2000000000000002E-6</v>
      </c>
      <c r="G61" s="123" t="s">
        <v>184</v>
      </c>
      <c r="H61" s="127">
        <f>129000000000/(1+F61*0.42*R61*298)</f>
        <v>128988247044.9679</v>
      </c>
      <c r="I61" s="123" t="s">
        <v>528</v>
      </c>
      <c r="J61" s="123">
        <v>4</v>
      </c>
      <c r="K61" s="123" t="s">
        <v>108</v>
      </c>
      <c r="L61" s="127">
        <v>54000000000</v>
      </c>
      <c r="M61" s="123" t="s">
        <v>528</v>
      </c>
      <c r="N61" s="123">
        <f t="shared" si="42"/>
        <v>4.1399999999999997</v>
      </c>
      <c r="O61" s="123" t="s">
        <v>209</v>
      </c>
      <c r="P61" s="123">
        <f>(5*L61)/(3*H61)</f>
        <v>0.6977379882418604</v>
      </c>
      <c r="Q61" s="123" t="s">
        <v>13</v>
      </c>
      <c r="R61" s="123">
        <v>0.14000000000000001</v>
      </c>
      <c r="S61" s="123" t="s">
        <v>4</v>
      </c>
      <c r="T61" s="123">
        <f t="shared" si="41"/>
        <v>4.1399999999999997</v>
      </c>
      <c r="U61" s="123" t="s">
        <v>211</v>
      </c>
      <c r="V61" s="130">
        <v>0.5</v>
      </c>
      <c r="W61" s="130">
        <v>18.87</v>
      </c>
      <c r="X61" s="130"/>
      <c r="Y61" s="130">
        <v>1.7</v>
      </c>
      <c r="Z61" s="130">
        <v>3.8</v>
      </c>
      <c r="AA61" s="130">
        <v>5.2</v>
      </c>
      <c r="AB61" s="130"/>
      <c r="AC61" s="130"/>
      <c r="AD61" s="130">
        <v>0.3</v>
      </c>
      <c r="AE61" s="130"/>
      <c r="AF61" s="130">
        <v>0.31</v>
      </c>
      <c r="AG61" s="126"/>
      <c r="AH61" s="131">
        <f>100*V61*oxideH/$BD61</f>
        <v>0.73497409991414808</v>
      </c>
      <c r="AI61" s="131">
        <f>100*X61*oxideNa/$BD61</f>
        <v>0</v>
      </c>
      <c r="AJ61" s="131">
        <f>100*Y61*oxideMg/$BD61</f>
        <v>11.182963822548075</v>
      </c>
      <c r="AK61" s="131">
        <f>100*Z61*oxideAl/$BD61</f>
        <v>31.613611974895154</v>
      </c>
      <c r="AL61" s="131">
        <f>100*AA61*oxideSi/$BD61</f>
        <v>50.989317729123897</v>
      </c>
      <c r="AM61" s="131">
        <f>100*AB61*oxideK/$BD61</f>
        <v>0</v>
      </c>
      <c r="AN61" s="131">
        <f>100*AC61*oxideCa/$BD61</f>
        <v>0</v>
      </c>
      <c r="AO61" s="131">
        <f>100*AD61*oxideFe/$BD61</f>
        <v>3.5173993613786547</v>
      </c>
      <c r="AP61" s="131">
        <f>100*AE61*oxideTi/$BD61</f>
        <v>0</v>
      </c>
      <c r="AQ61" s="131">
        <f>100*AF61*oxideC/$BD61</f>
        <v>2.2263661155660941</v>
      </c>
      <c r="AR61" s="124"/>
      <c r="AS61" s="6">
        <f>V61*atwtH</f>
        <v>0.504</v>
      </c>
      <c r="AT61" s="6">
        <f>W61*atwtO</f>
        <v>301.92</v>
      </c>
      <c r="AU61" s="6">
        <f>X61*atwtNa</f>
        <v>0</v>
      </c>
      <c r="AV61" s="6">
        <f>Y61*atwtMg</f>
        <v>41.330399999999997</v>
      </c>
      <c r="AW61" s="6">
        <f>Z61*atwtAl</f>
        <v>102.5316</v>
      </c>
      <c r="AX61" s="6">
        <f>AA61*atwtSi</f>
        <v>146.0472</v>
      </c>
      <c r="AY61" s="6">
        <f>AB61*atwtK</f>
        <v>0</v>
      </c>
      <c r="AZ61" s="6">
        <f>AC61*atwtCa</f>
        <v>0</v>
      </c>
      <c r="BA61" s="6">
        <f>AD61*atwtFe</f>
        <v>16.754100000000001</v>
      </c>
      <c r="BB61" s="6">
        <f>AE61*atwtTi</f>
        <v>0</v>
      </c>
      <c r="BC61" s="6">
        <f>AF61*atwtC</f>
        <v>3.7234099999999999</v>
      </c>
      <c r="BD61" s="124">
        <f>SUM(AS61:BC61)</f>
        <v>612.81070999999997</v>
      </c>
    </row>
    <row r="62" spans="1:61" s="59" customFormat="1">
      <c r="A62" s="103" t="s">
        <v>570</v>
      </c>
      <c r="B62" s="123">
        <v>93.46</v>
      </c>
      <c r="C62" s="123">
        <v>339.85</v>
      </c>
      <c r="D62" s="123">
        <v>2750</v>
      </c>
      <c r="E62" s="123">
        <v>0</v>
      </c>
      <c r="F62" s="133">
        <v>3.1600000000000002E-5</v>
      </c>
      <c r="G62" s="123" t="s">
        <v>184</v>
      </c>
      <c r="H62" s="127">
        <f>65000000000/(1+F62*0.42*R62*298)</f>
        <v>64846117983.196304</v>
      </c>
      <c r="I62" s="123" t="s">
        <v>533</v>
      </c>
      <c r="J62" s="123">
        <v>4</v>
      </c>
      <c r="K62" s="123" t="s">
        <v>108</v>
      </c>
      <c r="L62" s="127">
        <v>29000000000</v>
      </c>
      <c r="M62" s="123" t="s">
        <v>533</v>
      </c>
      <c r="N62" s="123">
        <f t="shared" si="42"/>
        <v>4.5999999999999996</v>
      </c>
      <c r="O62" s="123" t="s">
        <v>209</v>
      </c>
      <c r="P62" s="123">
        <f>(5*L62)/(3*H62)</f>
        <v>0.74535430703589745</v>
      </c>
      <c r="Q62" s="123" t="s">
        <v>13</v>
      </c>
      <c r="R62" s="123">
        <v>0.6</v>
      </c>
      <c r="S62" s="123" t="s">
        <v>4</v>
      </c>
      <c r="T62" s="123">
        <f t="shared" si="41"/>
        <v>4.5999999999999996</v>
      </c>
      <c r="U62" s="123" t="s">
        <v>211</v>
      </c>
      <c r="V62" s="130"/>
      <c r="W62" s="130">
        <v>27</v>
      </c>
      <c r="X62" s="130"/>
      <c r="Y62" s="130"/>
      <c r="Z62" s="130">
        <v>6</v>
      </c>
      <c r="AA62" s="130">
        <v>6</v>
      </c>
      <c r="AB62" s="130"/>
      <c r="AC62" s="130">
        <v>4</v>
      </c>
      <c r="AD62" s="130"/>
      <c r="AE62" s="130"/>
      <c r="AF62" s="130">
        <v>1</v>
      </c>
      <c r="AG62" s="126"/>
      <c r="AH62" s="131">
        <f>100*V62*oxideH/$BD62</f>
        <v>0</v>
      </c>
      <c r="AI62" s="131">
        <f>100*X62*oxideNa/$BD62</f>
        <v>0</v>
      </c>
      <c r="AJ62" s="131">
        <f>100*Y62*oxideMg/$BD62</f>
        <v>0</v>
      </c>
      <c r="AK62" s="131">
        <f>100*Z62*oxideAl/$BD62</f>
        <v>32.724856885183989</v>
      </c>
      <c r="AL62" s="131">
        <f>100*AA62*oxideSi/$BD62</f>
        <v>38.571194739922049</v>
      </c>
      <c r="AM62" s="131">
        <f>100*AB62*oxideK/$BD62</f>
        <v>0</v>
      </c>
      <c r="AN62" s="131">
        <f>100*AC62*oxideCa/$BD62</f>
        <v>23.998142797080252</v>
      </c>
      <c r="AO62" s="131">
        <f>100*AD62*oxideFe/$BD62</f>
        <v>0</v>
      </c>
      <c r="AP62" s="131">
        <f>100*AE62*oxideTi/$BD62</f>
        <v>0</v>
      </c>
      <c r="AQ62" s="131">
        <f>100*AF62*oxideC/$BD62</f>
        <v>4.7083731394539017</v>
      </c>
      <c r="AR62" s="124"/>
      <c r="AS62" s="6">
        <f>V62*atwtH</f>
        <v>0</v>
      </c>
      <c r="AT62" s="6">
        <f>W62*atwtO</f>
        <v>432</v>
      </c>
      <c r="AU62" s="6">
        <f>X62*atwtNa</f>
        <v>0</v>
      </c>
      <c r="AV62" s="6">
        <f>Y62*atwtMg</f>
        <v>0</v>
      </c>
      <c r="AW62" s="6">
        <f>Z62*atwtAl</f>
        <v>161.892</v>
      </c>
      <c r="AX62" s="6">
        <f>AA62*atwtSi</f>
        <v>168.51599999999999</v>
      </c>
      <c r="AY62" s="6">
        <f>AB62*atwtK</f>
        <v>0</v>
      </c>
      <c r="AZ62" s="6">
        <f>AC62*atwtCa</f>
        <v>160.32</v>
      </c>
      <c r="BA62" s="6">
        <f>AD62*atwtFe</f>
        <v>0</v>
      </c>
      <c r="BB62" s="6">
        <f>AE62*atwtTi</f>
        <v>0</v>
      </c>
      <c r="BC62" s="6">
        <f>AF62*atwtC</f>
        <v>12.010999999999999</v>
      </c>
      <c r="BD62" s="124">
        <f>SUM(AS62:BC62)</f>
        <v>934.73900000000003</v>
      </c>
    </row>
    <row r="63" spans="1:61">
      <c r="A63" s="20" t="s">
        <v>158</v>
      </c>
      <c r="B63" s="121">
        <v>100.09</v>
      </c>
      <c r="C63" s="122">
        <v>36.89</v>
      </c>
      <c r="D63" s="121">
        <v>2713</v>
      </c>
      <c r="E63" s="121">
        <v>0</v>
      </c>
      <c r="F63" s="132">
        <v>4.3999999999999999E-5</v>
      </c>
      <c r="G63" s="121" t="s">
        <v>184</v>
      </c>
      <c r="H63" s="128">
        <v>73460000000</v>
      </c>
      <c r="I63" s="121" t="s">
        <v>196</v>
      </c>
      <c r="J63" s="121">
        <v>4</v>
      </c>
      <c r="K63" s="121" t="s">
        <v>196</v>
      </c>
      <c r="L63" s="128">
        <v>32000000000</v>
      </c>
      <c r="M63" s="121" t="s">
        <v>110</v>
      </c>
      <c r="N63" s="123">
        <f t="shared" si="42"/>
        <v>4.7300000000000004</v>
      </c>
      <c r="O63" s="121" t="s">
        <v>209</v>
      </c>
      <c r="P63" s="121">
        <f t="shared" si="29"/>
        <v>0.72601869498139582</v>
      </c>
      <c r="Q63" s="121" t="s">
        <v>13</v>
      </c>
      <c r="R63" s="123">
        <v>0.73</v>
      </c>
      <c r="S63" s="121" t="s">
        <v>4</v>
      </c>
      <c r="T63" s="123">
        <f t="shared" si="41"/>
        <v>4.7300000000000004</v>
      </c>
      <c r="U63" s="121" t="s">
        <v>211</v>
      </c>
      <c r="V63" s="6"/>
      <c r="W63" s="6">
        <v>3</v>
      </c>
      <c r="X63" s="6"/>
      <c r="Y63" s="6"/>
      <c r="Z63" s="6"/>
      <c r="AA63" s="6"/>
      <c r="AB63" s="6"/>
      <c r="AC63" s="6">
        <v>1</v>
      </c>
      <c r="AD63" s="6"/>
      <c r="AE63" s="6"/>
      <c r="AF63" s="6">
        <v>1</v>
      </c>
      <c r="AG63" s="124"/>
      <c r="AH63" s="131">
        <f t="shared" si="11"/>
        <v>0</v>
      </c>
      <c r="AI63" s="131">
        <f t="shared" si="12"/>
        <v>0</v>
      </c>
      <c r="AJ63" s="131">
        <f t="shared" si="13"/>
        <v>0</v>
      </c>
      <c r="AK63" s="131">
        <f t="shared" si="14"/>
        <v>0</v>
      </c>
      <c r="AL63" s="131">
        <f t="shared" si="15"/>
        <v>0</v>
      </c>
      <c r="AM63" s="131">
        <f t="shared" si="16"/>
        <v>0</v>
      </c>
      <c r="AN63" s="131">
        <f t="shared" si="17"/>
        <v>56.029013597626161</v>
      </c>
      <c r="AO63" s="131">
        <f t="shared" si="18"/>
        <v>0</v>
      </c>
      <c r="AP63" s="131">
        <f t="shared" si="19"/>
        <v>0</v>
      </c>
      <c r="AQ63" s="131">
        <f t="shared" si="20"/>
        <v>43.970986402373846</v>
      </c>
      <c r="AR63" s="124"/>
      <c r="AS63" s="6">
        <f t="shared" si="30"/>
        <v>0</v>
      </c>
      <c r="AT63" s="6">
        <f t="shared" si="31"/>
        <v>48</v>
      </c>
      <c r="AU63" s="6">
        <f t="shared" si="32"/>
        <v>0</v>
      </c>
      <c r="AV63" s="6">
        <f t="shared" si="33"/>
        <v>0</v>
      </c>
      <c r="AW63" s="6">
        <f t="shared" si="34"/>
        <v>0</v>
      </c>
      <c r="AX63" s="6">
        <f t="shared" si="35"/>
        <v>0</v>
      </c>
      <c r="AY63" s="6">
        <f t="shared" si="36"/>
        <v>0</v>
      </c>
      <c r="AZ63" s="6">
        <f t="shared" si="37"/>
        <v>40.08</v>
      </c>
      <c r="BA63" s="6">
        <f t="shared" si="38"/>
        <v>0</v>
      </c>
      <c r="BB63" s="6">
        <f t="shared" si="21"/>
        <v>0</v>
      </c>
      <c r="BC63" s="6">
        <f t="shared" si="39"/>
        <v>12.010999999999999</v>
      </c>
      <c r="BD63" s="124">
        <f t="shared" si="22"/>
        <v>100.09099999999999</v>
      </c>
    </row>
    <row r="64" spans="1:61">
      <c r="A64" s="20" t="s">
        <v>287</v>
      </c>
      <c r="B64" s="121">
        <v>100.09</v>
      </c>
      <c r="C64" s="122">
        <v>34.15</v>
      </c>
      <c r="D64" s="121">
        <v>2931</v>
      </c>
      <c r="E64" s="121">
        <v>0</v>
      </c>
      <c r="F64" s="132">
        <v>1.15E-4</v>
      </c>
      <c r="G64" s="121" t="s">
        <v>184</v>
      </c>
      <c r="H64" s="127">
        <f>68900000000/(1+F64*0.42*R64*298)</f>
        <v>67358467390.386513</v>
      </c>
      <c r="I64" s="123" t="s">
        <v>566</v>
      </c>
      <c r="J64" s="121">
        <v>4</v>
      </c>
      <c r="K64" s="121" t="s">
        <v>108</v>
      </c>
      <c r="L64" s="127">
        <v>38500000000</v>
      </c>
      <c r="M64" s="123" t="s">
        <v>566</v>
      </c>
      <c r="N64" s="123">
        <f t="shared" si="42"/>
        <v>5.59</v>
      </c>
      <c r="O64" s="121" t="s">
        <v>209</v>
      </c>
      <c r="P64" s="121">
        <f t="shared" si="29"/>
        <v>0.95261470684566996</v>
      </c>
      <c r="Q64" s="121" t="s">
        <v>13</v>
      </c>
      <c r="R64" s="123">
        <v>1.59</v>
      </c>
      <c r="S64" s="121" t="s">
        <v>4</v>
      </c>
      <c r="T64" s="123">
        <f t="shared" si="41"/>
        <v>5.59</v>
      </c>
      <c r="U64" s="121" t="s">
        <v>211</v>
      </c>
      <c r="V64" s="6"/>
      <c r="W64" s="6">
        <v>3</v>
      </c>
      <c r="X64" s="6"/>
      <c r="Y64" s="6"/>
      <c r="Z64" s="6"/>
      <c r="AA64" s="6"/>
      <c r="AB64" s="6"/>
      <c r="AC64" s="6">
        <v>1</v>
      </c>
      <c r="AD64" s="6"/>
      <c r="AE64" s="6"/>
      <c r="AF64" s="6">
        <v>1</v>
      </c>
      <c r="AG64" s="124"/>
      <c r="AH64" s="131">
        <f t="shared" si="11"/>
        <v>0</v>
      </c>
      <c r="AI64" s="131">
        <f t="shared" si="12"/>
        <v>0</v>
      </c>
      <c r="AJ64" s="131">
        <f t="shared" si="13"/>
        <v>0</v>
      </c>
      <c r="AK64" s="131">
        <f t="shared" si="14"/>
        <v>0</v>
      </c>
      <c r="AL64" s="131">
        <f t="shared" si="15"/>
        <v>0</v>
      </c>
      <c r="AM64" s="131">
        <f t="shared" si="16"/>
        <v>0</v>
      </c>
      <c r="AN64" s="131">
        <f t="shared" si="17"/>
        <v>56.029013597626161</v>
      </c>
      <c r="AO64" s="131">
        <f t="shared" si="18"/>
        <v>0</v>
      </c>
      <c r="AP64" s="131">
        <f t="shared" si="19"/>
        <v>0</v>
      </c>
      <c r="AQ64" s="131">
        <f t="shared" si="20"/>
        <v>43.970986402373846</v>
      </c>
      <c r="AR64" s="124"/>
      <c r="AS64" s="6">
        <f t="shared" si="30"/>
        <v>0</v>
      </c>
      <c r="AT64" s="6">
        <f t="shared" si="31"/>
        <v>48</v>
      </c>
      <c r="AU64" s="6">
        <f t="shared" si="32"/>
        <v>0</v>
      </c>
      <c r="AV64" s="6">
        <f t="shared" si="33"/>
        <v>0</v>
      </c>
      <c r="AW64" s="6">
        <f t="shared" si="34"/>
        <v>0</v>
      </c>
      <c r="AX64" s="6">
        <f t="shared" si="35"/>
        <v>0</v>
      </c>
      <c r="AY64" s="6">
        <f t="shared" si="36"/>
        <v>0</v>
      </c>
      <c r="AZ64" s="6">
        <f t="shared" si="37"/>
        <v>40.08</v>
      </c>
      <c r="BA64" s="6">
        <f t="shared" si="38"/>
        <v>0</v>
      </c>
      <c r="BB64" s="6">
        <f t="shared" si="21"/>
        <v>0</v>
      </c>
      <c r="BC64" s="6">
        <f t="shared" si="39"/>
        <v>12.010999999999999</v>
      </c>
      <c r="BD64" s="124">
        <f t="shared" si="22"/>
        <v>100.09099999999999</v>
      </c>
    </row>
    <row r="65" spans="1:56">
      <c r="A65" s="103" t="s">
        <v>495</v>
      </c>
      <c r="B65" s="123">
        <v>84.3</v>
      </c>
      <c r="C65" s="123">
        <v>28.03</v>
      </c>
      <c r="D65" s="123">
        <v>3007</v>
      </c>
      <c r="E65" s="123">
        <v>0</v>
      </c>
      <c r="F65" s="133">
        <v>6.4800000000000003E-5</v>
      </c>
      <c r="G65" s="123" t="s">
        <v>184</v>
      </c>
      <c r="H65" s="127">
        <v>97100000000</v>
      </c>
      <c r="I65" s="123" t="s">
        <v>493</v>
      </c>
      <c r="J65" s="123">
        <v>5.44</v>
      </c>
      <c r="K65" s="123" t="s">
        <v>493</v>
      </c>
      <c r="L65" s="127">
        <v>58000000000</v>
      </c>
      <c r="M65" s="123" t="s">
        <v>484</v>
      </c>
      <c r="N65" s="123">
        <f t="shared" si="42"/>
        <v>3.3</v>
      </c>
      <c r="O65" s="121" t="s">
        <v>209</v>
      </c>
      <c r="P65" s="123">
        <f>(5*L65)/(3*H65)</f>
        <v>0.99553724682457945</v>
      </c>
      <c r="Q65" s="123" t="s">
        <v>13</v>
      </c>
      <c r="R65" s="123">
        <v>1.58</v>
      </c>
      <c r="S65" s="123" t="s">
        <v>4</v>
      </c>
      <c r="T65" s="123">
        <v>3.3</v>
      </c>
      <c r="U65" s="123" t="s">
        <v>493</v>
      </c>
      <c r="V65" s="130"/>
      <c r="W65" s="130">
        <v>3</v>
      </c>
      <c r="X65" s="130"/>
      <c r="Y65" s="130">
        <v>1</v>
      </c>
      <c r="Z65" s="130"/>
      <c r="AA65" s="130"/>
      <c r="AB65" s="130"/>
      <c r="AC65" s="130"/>
      <c r="AD65" s="130"/>
      <c r="AE65" s="130"/>
      <c r="AF65" s="130">
        <v>1</v>
      </c>
      <c r="AG65" s="124"/>
      <c r="AH65" s="131">
        <f>100*V65*oxideH/$BD65</f>
        <v>0</v>
      </c>
      <c r="AI65" s="131">
        <f>100*X65*oxideNa/$BD65</f>
        <v>0</v>
      </c>
      <c r="AJ65" s="131">
        <f>100*Y65*oxideMg/$BD65</f>
        <v>47.806648245437188</v>
      </c>
      <c r="AK65" s="131">
        <f>100*Z65*oxideAl/$BD65</f>
        <v>0</v>
      </c>
      <c r="AL65" s="131">
        <f>100*AA65*oxideSi/$BD65</f>
        <v>0</v>
      </c>
      <c r="AM65" s="131">
        <f>100*AB65*oxideK/$BD65</f>
        <v>0</v>
      </c>
      <c r="AN65" s="131">
        <f>100*AC65*oxideCa/$BD65</f>
        <v>0</v>
      </c>
      <c r="AO65" s="131">
        <f>100*AD65*oxideFe/$BD65</f>
        <v>0</v>
      </c>
      <c r="AP65" s="131">
        <f>100*AE65*oxideTi/$BD65</f>
        <v>0</v>
      </c>
      <c r="AQ65" s="131">
        <f>100*AF65*oxideC/$BD65</f>
        <v>52.193351754562819</v>
      </c>
      <c r="AR65" s="124"/>
      <c r="AS65" s="6">
        <f>V65*atwtH</f>
        <v>0</v>
      </c>
      <c r="AT65" s="6">
        <f>W65*atwtO</f>
        <v>48</v>
      </c>
      <c r="AU65" s="6">
        <f>X65*atwtNa</f>
        <v>0</v>
      </c>
      <c r="AV65" s="6">
        <f>Y65*atwtMg</f>
        <v>24.312000000000001</v>
      </c>
      <c r="AW65" s="6">
        <f>Z65*atwtAl</f>
        <v>0</v>
      </c>
      <c r="AX65" s="6">
        <f>AA65*atwtSi</f>
        <v>0</v>
      </c>
      <c r="AY65" s="6">
        <f>AB65*atwtK</f>
        <v>0</v>
      </c>
      <c r="AZ65" s="6">
        <f>AC65*atwtCa</f>
        <v>0</v>
      </c>
      <c r="BA65" s="6">
        <f>AD65*atwtFe</f>
        <v>0</v>
      </c>
      <c r="BB65" s="6">
        <f>AE65*atwtTi</f>
        <v>0</v>
      </c>
      <c r="BC65" s="6">
        <f>AF65*atwtC</f>
        <v>12.010999999999999</v>
      </c>
      <c r="BD65" s="124">
        <f>SUM(AS65:BC65)</f>
        <v>84.322999999999993</v>
      </c>
    </row>
    <row r="66" spans="1:56">
      <c r="A66" s="45" t="s">
        <v>93</v>
      </c>
      <c r="B66" s="53" t="s">
        <v>178</v>
      </c>
      <c r="C66" s="53" t="s">
        <v>178</v>
      </c>
      <c r="D66" s="54" t="s">
        <v>178</v>
      </c>
      <c r="E66" s="10" t="s">
        <v>178</v>
      </c>
      <c r="G66"/>
      <c r="H66"/>
      <c r="I66"/>
      <c r="J66"/>
      <c r="K66"/>
      <c r="L66"/>
      <c r="M66"/>
      <c r="N66"/>
      <c r="O66"/>
    </row>
    <row r="67" spans="1:56">
      <c r="B67" s="59" t="s">
        <v>571</v>
      </c>
      <c r="G67"/>
      <c r="H67"/>
      <c r="I67"/>
      <c r="J67"/>
      <c r="K67"/>
      <c r="L67"/>
      <c r="M67"/>
      <c r="N67"/>
      <c r="O67"/>
    </row>
    <row r="68" spans="1:56">
      <c r="F68" s="3"/>
      <c r="G68"/>
      <c r="H68"/>
      <c r="I68"/>
      <c r="J68"/>
      <c r="K68"/>
      <c r="L68"/>
      <c r="M68"/>
      <c r="N68"/>
      <c r="O68"/>
    </row>
    <row r="69" spans="1:56"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spans="1:56"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spans="1:56"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spans="1:56"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spans="1:56">
      <c r="G73"/>
      <c r="H73"/>
      <c r="I73"/>
      <c r="J73"/>
      <c r="K73"/>
      <c r="L73"/>
      <c r="M73"/>
      <c r="N73"/>
      <c r="O73"/>
    </row>
    <row r="74" spans="1:56">
      <c r="A74" s="69" t="s">
        <v>371</v>
      </c>
      <c r="D74" s="69" t="s">
        <v>482</v>
      </c>
      <c r="E74" s="70"/>
      <c r="F74" s="6"/>
      <c r="G74" s="6"/>
      <c r="J74" s="2"/>
      <c r="K74" s="2"/>
      <c r="L74" s="6"/>
      <c r="M74" s="6"/>
      <c r="N74" s="1"/>
      <c r="O74" s="1"/>
      <c r="R74" s="5"/>
      <c r="S74" s="4"/>
      <c r="U74" s="4"/>
      <c r="V74" s="4"/>
      <c r="AI74"/>
      <c r="AJ74"/>
      <c r="AK74"/>
      <c r="AL74"/>
      <c r="AM74"/>
    </row>
    <row r="75" spans="1:56">
      <c r="A75" s="69" t="s">
        <v>372</v>
      </c>
      <c r="D75" s="69" t="s">
        <v>477</v>
      </c>
      <c r="E75" s="70"/>
      <c r="F75" s="6"/>
      <c r="G75" s="6"/>
      <c r="J75" s="2"/>
      <c r="K75" s="2"/>
      <c r="L75" s="6"/>
      <c r="M75" s="6"/>
      <c r="N75" s="1"/>
      <c r="O75" s="1"/>
      <c r="R75" s="5"/>
      <c r="S75" s="4"/>
      <c r="U75" s="4"/>
      <c r="V75" s="4"/>
      <c r="AI75"/>
      <c r="AJ75"/>
      <c r="AK75"/>
      <c r="AL75"/>
      <c r="AM75"/>
    </row>
    <row r="76" spans="1:56">
      <c r="A76" s="69" t="s">
        <v>564</v>
      </c>
      <c r="D76" s="69" t="s">
        <v>539</v>
      </c>
      <c r="E76" s="70"/>
      <c r="F76" s="6"/>
      <c r="G76" s="6"/>
      <c r="J76" s="2"/>
      <c r="K76" s="2"/>
      <c r="L76" s="6"/>
      <c r="M76" s="6"/>
      <c r="N76" s="1"/>
      <c r="O76" s="1"/>
      <c r="R76" s="5"/>
      <c r="S76" s="4"/>
      <c r="U76" s="4"/>
      <c r="V76" s="4"/>
      <c r="AI76"/>
      <c r="AJ76"/>
      <c r="AK76"/>
      <c r="AL76"/>
      <c r="AM76"/>
    </row>
    <row r="77" spans="1:56">
      <c r="A77" s="69" t="s">
        <v>447</v>
      </c>
      <c r="D77" s="69" t="s">
        <v>540</v>
      </c>
      <c r="E77" s="70"/>
      <c r="F77" s="6"/>
      <c r="G77" s="6"/>
      <c r="J77" s="2"/>
      <c r="K77" s="2"/>
      <c r="L77" s="6"/>
      <c r="M77" s="6"/>
      <c r="N77" s="1"/>
      <c r="O77" s="1"/>
      <c r="R77" s="5"/>
      <c r="S77" s="4"/>
      <c r="U77" s="4"/>
      <c r="V77" s="4"/>
      <c r="AI77"/>
      <c r="AJ77"/>
      <c r="AK77"/>
      <c r="AL77"/>
      <c r="AM77"/>
    </row>
    <row r="78" spans="1:56">
      <c r="A78" s="69" t="s">
        <v>373</v>
      </c>
      <c r="D78" s="69" t="s">
        <v>478</v>
      </c>
      <c r="E78" s="70"/>
      <c r="F78" s="6"/>
      <c r="G78" s="6"/>
      <c r="J78" s="2"/>
      <c r="K78" s="2"/>
      <c r="L78" s="6"/>
      <c r="M78" s="6"/>
      <c r="N78" s="1"/>
      <c r="O78" s="1"/>
      <c r="R78" s="5"/>
      <c r="S78" s="4"/>
      <c r="U78" s="4"/>
      <c r="V78" s="4"/>
      <c r="AI78"/>
      <c r="AJ78"/>
      <c r="AK78"/>
      <c r="AL78"/>
      <c r="AM78"/>
    </row>
    <row r="79" spans="1:56">
      <c r="A79" s="69" t="s">
        <v>374</v>
      </c>
      <c r="D79" s="69" t="s">
        <v>479</v>
      </c>
      <c r="E79" s="70"/>
      <c r="F79" s="6"/>
      <c r="G79" s="6"/>
      <c r="J79" s="2"/>
      <c r="K79" s="2"/>
      <c r="L79" s="6"/>
      <c r="M79" s="6"/>
      <c r="N79" s="1"/>
      <c r="O79" s="1"/>
      <c r="R79" s="5"/>
      <c r="S79" s="4"/>
      <c r="U79" s="4"/>
      <c r="V79" s="4"/>
      <c r="AI79"/>
      <c r="AJ79"/>
      <c r="AK79"/>
      <c r="AL79"/>
      <c r="AM79"/>
    </row>
    <row r="80" spans="1:56">
      <c r="A80" s="69" t="s">
        <v>375</v>
      </c>
      <c r="D80" s="69" t="s">
        <v>480</v>
      </c>
      <c r="E80" s="70"/>
      <c r="F80" s="6"/>
      <c r="G80" s="6"/>
      <c r="J80" s="2"/>
      <c r="K80" s="2"/>
      <c r="L80" s="6"/>
      <c r="M80" s="6"/>
      <c r="N80" s="1"/>
      <c r="O80" s="1"/>
      <c r="R80" s="5"/>
      <c r="S80" s="4"/>
      <c r="U80" s="4"/>
      <c r="V80" s="4"/>
      <c r="AI80"/>
      <c r="AJ80"/>
      <c r="AK80"/>
      <c r="AL80"/>
      <c r="AM80"/>
    </row>
    <row r="81" spans="1:22">
      <c r="A81" s="69" t="s">
        <v>556</v>
      </c>
      <c r="D81" s="69" t="s">
        <v>485</v>
      </c>
      <c r="E81" s="70"/>
      <c r="F81" s="6"/>
      <c r="G81" s="6"/>
      <c r="J81" s="2"/>
      <c r="K81" s="2"/>
      <c r="L81" s="6"/>
      <c r="M81" s="6"/>
      <c r="N81" s="1"/>
      <c r="O81" s="1"/>
      <c r="R81" s="5"/>
      <c r="S81" s="4"/>
      <c r="U81" s="4"/>
      <c r="V81" s="4"/>
    </row>
    <row r="82" spans="1:22">
      <c r="A82" s="69" t="s">
        <v>547</v>
      </c>
      <c r="D82" s="69" t="s">
        <v>483</v>
      </c>
      <c r="E82" s="70"/>
      <c r="F82" s="6"/>
      <c r="G82" s="6"/>
      <c r="J82" s="2"/>
      <c r="K82" s="2"/>
      <c r="L82" s="6"/>
      <c r="M82" s="6"/>
      <c r="N82" s="1"/>
      <c r="O82" s="1"/>
      <c r="R82" s="5"/>
      <c r="S82" s="4"/>
      <c r="U82" s="4"/>
      <c r="V82" s="4"/>
    </row>
    <row r="83" spans="1:22">
      <c r="A83" s="69" t="s">
        <v>376</v>
      </c>
      <c r="D83" s="5" t="s">
        <v>486</v>
      </c>
      <c r="E83" s="70"/>
      <c r="F83" s="6"/>
      <c r="G83" s="6"/>
      <c r="J83" s="2"/>
      <c r="K83" s="2"/>
      <c r="L83" s="6"/>
      <c r="M83" s="6"/>
      <c r="N83" s="1"/>
      <c r="O83" s="1"/>
      <c r="R83" s="5"/>
      <c r="S83" s="4"/>
      <c r="U83" s="4"/>
      <c r="V83" s="4"/>
    </row>
    <row r="84" spans="1:22">
      <c r="A84" s="69" t="s">
        <v>377</v>
      </c>
      <c r="D84" s="69" t="s">
        <v>368</v>
      </c>
      <c r="E84" s="70"/>
      <c r="F84" s="6"/>
      <c r="G84" s="6"/>
      <c r="J84" s="2"/>
      <c r="K84" s="2"/>
      <c r="L84" s="6"/>
      <c r="M84" s="6"/>
      <c r="N84" s="1"/>
      <c r="O84" s="1"/>
      <c r="R84" s="5"/>
      <c r="S84" s="4"/>
      <c r="U84" s="4"/>
      <c r="V84" s="4"/>
    </row>
    <row r="85" spans="1:22">
      <c r="A85" s="69" t="s">
        <v>378</v>
      </c>
      <c r="D85" s="69" t="s">
        <v>369</v>
      </c>
      <c r="E85" s="70"/>
      <c r="F85" s="6"/>
      <c r="G85" s="6"/>
      <c r="J85" s="2"/>
      <c r="K85" s="2"/>
      <c r="L85" s="6"/>
      <c r="M85" s="6"/>
      <c r="N85" s="1"/>
      <c r="O85" s="1"/>
      <c r="R85" s="5"/>
      <c r="S85" s="4"/>
      <c r="U85" s="4"/>
      <c r="V85" s="4"/>
    </row>
    <row r="86" spans="1:22">
      <c r="A86" s="69" t="s">
        <v>379</v>
      </c>
      <c r="D86" s="69" t="s">
        <v>384</v>
      </c>
      <c r="E86" s="70"/>
      <c r="F86" s="6"/>
      <c r="G86" s="6"/>
      <c r="J86" s="2"/>
      <c r="K86" s="2"/>
      <c r="L86" s="6"/>
      <c r="M86" s="6"/>
      <c r="N86" s="1"/>
      <c r="O86" s="1"/>
      <c r="R86" s="5"/>
      <c r="S86" s="4"/>
      <c r="U86" s="4"/>
      <c r="V86" s="4"/>
    </row>
    <row r="87" spans="1:22">
      <c r="A87" s="69" t="s">
        <v>583</v>
      </c>
      <c r="D87" s="69" t="s">
        <v>386</v>
      </c>
      <c r="E87" s="70"/>
      <c r="F87" s="6"/>
      <c r="G87" s="6"/>
      <c r="J87" s="2"/>
      <c r="K87" s="2"/>
      <c r="L87" s="6"/>
      <c r="M87" s="6"/>
      <c r="N87" s="1"/>
      <c r="O87" s="1"/>
      <c r="R87" s="5"/>
      <c r="S87" s="4"/>
      <c r="U87" s="4"/>
      <c r="V87" s="4"/>
    </row>
    <row r="88" spans="1:22">
      <c r="A88" s="69" t="s">
        <v>531</v>
      </c>
      <c r="D88" s="69" t="s">
        <v>461</v>
      </c>
      <c r="E88" s="70"/>
      <c r="F88" s="6"/>
      <c r="G88" s="6"/>
      <c r="J88" s="2"/>
      <c r="K88" s="2"/>
      <c r="L88" s="6"/>
      <c r="M88" s="6"/>
      <c r="N88" s="1"/>
      <c r="O88" s="1"/>
      <c r="R88" s="5"/>
      <c r="S88" s="4"/>
      <c r="U88" s="4"/>
      <c r="V88" s="4"/>
    </row>
    <row r="89" spans="1:22">
      <c r="A89" s="69" t="s">
        <v>549</v>
      </c>
      <c r="D89" s="69" t="s">
        <v>389</v>
      </c>
      <c r="E89" s="70"/>
      <c r="F89" s="6"/>
      <c r="G89" s="6"/>
      <c r="J89" s="2"/>
      <c r="K89" s="2"/>
      <c r="L89" s="6"/>
      <c r="M89" s="6"/>
      <c r="N89" s="1"/>
      <c r="O89" s="1"/>
      <c r="R89" s="5"/>
      <c r="S89" s="4"/>
      <c r="U89" s="4"/>
      <c r="V89" s="4"/>
    </row>
    <row r="90" spans="1:22">
      <c r="A90" s="69" t="s">
        <v>380</v>
      </c>
      <c r="D90" s="69" t="s">
        <v>443</v>
      </c>
      <c r="E90" s="70"/>
      <c r="F90" s="6"/>
      <c r="G90" s="6"/>
      <c r="J90" s="2"/>
      <c r="K90" s="2"/>
      <c r="L90" s="6"/>
      <c r="M90" s="6"/>
      <c r="N90" s="1"/>
      <c r="O90" s="1"/>
      <c r="R90" s="5"/>
      <c r="S90" s="4"/>
      <c r="U90" s="4"/>
      <c r="V90" s="4"/>
    </row>
    <row r="91" spans="1:22">
      <c r="A91" s="69" t="s">
        <v>543</v>
      </c>
      <c r="D91" s="69" t="s">
        <v>444</v>
      </c>
      <c r="E91" s="70"/>
      <c r="F91" s="6"/>
      <c r="G91" s="6"/>
      <c r="J91" s="2"/>
      <c r="K91" s="2"/>
      <c r="L91" s="6"/>
      <c r="M91" s="6"/>
      <c r="N91" s="1"/>
      <c r="O91" s="1"/>
      <c r="R91" s="5"/>
      <c r="S91" s="4"/>
      <c r="U91" s="4"/>
      <c r="V91" s="4"/>
    </row>
    <row r="92" spans="1:22">
      <c r="A92" s="69" t="s">
        <v>381</v>
      </c>
      <c r="D92" s="69" t="s">
        <v>487</v>
      </c>
      <c r="E92" s="70"/>
      <c r="F92" s="6"/>
      <c r="G92" s="6"/>
      <c r="J92" s="2"/>
      <c r="K92" s="2"/>
      <c r="L92" s="6"/>
      <c r="M92" s="6"/>
      <c r="N92" s="1"/>
      <c r="O92" s="1"/>
      <c r="R92" s="5"/>
      <c r="S92" s="4"/>
      <c r="U92" s="4"/>
      <c r="V92" s="4"/>
    </row>
    <row r="93" spans="1:22">
      <c r="A93" s="69" t="s">
        <v>552</v>
      </c>
      <c r="D93" s="69" t="s">
        <v>394</v>
      </c>
      <c r="E93" s="70"/>
      <c r="F93" s="6"/>
      <c r="G93" s="6"/>
      <c r="J93" s="2"/>
      <c r="K93" s="2"/>
      <c r="L93" s="6"/>
      <c r="M93" s="6"/>
      <c r="N93" s="1"/>
      <c r="O93" s="1"/>
      <c r="R93" s="5"/>
      <c r="S93" s="4"/>
      <c r="U93" s="4"/>
      <c r="V93" s="4"/>
    </row>
    <row r="94" spans="1:22">
      <c r="A94" s="69" t="s">
        <v>382</v>
      </c>
      <c r="D94" s="69" t="s">
        <v>517</v>
      </c>
      <c r="E94" s="70"/>
      <c r="F94" s="6"/>
      <c r="G94" s="6"/>
      <c r="J94" s="2"/>
      <c r="K94" s="2"/>
      <c r="L94" s="6"/>
      <c r="M94" s="6"/>
      <c r="N94" s="1"/>
      <c r="O94" s="1"/>
      <c r="R94" s="5"/>
      <c r="S94" s="4"/>
      <c r="U94" s="4"/>
      <c r="V94" s="4"/>
    </row>
    <row r="95" spans="1:22">
      <c r="A95" s="69" t="s">
        <v>383</v>
      </c>
      <c r="D95" s="69" t="s">
        <v>471</v>
      </c>
      <c r="E95" s="71"/>
      <c r="F95" s="6"/>
      <c r="G95" s="6"/>
      <c r="J95" s="2"/>
      <c r="K95" s="2"/>
      <c r="L95" s="6"/>
      <c r="M95" s="6"/>
      <c r="N95" s="1"/>
      <c r="O95" s="1"/>
      <c r="R95" s="5"/>
      <c r="S95" s="4"/>
      <c r="U95" s="4"/>
      <c r="V95" s="4"/>
    </row>
    <row r="96" spans="1:22">
      <c r="A96" s="69" t="s">
        <v>385</v>
      </c>
      <c r="D96" s="1" t="s">
        <v>441</v>
      </c>
      <c r="E96" s="69"/>
      <c r="F96" s="6"/>
      <c r="G96" s="6"/>
      <c r="J96" s="2"/>
      <c r="K96" s="2"/>
      <c r="L96" s="6"/>
      <c r="M96" s="6"/>
      <c r="N96" s="1"/>
      <c r="O96" s="1"/>
      <c r="R96" s="5"/>
      <c r="S96" s="4"/>
      <c r="U96" s="4"/>
      <c r="V96" s="4"/>
    </row>
    <row r="97" spans="1:22">
      <c r="A97" s="69" t="s">
        <v>387</v>
      </c>
      <c r="D97" s="69" t="s">
        <v>582</v>
      </c>
      <c r="E97" s="69"/>
      <c r="F97" s="6"/>
      <c r="G97" s="6"/>
      <c r="J97" s="2"/>
      <c r="K97" s="2"/>
      <c r="L97" s="6"/>
      <c r="M97" s="6"/>
      <c r="N97" s="1"/>
      <c r="O97" s="1"/>
      <c r="R97" s="5"/>
      <c r="S97" s="4"/>
      <c r="U97" s="4"/>
      <c r="V97" s="4"/>
    </row>
    <row r="98" spans="1:22">
      <c r="A98" s="69" t="s">
        <v>388</v>
      </c>
      <c r="D98" s="3" t="s">
        <v>488</v>
      </c>
      <c r="E98" s="69"/>
      <c r="F98" s="6"/>
      <c r="G98" s="6"/>
      <c r="J98" s="2"/>
      <c r="K98" s="2"/>
      <c r="L98" s="6"/>
      <c r="M98" s="6"/>
      <c r="N98" s="1"/>
      <c r="O98" s="1"/>
      <c r="R98" s="5"/>
      <c r="S98" s="4"/>
      <c r="U98" s="4"/>
      <c r="V98" s="4"/>
    </row>
    <row r="99" spans="1:22">
      <c r="A99" s="69" t="s">
        <v>450</v>
      </c>
      <c r="D99" s="4" t="s">
        <v>459</v>
      </c>
      <c r="E99" s="70"/>
      <c r="F99" s="6"/>
      <c r="G99" s="6"/>
      <c r="J99" s="2"/>
      <c r="K99" s="2"/>
      <c r="L99" s="6"/>
      <c r="M99" s="6"/>
      <c r="N99" s="1"/>
      <c r="O99" s="1"/>
      <c r="R99" s="5"/>
      <c r="S99" s="4"/>
      <c r="U99" s="4"/>
      <c r="V99" s="4"/>
    </row>
    <row r="100" spans="1:22">
      <c r="A100" s="69" t="s">
        <v>456</v>
      </c>
      <c r="D100" s="4" t="s">
        <v>452</v>
      </c>
      <c r="E100" s="70"/>
      <c r="F100" s="6"/>
      <c r="G100" s="6"/>
      <c r="J100" s="2"/>
      <c r="K100" s="2"/>
      <c r="L100" s="6"/>
      <c r="M100" s="6"/>
      <c r="N100" s="1"/>
      <c r="O100" s="1"/>
      <c r="R100" s="5"/>
      <c r="S100" s="4"/>
      <c r="U100" s="4"/>
      <c r="V100" s="4"/>
    </row>
    <row r="101" spans="1:22">
      <c r="A101" s="69" t="s">
        <v>390</v>
      </c>
      <c r="D101" s="4" t="s">
        <v>455</v>
      </c>
      <c r="E101" s="70"/>
      <c r="F101" s="6"/>
      <c r="G101" s="6"/>
      <c r="J101" s="2"/>
      <c r="K101" s="2"/>
      <c r="L101" s="6"/>
      <c r="M101" s="6"/>
      <c r="N101" s="1"/>
      <c r="O101" s="1"/>
      <c r="R101" s="5"/>
      <c r="S101" s="4"/>
      <c r="U101" s="4"/>
      <c r="V101" s="4"/>
    </row>
    <row r="102" spans="1:22">
      <c r="A102" s="69" t="s">
        <v>445</v>
      </c>
      <c r="D102" s="4" t="s">
        <v>458</v>
      </c>
      <c r="E102" s="70"/>
      <c r="F102" s="6"/>
      <c r="G102" s="6"/>
      <c r="J102" s="2"/>
      <c r="K102" s="2"/>
      <c r="L102" s="6"/>
      <c r="M102" s="6"/>
      <c r="N102" s="1"/>
      <c r="O102" s="1"/>
      <c r="R102" s="5"/>
      <c r="S102" s="4"/>
      <c r="U102" s="4"/>
      <c r="V102" s="4"/>
    </row>
    <row r="103" spans="1:22">
      <c r="A103" s="69" t="s">
        <v>391</v>
      </c>
      <c r="D103" s="3" t="s">
        <v>460</v>
      </c>
      <c r="E103" s="3"/>
      <c r="F103" s="6"/>
      <c r="G103" s="6"/>
      <c r="J103" s="2"/>
      <c r="K103" s="2"/>
      <c r="L103" s="6"/>
      <c r="M103" s="6"/>
      <c r="N103" s="1"/>
      <c r="O103" s="1"/>
      <c r="R103" s="5"/>
      <c r="S103" s="4"/>
      <c r="U103" s="4"/>
      <c r="V103" s="4"/>
    </row>
    <row r="104" spans="1:22">
      <c r="A104" s="69" t="s">
        <v>392</v>
      </c>
      <c r="D104" s="69" t="s">
        <v>474</v>
      </c>
      <c r="F104" s="4"/>
      <c r="G104" s="4"/>
      <c r="J104" s="2"/>
      <c r="K104" s="2"/>
      <c r="L104" s="6"/>
      <c r="M104" s="6"/>
      <c r="N104" s="1"/>
      <c r="O104" s="1"/>
      <c r="R104" s="5"/>
      <c r="S104" s="4"/>
      <c r="U104" s="4"/>
      <c r="V104" s="4"/>
    </row>
    <row r="105" spans="1:22">
      <c r="A105" s="69" t="s">
        <v>532</v>
      </c>
      <c r="D105" s="5" t="s">
        <v>475</v>
      </c>
      <c r="F105" s="4"/>
      <c r="G105" s="4"/>
      <c r="J105" s="2"/>
      <c r="K105" s="2"/>
      <c r="L105" s="6"/>
      <c r="M105" s="6"/>
      <c r="N105" s="1"/>
      <c r="O105" s="1"/>
      <c r="R105" s="5"/>
      <c r="S105" s="4"/>
      <c r="U105" s="4"/>
      <c r="V105" s="4"/>
    </row>
    <row r="106" spans="1:22">
      <c r="A106" s="69" t="s">
        <v>393</v>
      </c>
      <c r="D106" s="69" t="s">
        <v>494</v>
      </c>
      <c r="E106" s="3"/>
      <c r="F106" s="6"/>
      <c r="G106" s="6"/>
      <c r="H106" s="4"/>
      <c r="I106" s="4"/>
      <c r="J106" s="2"/>
      <c r="K106" s="2"/>
      <c r="L106" s="6"/>
      <c r="M106" s="6"/>
      <c r="N106" s="1"/>
      <c r="O106" s="1"/>
      <c r="R106" s="5"/>
      <c r="S106" s="4"/>
      <c r="U106" s="4"/>
      <c r="V106" s="4"/>
    </row>
    <row r="107" spans="1:22">
      <c r="A107" s="69" t="s">
        <v>481</v>
      </c>
      <c r="D107" s="5" t="s">
        <v>520</v>
      </c>
      <c r="E107" s="3"/>
      <c r="F107" s="6"/>
      <c r="G107" s="6"/>
      <c r="J107" s="2"/>
      <c r="K107" s="2"/>
      <c r="L107" s="6"/>
      <c r="M107" s="6"/>
      <c r="N107" s="1"/>
      <c r="O107" s="1"/>
      <c r="R107" s="5"/>
      <c r="S107" s="4"/>
      <c r="U107" s="4"/>
      <c r="V107" s="4"/>
    </row>
    <row r="108" spans="1:22">
      <c r="A108" s="69" t="s">
        <v>430</v>
      </c>
      <c r="D108" s="5" t="s">
        <v>538</v>
      </c>
      <c r="E108" s="3"/>
      <c r="F108" s="6"/>
      <c r="G108" s="6"/>
      <c r="J108" s="2"/>
      <c r="K108" s="2"/>
      <c r="L108" s="6"/>
      <c r="M108" s="6"/>
      <c r="N108" s="1"/>
      <c r="O108" s="1"/>
      <c r="R108" s="5"/>
      <c r="S108" s="4"/>
      <c r="U108" s="4"/>
      <c r="V108" s="4"/>
    </row>
    <row r="109" spans="1:22">
      <c r="A109" s="69" t="s">
        <v>395</v>
      </c>
      <c r="D109" s="5" t="s">
        <v>512</v>
      </c>
      <c r="F109" s="4"/>
      <c r="G109" s="4"/>
      <c r="J109" s="2"/>
      <c r="K109" s="2"/>
      <c r="L109" s="6"/>
      <c r="M109" s="6"/>
      <c r="N109" s="1"/>
      <c r="O109" s="1"/>
      <c r="R109" s="5"/>
      <c r="S109" s="4"/>
      <c r="U109" s="4"/>
      <c r="V109" s="4"/>
    </row>
    <row r="110" spans="1:22">
      <c r="A110" s="69" t="s">
        <v>396</v>
      </c>
      <c r="D110" s="5" t="s">
        <v>548</v>
      </c>
      <c r="F110" s="4"/>
      <c r="G110" s="4"/>
      <c r="J110" s="2"/>
      <c r="K110" s="2"/>
      <c r="L110" s="6"/>
      <c r="M110" s="6"/>
      <c r="N110" s="1"/>
      <c r="O110" s="1"/>
      <c r="R110" s="5"/>
      <c r="S110" s="4"/>
      <c r="U110" s="4"/>
      <c r="V110" s="4"/>
    </row>
    <row r="111" spans="1:22">
      <c r="A111" s="69" t="s">
        <v>397</v>
      </c>
      <c r="D111" s="5" t="s">
        <v>514</v>
      </c>
      <c r="F111" s="4"/>
      <c r="G111" s="4"/>
      <c r="J111" s="2"/>
      <c r="K111" s="2"/>
      <c r="L111" s="6"/>
      <c r="M111" s="6"/>
      <c r="N111" s="1"/>
      <c r="O111" s="1"/>
      <c r="R111" s="5"/>
      <c r="S111" s="4"/>
      <c r="U111" s="4"/>
      <c r="V111" s="4"/>
    </row>
    <row r="112" spans="1:22">
      <c r="A112" s="69" t="s">
        <v>536</v>
      </c>
      <c r="D112" s="5" t="s">
        <v>515</v>
      </c>
      <c r="F112" s="4"/>
      <c r="G112" s="4"/>
      <c r="J112" s="2"/>
      <c r="K112" s="2"/>
      <c r="L112" s="6"/>
      <c r="M112" s="6"/>
      <c r="N112" s="1"/>
      <c r="O112" s="1"/>
      <c r="R112" s="5"/>
      <c r="S112" s="4"/>
      <c r="U112" s="4"/>
      <c r="V112" s="4"/>
    </row>
    <row r="113" spans="1:22">
      <c r="A113" s="69" t="s">
        <v>545</v>
      </c>
      <c r="D113" s="5" t="s">
        <v>518</v>
      </c>
      <c r="F113" s="4"/>
      <c r="G113" s="4"/>
      <c r="J113" s="2"/>
      <c r="K113" s="2"/>
      <c r="L113" s="6"/>
      <c r="M113" s="6"/>
      <c r="N113" s="1"/>
      <c r="O113" s="1"/>
      <c r="R113" s="5"/>
      <c r="S113" s="4"/>
      <c r="U113" s="4"/>
      <c r="V113" s="4"/>
    </row>
    <row r="114" spans="1:22">
      <c r="A114" s="69" t="s">
        <v>502</v>
      </c>
      <c r="D114" s="5" t="s">
        <v>521</v>
      </c>
      <c r="E114" s="3"/>
      <c r="F114" s="4"/>
      <c r="G114" s="4"/>
      <c r="J114" s="2"/>
      <c r="K114" s="2"/>
      <c r="L114" s="6"/>
      <c r="M114" s="6"/>
      <c r="N114" s="1"/>
      <c r="O114" s="1"/>
      <c r="R114" s="5"/>
      <c r="S114" s="4"/>
      <c r="U114" s="4"/>
      <c r="V114" s="4"/>
    </row>
    <row r="115" spans="1:22">
      <c r="A115" s="69" t="s">
        <v>398</v>
      </c>
      <c r="D115" s="5" t="s">
        <v>523</v>
      </c>
      <c r="E115" s="3"/>
      <c r="F115" s="6"/>
      <c r="G115" s="6"/>
      <c r="J115" s="2"/>
      <c r="K115" s="2"/>
      <c r="L115" s="6"/>
      <c r="M115" s="6"/>
      <c r="N115" s="1"/>
      <c r="O115" s="1"/>
      <c r="R115" s="5"/>
      <c r="S115" s="4"/>
      <c r="U115" s="4"/>
      <c r="V115" s="4"/>
    </row>
    <row r="116" spans="1:22">
      <c r="A116" s="69" t="s">
        <v>431</v>
      </c>
      <c r="F116" s="6"/>
      <c r="G116" s="6"/>
      <c r="J116" s="2"/>
      <c r="K116" s="2"/>
      <c r="L116" s="6"/>
      <c r="M116" s="6"/>
      <c r="N116" s="1"/>
      <c r="O116" s="1"/>
      <c r="R116" s="5"/>
      <c r="S116" s="4"/>
      <c r="U116" s="4"/>
      <c r="V116" s="4"/>
    </row>
    <row r="117" spans="1:22">
      <c r="A117" s="69" t="s">
        <v>426</v>
      </c>
      <c r="K117" s="2"/>
      <c r="L117" s="6"/>
      <c r="M117" s="6"/>
      <c r="N117" s="1"/>
      <c r="O117" s="1"/>
      <c r="R117" s="5"/>
      <c r="S117" s="4"/>
      <c r="U117" s="4"/>
      <c r="V117" s="4"/>
    </row>
    <row r="118" spans="1:22">
      <c r="A118" s="69" t="s">
        <v>414</v>
      </c>
      <c r="U118" s="4"/>
      <c r="V118" s="4"/>
    </row>
    <row r="119" spans="1:22">
      <c r="A119" s="69" t="s">
        <v>370</v>
      </c>
      <c r="U119" s="4"/>
      <c r="V119" s="4"/>
    </row>
    <row r="120" spans="1:22">
      <c r="A120" s="69" t="s">
        <v>422</v>
      </c>
      <c r="U120" s="4"/>
      <c r="V120" s="4"/>
    </row>
    <row r="121" spans="1:22">
      <c r="A121" s="69" t="s">
        <v>421</v>
      </c>
      <c r="H121" s="4"/>
      <c r="I121" s="4"/>
      <c r="J121" s="4"/>
      <c r="U121" s="4"/>
      <c r="V121" s="4"/>
    </row>
    <row r="122" spans="1:22">
      <c r="A122" s="69" t="s">
        <v>420</v>
      </c>
      <c r="H122" s="2"/>
      <c r="J122" s="2"/>
      <c r="K122" s="4"/>
      <c r="L122" s="4"/>
      <c r="M122" s="6"/>
      <c r="N122" s="1"/>
      <c r="O122" s="1"/>
      <c r="R122" s="5"/>
      <c r="S122" s="4"/>
      <c r="U122" s="4"/>
      <c r="V122" s="4"/>
    </row>
    <row r="123" spans="1:22">
      <c r="A123" s="69" t="s">
        <v>399</v>
      </c>
      <c r="H123" s="2"/>
      <c r="J123" s="2"/>
      <c r="K123" s="2"/>
      <c r="L123" s="6"/>
      <c r="M123" s="6"/>
      <c r="N123" s="1"/>
      <c r="O123" s="1"/>
      <c r="R123" s="5"/>
      <c r="S123" s="4"/>
      <c r="U123" s="4"/>
      <c r="V123" s="4"/>
    </row>
    <row r="124" spans="1:22">
      <c r="A124" s="69" t="s">
        <v>500</v>
      </c>
      <c r="F124" s="4"/>
      <c r="H124" s="2"/>
      <c r="J124" s="2"/>
      <c r="K124" s="2"/>
      <c r="L124" s="6"/>
      <c r="M124" s="6"/>
      <c r="N124" s="1"/>
      <c r="O124" s="1"/>
      <c r="R124" s="5"/>
      <c r="S124" s="4"/>
      <c r="U124" s="4"/>
      <c r="V124" s="4"/>
    </row>
    <row r="125" spans="1:22">
      <c r="A125" s="69" t="s">
        <v>565</v>
      </c>
      <c r="D125" s="4"/>
      <c r="F125" s="4"/>
      <c r="H125" s="2"/>
      <c r="J125" s="2"/>
      <c r="K125" s="2"/>
      <c r="L125" s="6"/>
      <c r="M125" s="6"/>
      <c r="N125" s="1"/>
      <c r="O125" s="1"/>
      <c r="R125" s="5"/>
      <c r="S125" s="4"/>
      <c r="U125" s="4"/>
      <c r="V125" s="4"/>
    </row>
    <row r="126" spans="1:22">
      <c r="A126" s="69" t="s">
        <v>492</v>
      </c>
      <c r="D126"/>
      <c r="U126" s="4"/>
      <c r="V126" s="4"/>
    </row>
    <row r="127" spans="1:22">
      <c r="A127" s="69" t="s">
        <v>429</v>
      </c>
      <c r="D127"/>
      <c r="U127" s="4"/>
      <c r="V127" s="4"/>
    </row>
    <row r="128" spans="1:22">
      <c r="A128" s="69" t="s">
        <v>436</v>
      </c>
      <c r="D128"/>
      <c r="U128" s="4"/>
      <c r="V128" s="4"/>
    </row>
    <row r="129" spans="1:23">
      <c r="A129" s="69" t="s">
        <v>562</v>
      </c>
      <c r="D129"/>
      <c r="U129" s="4"/>
      <c r="V129" s="4"/>
    </row>
    <row r="130" spans="1:23">
      <c r="A130" s="69" t="s">
        <v>437</v>
      </c>
      <c r="D130"/>
      <c r="U130" s="4"/>
      <c r="V130" s="4"/>
    </row>
    <row r="131" spans="1:23">
      <c r="A131" s="69" t="s">
        <v>506</v>
      </c>
      <c r="D131"/>
      <c r="U131" s="4"/>
      <c r="V131" s="4"/>
    </row>
    <row r="132" spans="1:23">
      <c r="A132" s="69" t="s">
        <v>553</v>
      </c>
      <c r="D132"/>
      <c r="E132"/>
      <c r="U132" s="4"/>
      <c r="V132" s="4"/>
    </row>
    <row r="133" spans="1:23">
      <c r="A133" s="69" t="s">
        <v>400</v>
      </c>
      <c r="D133"/>
      <c r="E133"/>
      <c r="U133" s="4"/>
      <c r="V133" s="4"/>
    </row>
    <row r="134" spans="1:23">
      <c r="A134" s="69" t="s">
        <v>497</v>
      </c>
      <c r="D134"/>
      <c r="E134"/>
      <c r="F134" s="4"/>
      <c r="G134" s="6"/>
      <c r="H134" s="6"/>
      <c r="J134" s="2"/>
      <c r="K134" s="2"/>
      <c r="L134" s="6"/>
      <c r="M134" s="6"/>
      <c r="N134" s="1"/>
      <c r="O134" s="1"/>
      <c r="R134" s="5"/>
      <c r="S134" s="4"/>
      <c r="U134" s="4"/>
      <c r="V134" s="4"/>
    </row>
    <row r="135" spans="1:23">
      <c r="A135" s="69" t="s">
        <v>489</v>
      </c>
      <c r="D135"/>
      <c r="E135"/>
      <c r="F135" s="3"/>
      <c r="G135" s="6"/>
      <c r="H135" s="2"/>
      <c r="I135" s="4"/>
      <c r="J135" s="4"/>
      <c r="K135" s="2"/>
      <c r="L135" s="6"/>
      <c r="M135" s="6"/>
      <c r="N135" s="1"/>
      <c r="O135" s="1"/>
      <c r="R135" s="5"/>
      <c r="S135" s="4"/>
      <c r="U135" s="4"/>
      <c r="V135" s="4"/>
    </row>
    <row r="136" spans="1:23">
      <c r="A136" s="69" t="s">
        <v>401</v>
      </c>
      <c r="D136"/>
      <c r="E136"/>
      <c r="F136" s="4"/>
      <c r="G136" s="8"/>
      <c r="H136" s="2"/>
      <c r="J136" s="2"/>
      <c r="K136" s="4"/>
      <c r="L136" s="4"/>
      <c r="M136" s="4"/>
      <c r="N136" s="4"/>
      <c r="O136" s="1"/>
      <c r="R136" s="5"/>
      <c r="S136" s="4"/>
      <c r="U136" s="4"/>
      <c r="V136" s="4"/>
    </row>
    <row r="137" spans="1:23">
      <c r="A137" s="69" t="s">
        <v>402</v>
      </c>
      <c r="D137" s="3"/>
      <c r="E137"/>
      <c r="F137"/>
      <c r="G137"/>
      <c r="H137"/>
      <c r="I137"/>
      <c r="J137" s="2"/>
      <c r="K137"/>
      <c r="L137"/>
      <c r="M137"/>
      <c r="N137"/>
      <c r="O137"/>
      <c r="P137"/>
      <c r="Q137"/>
      <c r="R137"/>
      <c r="S137"/>
      <c r="U137" s="4"/>
      <c r="V137" s="4"/>
    </row>
    <row r="138" spans="1:23">
      <c r="A138" s="69" t="s">
        <v>434</v>
      </c>
      <c r="D138" s="3"/>
      <c r="E138"/>
      <c r="F138"/>
      <c r="G138"/>
      <c r="H138"/>
      <c r="I138"/>
      <c r="J138" s="2"/>
      <c r="K138"/>
      <c r="L138"/>
      <c r="M138"/>
      <c r="N138"/>
      <c r="O138"/>
      <c r="P138"/>
      <c r="Q138"/>
      <c r="R138"/>
      <c r="S138"/>
      <c r="U138" s="4"/>
      <c r="V138" s="4"/>
    </row>
    <row r="139" spans="1:23">
      <c r="A139" s="69" t="s">
        <v>403</v>
      </c>
      <c r="D139" s="59"/>
      <c r="E139"/>
      <c r="F139"/>
      <c r="G139"/>
      <c r="H139"/>
      <c r="I139"/>
      <c r="J139" s="2"/>
      <c r="K139"/>
      <c r="L139"/>
      <c r="M139"/>
      <c r="N139"/>
      <c r="O139"/>
      <c r="P139"/>
      <c r="Q139"/>
      <c r="R139"/>
      <c r="S139"/>
      <c r="U139" s="4"/>
      <c r="V139" s="59"/>
      <c r="W139" s="59"/>
    </row>
    <row r="140" spans="1:23">
      <c r="A140" s="69" t="s">
        <v>473</v>
      </c>
      <c r="D140" s="59"/>
      <c r="E140"/>
      <c r="F140"/>
      <c r="G140"/>
      <c r="H140"/>
      <c r="I140"/>
      <c r="J140" s="2"/>
      <c r="K140"/>
      <c r="L140"/>
      <c r="M140"/>
      <c r="N140"/>
      <c r="O140"/>
      <c r="P140"/>
      <c r="Q140"/>
      <c r="R140"/>
      <c r="S140"/>
      <c r="U140" s="4"/>
      <c r="V140" s="59"/>
      <c r="W140" s="59"/>
    </row>
    <row r="141" spans="1:23">
      <c r="A141" s="13" t="s">
        <v>527</v>
      </c>
      <c r="D141" s="59"/>
      <c r="E141"/>
      <c r="F141"/>
      <c r="G141"/>
      <c r="H141"/>
      <c r="I141"/>
      <c r="J141" s="2"/>
      <c r="K141"/>
      <c r="L141"/>
      <c r="M141"/>
      <c r="N141"/>
      <c r="O141"/>
      <c r="P141"/>
      <c r="Q141"/>
      <c r="R141"/>
      <c r="S141"/>
      <c r="U141" s="4"/>
      <c r="V141" s="59"/>
      <c r="W141" s="59"/>
    </row>
    <row r="142" spans="1:23">
      <c r="A142" s="69" t="s">
        <v>404</v>
      </c>
      <c r="D142" s="59"/>
      <c r="E142"/>
      <c r="F142"/>
      <c r="G142"/>
      <c r="H142"/>
      <c r="I142"/>
      <c r="J142" s="2"/>
      <c r="K142"/>
      <c r="L142"/>
      <c r="M142"/>
      <c r="N142"/>
      <c r="O142"/>
      <c r="P142"/>
      <c r="Q142"/>
      <c r="R142"/>
      <c r="S142"/>
      <c r="U142" s="4"/>
      <c r="V142" s="59"/>
      <c r="W142" s="59"/>
    </row>
    <row r="143" spans="1:23">
      <c r="A143" s="69" t="s">
        <v>542</v>
      </c>
      <c r="D143" s="59"/>
      <c r="E143"/>
      <c r="F143"/>
      <c r="G143"/>
      <c r="H143"/>
      <c r="I143"/>
      <c r="J143" s="59"/>
      <c r="K143"/>
      <c r="L143"/>
      <c r="M143"/>
      <c r="N143"/>
      <c r="O143"/>
      <c r="P143"/>
      <c r="Q143"/>
      <c r="R143"/>
      <c r="S143"/>
      <c r="U143" s="4"/>
      <c r="V143" s="59"/>
      <c r="W143" s="59"/>
    </row>
    <row r="144" spans="1:23" s="59" customFormat="1">
      <c r="A144" s="69" t="s">
        <v>405</v>
      </c>
      <c r="B144" s="1"/>
      <c r="D144" s="13"/>
      <c r="E144"/>
      <c r="F144"/>
      <c r="G144"/>
      <c r="H144"/>
      <c r="I144"/>
      <c r="K144"/>
      <c r="L144"/>
      <c r="M144"/>
      <c r="N144"/>
      <c r="O144"/>
      <c r="P144"/>
      <c r="Q144"/>
      <c r="R144"/>
      <c r="S144"/>
      <c r="T144" s="6"/>
      <c r="U144" s="4"/>
    </row>
    <row r="145" spans="1:255" s="59" customFormat="1">
      <c r="A145" s="69" t="s">
        <v>406</v>
      </c>
      <c r="B145" s="1"/>
      <c r="D145" s="4"/>
      <c r="E145"/>
      <c r="F145"/>
      <c r="G145"/>
      <c r="H145"/>
      <c r="I145"/>
      <c r="K145"/>
      <c r="L145"/>
      <c r="M145"/>
      <c r="N145"/>
      <c r="O145"/>
      <c r="P145"/>
      <c r="Q145"/>
      <c r="R145"/>
      <c r="S145"/>
      <c r="T145" s="6"/>
      <c r="U145" s="4"/>
    </row>
    <row r="146" spans="1:255" s="59" customFormat="1">
      <c r="A146" s="69" t="s">
        <v>412</v>
      </c>
      <c r="B146" s="1"/>
      <c r="D146" s="4"/>
      <c r="E146"/>
      <c r="F146"/>
      <c r="G146"/>
      <c r="H146"/>
      <c r="I146"/>
      <c r="J146" s="2"/>
      <c r="K146"/>
      <c r="L146"/>
      <c r="M146"/>
      <c r="N146"/>
      <c r="O146"/>
      <c r="P146"/>
      <c r="Q146"/>
      <c r="R146"/>
      <c r="S146"/>
      <c r="T146" s="6"/>
      <c r="U146" s="4"/>
      <c r="AH146" s="72"/>
      <c r="AI146" s="72"/>
      <c r="AJ146" s="72"/>
      <c r="AK146" s="72"/>
      <c r="AL146" s="72"/>
      <c r="AM146" s="72"/>
      <c r="AN146" s="72"/>
      <c r="AO146" s="72"/>
      <c r="AP146" s="72"/>
      <c r="AQ146" s="72"/>
    </row>
    <row r="147" spans="1:255" s="59" customFormat="1">
      <c r="A147" s="69" t="s">
        <v>418</v>
      </c>
      <c r="B147" s="1"/>
      <c r="D147" s="4"/>
      <c r="E147"/>
      <c r="F147"/>
      <c r="G147"/>
      <c r="H147"/>
      <c r="I147"/>
      <c r="J147" s="2"/>
      <c r="K147"/>
      <c r="L147"/>
      <c r="M147"/>
      <c r="N147"/>
      <c r="O147"/>
      <c r="P147"/>
      <c r="Q147"/>
      <c r="R147"/>
      <c r="S147"/>
      <c r="T147" s="6"/>
      <c r="U147" s="4"/>
      <c r="AH147" s="72"/>
      <c r="AI147" s="72"/>
      <c r="AJ147" s="72"/>
      <c r="AK147" s="72"/>
      <c r="AL147" s="72"/>
      <c r="AM147" s="72"/>
      <c r="AN147" s="72"/>
      <c r="AO147" s="72"/>
      <c r="AP147" s="72"/>
      <c r="AQ147" s="72"/>
    </row>
    <row r="148" spans="1:255" s="59" customFormat="1">
      <c r="A148" s="69" t="s">
        <v>407</v>
      </c>
      <c r="B148" s="1"/>
      <c r="D148" s="4"/>
      <c r="E148" s="3"/>
      <c r="F148" s="6"/>
      <c r="G148" s="6"/>
      <c r="H148" s="3"/>
      <c r="I148" s="3"/>
      <c r="J148" s="2"/>
      <c r="K148"/>
      <c r="L148"/>
      <c r="M148"/>
      <c r="N148"/>
      <c r="O148"/>
      <c r="P148"/>
      <c r="Q148"/>
      <c r="R148"/>
      <c r="S148"/>
      <c r="U148" s="4"/>
      <c r="V148" s="4"/>
      <c r="W148" s="4"/>
      <c r="AH148" s="72"/>
      <c r="AI148" s="72"/>
      <c r="AJ148" s="72"/>
      <c r="AK148" s="72"/>
      <c r="AL148" s="72"/>
      <c r="AM148" s="72"/>
      <c r="AN148" s="72"/>
      <c r="AO148" s="72"/>
      <c r="AP148" s="72"/>
      <c r="AQ148" s="72"/>
    </row>
    <row r="149" spans="1:255" s="59" customFormat="1">
      <c r="A149" s="61" t="s">
        <v>442</v>
      </c>
      <c r="B149" s="1"/>
      <c r="D149" s="5"/>
      <c r="E149" s="3"/>
      <c r="F149" s="6"/>
      <c r="G149" s="6"/>
      <c r="H149" s="3"/>
      <c r="I149" s="3"/>
      <c r="J149" s="2"/>
      <c r="K149"/>
      <c r="L149"/>
      <c r="M149"/>
      <c r="N149"/>
      <c r="O149"/>
      <c r="P149"/>
      <c r="Q149"/>
      <c r="R149"/>
      <c r="S149"/>
      <c r="U149" s="4"/>
      <c r="V149" s="4"/>
      <c r="W149" s="4"/>
      <c r="AH149" s="72"/>
      <c r="AI149" s="72"/>
      <c r="AJ149" s="72"/>
      <c r="AK149" s="72"/>
      <c r="AL149" s="72"/>
      <c r="AM149" s="72"/>
      <c r="AN149" s="72"/>
      <c r="AO149" s="72"/>
      <c r="AP149" s="72"/>
      <c r="AQ149" s="72"/>
    </row>
    <row r="150" spans="1:255" s="59" customFormat="1">
      <c r="A150" s="69" t="s">
        <v>416</v>
      </c>
      <c r="B150" s="1"/>
      <c r="D150" s="5"/>
      <c r="K150"/>
      <c r="L150"/>
      <c r="M150"/>
      <c r="N150"/>
      <c r="O150"/>
      <c r="P150"/>
      <c r="Q150"/>
      <c r="R150"/>
      <c r="S150"/>
      <c r="AH150" s="72"/>
      <c r="AI150" s="72"/>
      <c r="AJ150" s="72"/>
      <c r="AK150" s="72"/>
      <c r="AL150" s="72"/>
      <c r="AM150" s="72"/>
      <c r="AN150" s="72"/>
      <c r="AO150" s="72"/>
      <c r="AP150" s="72"/>
      <c r="AQ150" s="72"/>
    </row>
    <row r="151" spans="1:255" s="59" customFormat="1">
      <c r="A151" s="69" t="s">
        <v>529</v>
      </c>
      <c r="B151" s="1"/>
      <c r="D151" s="5"/>
      <c r="K151"/>
      <c r="L151"/>
      <c r="M151"/>
      <c r="N151"/>
      <c r="O151"/>
      <c r="P151"/>
      <c r="Q151"/>
      <c r="R151"/>
      <c r="S151"/>
      <c r="AH151" s="72"/>
      <c r="AI151" s="72"/>
      <c r="AJ151" s="72"/>
      <c r="AK151" s="72"/>
      <c r="AL151" s="72"/>
      <c r="AM151" s="72"/>
      <c r="AN151" s="72"/>
      <c r="AO151" s="72"/>
      <c r="AP151" s="72"/>
      <c r="AQ151" s="72"/>
    </row>
    <row r="152" spans="1:255" s="59" customFormat="1">
      <c r="A152" s="69" t="s">
        <v>408</v>
      </c>
      <c r="B152" s="1"/>
      <c r="D152" s="5"/>
      <c r="AH152" s="72"/>
      <c r="AI152" s="72"/>
      <c r="AJ152" s="72"/>
      <c r="AK152" s="72"/>
      <c r="AL152" s="72"/>
      <c r="AM152" s="72"/>
      <c r="AN152" s="72"/>
      <c r="AO152" s="72"/>
      <c r="AP152" s="72"/>
      <c r="AQ152" s="72"/>
    </row>
    <row r="153" spans="1:255" s="59" customFormat="1">
      <c r="A153" s="69" t="s">
        <v>559</v>
      </c>
      <c r="B153" s="1"/>
      <c r="D153" s="5"/>
      <c r="AH153" s="72"/>
      <c r="AI153" s="72"/>
      <c r="AJ153" s="72"/>
      <c r="AK153" s="72"/>
      <c r="AL153" s="72"/>
      <c r="AM153" s="72"/>
      <c r="AN153" s="72"/>
      <c r="AO153" s="72"/>
      <c r="AP153" s="72"/>
      <c r="AQ153" s="72"/>
    </row>
    <row r="154" spans="1:255" s="102" customFormat="1">
      <c r="A154" s="69" t="s">
        <v>409</v>
      </c>
      <c r="B154" s="13"/>
      <c r="C154" s="13"/>
      <c r="D154" s="5"/>
      <c r="E154" s="59"/>
      <c r="F154" s="59"/>
      <c r="G154" s="59"/>
      <c r="H154" s="59"/>
      <c r="I154" s="59"/>
      <c r="J154" s="59"/>
      <c r="K154" s="59"/>
      <c r="L154" s="59"/>
      <c r="M154" s="59"/>
      <c r="N154" s="59"/>
      <c r="O154" s="59"/>
      <c r="P154" s="59"/>
      <c r="Q154" s="59"/>
      <c r="R154" s="59"/>
      <c r="S154" s="59"/>
      <c r="T154" s="59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3"/>
      <c r="AI154" s="13"/>
      <c r="AJ154" s="13"/>
      <c r="AK154" s="13"/>
      <c r="AL154" s="13"/>
      <c r="AM154" s="13"/>
      <c r="AN154" s="13"/>
      <c r="AO154" s="13"/>
      <c r="AP154" s="13"/>
      <c r="AQ154" s="13"/>
      <c r="AR154" s="13"/>
      <c r="AS154" s="13"/>
      <c r="AT154" s="13"/>
      <c r="AU154" s="13"/>
      <c r="AV154" s="13"/>
      <c r="AW154" s="13"/>
      <c r="AX154" s="13"/>
      <c r="AY154" s="13"/>
      <c r="AZ154" s="13"/>
      <c r="BA154" s="13"/>
      <c r="BB154" s="13"/>
      <c r="BC154" s="13"/>
      <c r="BD154" s="13"/>
      <c r="BE154" s="13"/>
      <c r="BF154" s="13"/>
      <c r="BG154" s="13"/>
      <c r="BH154" s="13"/>
      <c r="BI154" s="13"/>
      <c r="BJ154" s="13"/>
      <c r="BK154" s="13"/>
      <c r="BL154" s="13"/>
      <c r="BM154" s="13"/>
      <c r="BN154" s="13"/>
      <c r="BO154" s="13"/>
      <c r="BP154" s="13"/>
      <c r="BQ154" s="13"/>
      <c r="BR154" s="13"/>
      <c r="BS154" s="13"/>
      <c r="BT154" s="13"/>
      <c r="BU154" s="13"/>
      <c r="BV154" s="13"/>
      <c r="BW154" s="13"/>
      <c r="BX154" s="13"/>
      <c r="BY154" s="13"/>
      <c r="BZ154" s="13"/>
      <c r="CA154" s="13"/>
      <c r="CB154" s="13"/>
      <c r="CC154" s="13"/>
      <c r="CD154" s="13"/>
      <c r="CE154" s="13"/>
      <c r="CF154" s="13"/>
      <c r="CG154" s="13"/>
      <c r="CH154" s="13"/>
      <c r="CI154" s="13"/>
      <c r="CJ154" s="13"/>
      <c r="CK154" s="13"/>
      <c r="CL154" s="13"/>
      <c r="CM154" s="13"/>
      <c r="CN154" s="13"/>
      <c r="CO154" s="13"/>
      <c r="CP154" s="13"/>
      <c r="CQ154" s="13"/>
      <c r="CR154" s="13"/>
      <c r="CS154" s="13"/>
      <c r="CT154" s="13"/>
      <c r="CU154" s="13"/>
      <c r="CV154" s="13"/>
      <c r="CW154" s="13"/>
      <c r="CX154" s="13"/>
      <c r="CY154" s="13"/>
      <c r="CZ154" s="13"/>
      <c r="DA154" s="13"/>
      <c r="DB154" s="13"/>
      <c r="DC154" s="13"/>
      <c r="DD154" s="13"/>
      <c r="DE154" s="13"/>
      <c r="DF154" s="13"/>
      <c r="DG154" s="13"/>
      <c r="DH154" s="13"/>
      <c r="DI154" s="13"/>
      <c r="DJ154" s="13"/>
      <c r="DK154" s="13"/>
      <c r="DL154" s="13"/>
      <c r="DM154" s="13"/>
      <c r="DN154" s="13"/>
      <c r="DO154" s="13"/>
      <c r="DP154" s="13"/>
      <c r="DQ154" s="13"/>
      <c r="DR154" s="13"/>
      <c r="DS154" s="13"/>
      <c r="DT154" s="13"/>
      <c r="DU154" s="13"/>
      <c r="DV154" s="13"/>
      <c r="DW154" s="13"/>
      <c r="DX154" s="13"/>
      <c r="DY154" s="13"/>
      <c r="DZ154" s="13"/>
      <c r="EA154" s="13"/>
      <c r="EB154" s="13"/>
      <c r="EC154" s="13"/>
      <c r="ED154" s="13"/>
      <c r="EE154" s="13"/>
      <c r="EF154" s="13"/>
      <c r="EG154" s="13"/>
      <c r="EH154" s="13"/>
      <c r="EI154" s="13"/>
      <c r="EJ154" s="13"/>
      <c r="EK154" s="13"/>
      <c r="EL154" s="13"/>
      <c r="EM154" s="13"/>
      <c r="EN154" s="13"/>
      <c r="EO154" s="13"/>
      <c r="EP154" s="13"/>
      <c r="EQ154" s="13"/>
      <c r="ER154" s="13"/>
      <c r="ES154" s="13"/>
      <c r="ET154" s="13"/>
      <c r="EU154" s="13"/>
      <c r="EV154" s="13"/>
      <c r="EW154" s="13"/>
      <c r="EX154" s="13"/>
      <c r="EY154" s="13"/>
      <c r="EZ154" s="13"/>
      <c r="FA154" s="13"/>
      <c r="FB154" s="13"/>
      <c r="FC154" s="13"/>
      <c r="FD154" s="13"/>
      <c r="FE154" s="13"/>
      <c r="FF154" s="13"/>
      <c r="FG154" s="13"/>
      <c r="FH154" s="13"/>
      <c r="FI154" s="13"/>
      <c r="FJ154" s="13"/>
      <c r="FK154" s="13"/>
      <c r="FL154" s="13"/>
      <c r="FM154" s="13"/>
      <c r="FN154" s="13"/>
      <c r="FO154" s="13"/>
      <c r="FP154" s="13"/>
      <c r="FQ154" s="13"/>
      <c r="FR154" s="13"/>
      <c r="FS154" s="13"/>
      <c r="FT154" s="13"/>
      <c r="FU154" s="13"/>
      <c r="FV154" s="13"/>
      <c r="FW154" s="13"/>
      <c r="FX154" s="13"/>
      <c r="FY154" s="13"/>
      <c r="FZ154" s="13"/>
      <c r="GA154" s="13"/>
      <c r="GB154" s="13"/>
      <c r="GC154" s="13"/>
      <c r="GD154" s="13"/>
      <c r="GE154" s="13"/>
      <c r="GF154" s="13"/>
      <c r="GG154" s="13"/>
      <c r="GH154" s="13"/>
      <c r="GI154" s="13"/>
      <c r="GJ154" s="13"/>
      <c r="GK154" s="13"/>
      <c r="GL154" s="13"/>
      <c r="GM154" s="13"/>
      <c r="GN154" s="13"/>
      <c r="GO154" s="13"/>
      <c r="GP154" s="13"/>
      <c r="GQ154" s="13"/>
      <c r="GR154" s="13"/>
      <c r="GS154" s="13"/>
      <c r="GT154" s="13"/>
      <c r="GU154" s="13"/>
      <c r="GV154" s="13"/>
      <c r="GW154" s="13"/>
      <c r="GX154" s="13"/>
      <c r="GY154" s="13"/>
      <c r="GZ154" s="13"/>
      <c r="HA154" s="13"/>
      <c r="HB154" s="13"/>
      <c r="HC154" s="13"/>
      <c r="HD154" s="13"/>
      <c r="HE154" s="13"/>
      <c r="HF154" s="13"/>
      <c r="HG154" s="13"/>
      <c r="HH154" s="13"/>
      <c r="HI154" s="13"/>
      <c r="HJ154" s="13"/>
      <c r="HK154" s="13"/>
      <c r="HL154" s="13"/>
      <c r="HM154" s="13"/>
      <c r="HN154" s="13"/>
      <c r="HO154" s="13"/>
      <c r="HP154" s="13"/>
      <c r="HQ154" s="13"/>
      <c r="HR154" s="13"/>
      <c r="HS154" s="13"/>
      <c r="HT154" s="13"/>
      <c r="HU154" s="13"/>
      <c r="HV154" s="13"/>
      <c r="HW154" s="13"/>
      <c r="HX154" s="13"/>
      <c r="HY154" s="13"/>
      <c r="HZ154" s="13"/>
      <c r="IA154" s="13"/>
      <c r="IB154" s="13"/>
      <c r="IC154" s="13"/>
      <c r="ID154" s="13"/>
      <c r="IE154" s="13"/>
      <c r="IF154" s="13"/>
      <c r="IG154" s="13"/>
      <c r="IH154" s="13"/>
      <c r="II154" s="13"/>
      <c r="IJ154" s="13"/>
      <c r="IK154" s="13"/>
      <c r="IL154" s="13"/>
      <c r="IM154" s="13"/>
      <c r="IN154" s="13"/>
      <c r="IO154" s="13"/>
      <c r="IP154" s="13"/>
      <c r="IQ154" s="13"/>
      <c r="IR154" s="13"/>
      <c r="IS154" s="13"/>
      <c r="IT154" s="13"/>
      <c r="IU154" s="13"/>
    </row>
    <row r="155" spans="1:255" s="102" customFormat="1">
      <c r="A155" s="13" t="s">
        <v>507</v>
      </c>
      <c r="B155" s="13"/>
      <c r="C155" s="13"/>
      <c r="D155" s="5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  <c r="AA155" s="13"/>
      <c r="AB155" s="13"/>
      <c r="AC155" s="13"/>
      <c r="AD155" s="13"/>
      <c r="AE155" s="13"/>
      <c r="AF155" s="13"/>
      <c r="AG155" s="13"/>
      <c r="AH155" s="13"/>
      <c r="AI155" s="13"/>
      <c r="AJ155" s="13"/>
      <c r="AK155" s="13"/>
      <c r="AL155" s="13"/>
      <c r="AM155" s="13"/>
      <c r="AN155" s="13"/>
      <c r="AO155" s="13"/>
      <c r="AP155" s="13"/>
      <c r="AQ155" s="13"/>
      <c r="AR155" s="13"/>
      <c r="AS155" s="13"/>
      <c r="AT155" s="13"/>
      <c r="AU155" s="13"/>
      <c r="AV155" s="13"/>
      <c r="AW155" s="13"/>
      <c r="AX155" s="13"/>
      <c r="AY155" s="13"/>
      <c r="AZ155" s="13"/>
      <c r="BA155" s="13"/>
      <c r="BB155" s="13"/>
      <c r="BC155" s="13"/>
      <c r="BD155" s="13"/>
      <c r="BE155" s="13"/>
      <c r="BF155" s="13"/>
      <c r="BG155" s="13"/>
      <c r="BH155" s="13"/>
      <c r="BI155" s="13"/>
      <c r="BJ155" s="13"/>
      <c r="BK155" s="13"/>
      <c r="BL155" s="13"/>
      <c r="BM155" s="13"/>
      <c r="BN155" s="13"/>
      <c r="BO155" s="13"/>
      <c r="BP155" s="13"/>
      <c r="BQ155" s="13"/>
      <c r="BR155" s="13"/>
      <c r="BS155" s="13"/>
      <c r="BT155" s="13"/>
      <c r="BU155" s="13"/>
      <c r="BV155" s="13"/>
      <c r="BW155" s="13"/>
      <c r="BX155" s="13"/>
      <c r="BY155" s="13"/>
      <c r="BZ155" s="13"/>
      <c r="CA155" s="13"/>
      <c r="CB155" s="13"/>
      <c r="CC155" s="13"/>
      <c r="CD155" s="13"/>
      <c r="CE155" s="13"/>
      <c r="CF155" s="13"/>
      <c r="CG155" s="13"/>
      <c r="CH155" s="13"/>
      <c r="CI155" s="13"/>
      <c r="CJ155" s="13"/>
      <c r="CK155" s="13"/>
      <c r="CL155" s="13"/>
      <c r="CM155" s="13"/>
      <c r="CN155" s="13"/>
      <c r="CO155" s="13"/>
      <c r="CP155" s="13"/>
      <c r="CQ155" s="13"/>
      <c r="CR155" s="13"/>
      <c r="CS155" s="13"/>
      <c r="CT155" s="13"/>
      <c r="CU155" s="13"/>
      <c r="CV155" s="13"/>
      <c r="CW155" s="13"/>
      <c r="CX155" s="13"/>
      <c r="CY155" s="13"/>
      <c r="CZ155" s="13"/>
      <c r="DA155" s="13"/>
      <c r="DB155" s="13"/>
      <c r="DC155" s="13"/>
      <c r="DD155" s="13"/>
      <c r="DE155" s="13"/>
      <c r="DF155" s="13"/>
      <c r="DG155" s="13"/>
      <c r="DH155" s="13"/>
      <c r="DI155" s="13"/>
      <c r="DJ155" s="13"/>
      <c r="DK155" s="13"/>
      <c r="DL155" s="13"/>
      <c r="DM155" s="13"/>
      <c r="DN155" s="13"/>
      <c r="DO155" s="13"/>
      <c r="DP155" s="13"/>
      <c r="DQ155" s="13"/>
      <c r="DR155" s="13"/>
      <c r="DS155" s="13"/>
      <c r="DT155" s="13"/>
      <c r="DU155" s="13"/>
      <c r="DV155" s="13"/>
      <c r="DW155" s="13"/>
      <c r="DX155" s="13"/>
      <c r="DY155" s="13"/>
      <c r="DZ155" s="13"/>
      <c r="EA155" s="13"/>
      <c r="EB155" s="13"/>
      <c r="EC155" s="13"/>
      <c r="ED155" s="13"/>
      <c r="EE155" s="13"/>
      <c r="EF155" s="13"/>
      <c r="EG155" s="13"/>
      <c r="EH155" s="13"/>
      <c r="EI155" s="13"/>
      <c r="EJ155" s="13"/>
      <c r="EK155" s="13"/>
      <c r="EL155" s="13"/>
      <c r="EM155" s="13"/>
      <c r="EN155" s="13"/>
      <c r="EO155" s="13"/>
      <c r="EP155" s="13"/>
      <c r="EQ155" s="13"/>
      <c r="ER155" s="13"/>
      <c r="ES155" s="13"/>
      <c r="ET155" s="13"/>
      <c r="EU155" s="13"/>
      <c r="EV155" s="13"/>
      <c r="EW155" s="13"/>
      <c r="EX155" s="13"/>
      <c r="EY155" s="13"/>
      <c r="EZ155" s="13"/>
      <c r="FA155" s="13"/>
      <c r="FB155" s="13"/>
      <c r="FC155" s="13"/>
      <c r="FD155" s="13"/>
      <c r="FE155" s="13"/>
      <c r="FF155" s="13"/>
      <c r="FG155" s="13"/>
      <c r="FH155" s="13"/>
      <c r="FI155" s="13"/>
      <c r="FJ155" s="13"/>
      <c r="FK155" s="13"/>
      <c r="FL155" s="13"/>
      <c r="FM155" s="13"/>
      <c r="FN155" s="13"/>
      <c r="FO155" s="13"/>
      <c r="FP155" s="13"/>
      <c r="FQ155" s="13"/>
      <c r="FR155" s="13"/>
      <c r="FS155" s="13"/>
      <c r="FT155" s="13"/>
      <c r="FU155" s="13"/>
      <c r="FV155" s="13"/>
      <c r="FW155" s="13"/>
      <c r="FX155" s="13"/>
      <c r="FY155" s="13"/>
      <c r="FZ155" s="13"/>
      <c r="GA155" s="13"/>
      <c r="GB155" s="13"/>
      <c r="GC155" s="13"/>
      <c r="GD155" s="13"/>
      <c r="GE155" s="13"/>
      <c r="GF155" s="13"/>
      <c r="GG155" s="13"/>
      <c r="GH155" s="13"/>
      <c r="GI155" s="13"/>
      <c r="GJ155" s="13"/>
      <c r="GK155" s="13"/>
      <c r="GL155" s="13"/>
      <c r="GM155" s="13"/>
      <c r="GN155" s="13"/>
      <c r="GO155" s="13"/>
      <c r="GP155" s="13"/>
      <c r="GQ155" s="13"/>
      <c r="GR155" s="13"/>
      <c r="GS155" s="13"/>
      <c r="GT155" s="13"/>
      <c r="GU155" s="13"/>
      <c r="GV155" s="13"/>
      <c r="GW155" s="13"/>
      <c r="GX155" s="13"/>
      <c r="GY155" s="13"/>
      <c r="GZ155" s="13"/>
      <c r="HA155" s="13"/>
      <c r="HB155" s="13"/>
      <c r="HC155" s="13"/>
      <c r="HD155" s="13"/>
      <c r="HE155" s="13"/>
      <c r="HF155" s="13"/>
      <c r="HG155" s="13"/>
      <c r="HH155" s="13"/>
      <c r="HI155" s="13"/>
      <c r="HJ155" s="13"/>
      <c r="HK155" s="13"/>
      <c r="HL155" s="13"/>
      <c r="HM155" s="13"/>
      <c r="HN155" s="13"/>
      <c r="HO155" s="13"/>
      <c r="HP155" s="13"/>
      <c r="HQ155" s="13"/>
      <c r="HR155" s="13"/>
      <c r="HS155" s="13"/>
      <c r="HT155" s="13"/>
      <c r="HU155" s="13"/>
      <c r="HV155" s="13"/>
      <c r="HW155" s="13"/>
      <c r="HX155" s="13"/>
      <c r="HY155" s="13"/>
      <c r="HZ155" s="13"/>
      <c r="IA155" s="13"/>
      <c r="IB155" s="13"/>
      <c r="IC155" s="13"/>
      <c r="ID155" s="13"/>
      <c r="IE155" s="13"/>
      <c r="IF155" s="13"/>
      <c r="IG155" s="13"/>
      <c r="IH155" s="13"/>
      <c r="II155" s="13"/>
      <c r="IJ155" s="13"/>
      <c r="IK155" s="13"/>
      <c r="IL155" s="13"/>
      <c r="IM155" s="13"/>
      <c r="IN155" s="13"/>
      <c r="IO155" s="13"/>
      <c r="IP155" s="13"/>
      <c r="IQ155" s="13"/>
      <c r="IR155" s="13"/>
      <c r="IS155" s="13"/>
      <c r="IT155" s="13"/>
      <c r="IU155" s="13"/>
    </row>
    <row r="156" spans="1:255">
      <c r="A156" s="13" t="s">
        <v>509</v>
      </c>
      <c r="E156" s="2"/>
      <c r="G156" s="3"/>
      <c r="I156" s="6"/>
      <c r="K156" s="3"/>
      <c r="M156" s="2"/>
      <c r="O156" s="6"/>
      <c r="Q156" s="1"/>
      <c r="S156" s="6"/>
    </row>
    <row r="157" spans="1:255">
      <c r="A157" s="13" t="s">
        <v>589</v>
      </c>
      <c r="E157" s="2"/>
      <c r="G157" s="3"/>
      <c r="I157" s="6"/>
      <c r="K157" s="3"/>
      <c r="M157" s="2"/>
      <c r="O157" s="6"/>
      <c r="Q157" s="1"/>
      <c r="S157" s="6"/>
    </row>
    <row r="158" spans="1:255">
      <c r="A158" s="69" t="s">
        <v>410</v>
      </c>
      <c r="E158" s="2"/>
      <c r="G158" s="3"/>
      <c r="I158" s="6"/>
      <c r="K158" s="3"/>
      <c r="M158" s="2"/>
      <c r="O158" s="6"/>
      <c r="Q158" s="1"/>
      <c r="S158" s="6"/>
    </row>
    <row r="159" spans="1:255">
      <c r="A159" s="69" t="s">
        <v>448</v>
      </c>
      <c r="E159" s="2"/>
      <c r="G159" s="3"/>
      <c r="I159" s="6"/>
      <c r="K159" s="3"/>
      <c r="M159" s="2"/>
      <c r="O159" s="6"/>
      <c r="Q159" s="1"/>
      <c r="S159" s="6"/>
    </row>
    <row r="160" spans="1:255">
      <c r="A160" s="69" t="s">
        <v>411</v>
      </c>
      <c r="E160" s="2"/>
      <c r="G160" s="3"/>
      <c r="I160" s="6"/>
      <c r="K160" s="3"/>
      <c r="M160" s="2"/>
      <c r="O160" s="6"/>
      <c r="Q160" s="1"/>
      <c r="S160" s="6"/>
    </row>
    <row r="161" spans="1:2">
      <c r="A161" s="1" t="s">
        <v>433</v>
      </c>
      <c r="B161" s="4"/>
    </row>
    <row r="162" spans="1:2">
      <c r="B162" s="105"/>
    </row>
  </sheetData>
  <phoneticPr fontId="9" type="noConversion"/>
  <printOptions gridLines="1" gridLinesSet="0"/>
  <pageMargins left="0.75" right="0.75" top="1" bottom="1" header="0.5" footer="0.5"/>
  <pageSetup scale="18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0]!HackerandAbers03">
                <anchor moveWithCells="1">
                  <from>
                    <xdr:col>0</xdr:col>
                    <xdr:colOff>114300</xdr:colOff>
                    <xdr:row>66</xdr:row>
                    <xdr:rowOff>88900</xdr:rowOff>
                  </from>
                  <to>
                    <xdr:col>0</xdr:col>
                    <xdr:colOff>990600</xdr:colOff>
                    <xdr:row>72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pageSetUpPr fitToPage="1"/>
  </sheetPr>
  <dimension ref="A1:IV131"/>
  <sheetViews>
    <sheetView tabSelected="1" zoomScale="65" zoomScaleNormal="100" workbookViewId="0">
      <pane xSplit="1" ySplit="4" topLeftCell="B31" activePane="bottomRight" state="frozenSplit"/>
      <selection activeCell="H21" sqref="H21"/>
      <selection pane="topRight" activeCell="H21" sqref="H21"/>
      <selection pane="bottomLeft" activeCell="H21" sqref="H21"/>
      <selection pane="bottomRight" activeCell="O47" sqref="O47"/>
    </sheetView>
  </sheetViews>
  <sheetFormatPr baseColWidth="10" defaultColWidth="6.83203125" defaultRowHeight="12.75" customHeight="1"/>
  <cols>
    <col min="1" max="1" width="14.1640625" style="1" customWidth="1"/>
    <col min="2" max="2" width="15" customWidth="1"/>
    <col min="3" max="3" width="15.6640625" customWidth="1"/>
    <col min="4" max="4" width="18.1640625" customWidth="1"/>
    <col min="5" max="5" width="18.33203125" customWidth="1"/>
    <col min="6" max="6" width="16.33203125" customWidth="1"/>
    <col min="7" max="7" width="15.6640625" customWidth="1"/>
    <col min="8" max="8" width="16.5" customWidth="1"/>
    <col min="9" max="9" width="17.5" customWidth="1"/>
    <col min="10" max="10" width="18.1640625" customWidth="1"/>
    <col min="11" max="11" width="14.5" customWidth="1"/>
  </cols>
  <sheetData>
    <row r="1" spans="1:27" ht="12.75" customHeight="1">
      <c r="A1" s="1" t="s">
        <v>135</v>
      </c>
    </row>
    <row r="2" spans="1:27" s="107" customFormat="1" ht="12.75" customHeight="1">
      <c r="A2" s="15" t="s">
        <v>278</v>
      </c>
      <c r="B2" s="148"/>
      <c r="C2" s="148"/>
    </row>
    <row r="3" spans="1:27" s="106" customFormat="1" ht="12.75" customHeight="1">
      <c r="A3" s="39" t="s">
        <v>591</v>
      </c>
      <c r="B3" s="147"/>
      <c r="C3" s="147"/>
    </row>
    <row r="4" spans="1:27" s="107" customFormat="1" ht="12.75" customHeight="1">
      <c r="A4" s="15" t="s">
        <v>235</v>
      </c>
      <c r="B4" s="164" t="s">
        <v>612</v>
      </c>
      <c r="C4" s="149" t="s">
        <v>613</v>
      </c>
      <c r="D4" s="164" t="s">
        <v>614</v>
      </c>
      <c r="E4" s="149" t="s">
        <v>615</v>
      </c>
      <c r="F4" s="164" t="s">
        <v>616</v>
      </c>
      <c r="G4" s="149" t="s">
        <v>617</v>
      </c>
      <c r="H4" s="164" t="s">
        <v>618</v>
      </c>
      <c r="I4" s="149" t="s">
        <v>619</v>
      </c>
      <c r="J4" s="164" t="s">
        <v>620</v>
      </c>
      <c r="K4" s="149" t="s">
        <v>621</v>
      </c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</row>
    <row r="5" spans="1:27" s="107" customFormat="1" ht="12.75" customHeight="1">
      <c r="A5" s="75"/>
      <c r="B5" s="165"/>
      <c r="C5" s="154"/>
      <c r="D5" s="171"/>
      <c r="E5" s="154"/>
      <c r="F5" s="171"/>
      <c r="G5" s="154"/>
      <c r="H5" s="171"/>
      <c r="I5" s="154"/>
      <c r="J5" s="171"/>
      <c r="K5" s="154"/>
      <c r="L5" s="104"/>
      <c r="M5" s="104"/>
      <c r="N5" s="104"/>
      <c r="O5" s="104"/>
      <c r="P5" s="104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</row>
    <row r="6" spans="1:27" s="107" customFormat="1" ht="12.75" customHeight="1">
      <c r="A6" s="75" t="s">
        <v>525</v>
      </c>
      <c r="B6" s="166"/>
      <c r="C6" s="155"/>
      <c r="D6" s="172"/>
      <c r="E6" s="155"/>
      <c r="F6" s="172"/>
      <c r="G6" s="155">
        <v>10.538679315967983</v>
      </c>
      <c r="H6" s="172"/>
      <c r="I6" s="155">
        <v>4.441713171870118E-2</v>
      </c>
      <c r="J6" s="172"/>
      <c r="K6" s="155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  <c r="Z6" s="49"/>
      <c r="AA6" s="49"/>
    </row>
    <row r="7" spans="1:27" s="107" customFormat="1" ht="12.75" customHeight="1">
      <c r="A7" s="75" t="s">
        <v>136</v>
      </c>
      <c r="B7" s="166"/>
      <c r="C7" s="155"/>
      <c r="D7" s="172"/>
      <c r="E7" s="155"/>
      <c r="F7" s="172"/>
      <c r="G7" s="155"/>
      <c r="H7" s="172"/>
      <c r="I7" s="155"/>
      <c r="J7" s="172"/>
      <c r="K7" s="155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</row>
    <row r="8" spans="1:27" s="107" customFormat="1" ht="12.75" customHeight="1">
      <c r="A8" s="75" t="s">
        <v>237</v>
      </c>
      <c r="B8" s="166">
        <v>7.1713764384653418</v>
      </c>
      <c r="C8" s="155">
        <v>55.881990579273413</v>
      </c>
      <c r="D8" s="172">
        <v>24.311436498179695</v>
      </c>
      <c r="E8" s="155">
        <v>63.142928746961879</v>
      </c>
      <c r="F8" s="172"/>
      <c r="G8" s="155">
        <v>43.349214393047106</v>
      </c>
      <c r="H8" s="172"/>
      <c r="I8" s="155">
        <v>61.899193699999998</v>
      </c>
      <c r="J8" s="172">
        <v>0.25234813357342112</v>
      </c>
      <c r="K8" s="155">
        <v>50.889262250978483</v>
      </c>
      <c r="L8" s="49"/>
      <c r="M8" s="49"/>
      <c r="N8" s="49"/>
      <c r="O8" s="49"/>
      <c r="P8" s="49"/>
      <c r="Q8" s="49"/>
      <c r="R8" s="49"/>
      <c r="S8" s="49"/>
      <c r="T8" s="49"/>
      <c r="U8" s="49"/>
      <c r="V8" s="49"/>
      <c r="W8" s="49"/>
      <c r="X8" s="49"/>
      <c r="Y8" s="49"/>
      <c r="Z8" s="49"/>
      <c r="AA8" s="49"/>
    </row>
    <row r="9" spans="1:27" s="107" customFormat="1" ht="12.75" customHeight="1">
      <c r="A9" s="75" t="s">
        <v>238</v>
      </c>
      <c r="B9" s="167"/>
      <c r="C9" s="155"/>
      <c r="D9" s="172"/>
      <c r="E9" s="155"/>
      <c r="F9" s="172"/>
      <c r="G9" s="155"/>
      <c r="H9" s="172"/>
      <c r="I9" s="155"/>
      <c r="J9" s="172"/>
      <c r="K9" s="155"/>
      <c r="L9" s="49"/>
      <c r="M9" s="49"/>
      <c r="N9" s="49"/>
      <c r="O9" s="49"/>
      <c r="P9" s="49"/>
      <c r="Q9" s="49"/>
      <c r="R9" s="49"/>
      <c r="S9" s="49"/>
      <c r="T9" s="49"/>
      <c r="U9" s="49"/>
      <c r="V9" s="49"/>
      <c r="W9" s="49"/>
      <c r="X9" s="49"/>
      <c r="Y9" s="49"/>
      <c r="Z9" s="49"/>
      <c r="AA9" s="49"/>
    </row>
    <row r="10" spans="1:27" s="107" customFormat="1" ht="12.75" customHeight="1">
      <c r="A10" s="75" t="s">
        <v>145</v>
      </c>
      <c r="B10" s="166">
        <v>7.6900913760692164</v>
      </c>
      <c r="C10" s="155">
        <v>15.727975502639785</v>
      </c>
      <c r="D10" s="172">
        <v>16.653541445720922</v>
      </c>
      <c r="E10" s="155">
        <v>17.570805943209493</v>
      </c>
      <c r="F10" s="172"/>
      <c r="G10" s="155">
        <v>20.153586694276164</v>
      </c>
      <c r="H10" s="172"/>
      <c r="I10" s="155">
        <v>9.3927772171370112</v>
      </c>
      <c r="J10" s="172">
        <v>0.26306839828076883</v>
      </c>
      <c r="K10" s="155">
        <v>20.045531099273816</v>
      </c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  <c r="AA10" s="49"/>
    </row>
    <row r="11" spans="1:27" s="107" customFormat="1" ht="12.75" customHeight="1">
      <c r="A11" s="75" t="s">
        <v>234</v>
      </c>
      <c r="B11" s="166"/>
      <c r="C11" s="155"/>
      <c r="D11" s="172"/>
      <c r="E11" s="155"/>
      <c r="F11" s="172"/>
      <c r="G11" s="155"/>
      <c r="H11" s="172"/>
      <c r="I11" s="155"/>
      <c r="J11" s="172"/>
      <c r="K11" s="155"/>
      <c r="L11" s="49"/>
      <c r="M11" s="49"/>
      <c r="N11" s="49"/>
      <c r="O11" s="49"/>
      <c r="P11" s="49"/>
      <c r="Q11" s="49"/>
      <c r="R11" s="49"/>
      <c r="S11" s="49"/>
      <c r="T11" s="49"/>
      <c r="U11" s="49"/>
      <c r="V11" s="49"/>
      <c r="W11" s="49"/>
      <c r="X11" s="49"/>
      <c r="Y11" s="49"/>
      <c r="Z11" s="49"/>
      <c r="AA11" s="49"/>
    </row>
    <row r="12" spans="1:27" s="107" customFormat="1" ht="12.75" customHeight="1">
      <c r="A12" s="75" t="s">
        <v>240</v>
      </c>
      <c r="B12" s="166">
        <v>0.20939880992766013</v>
      </c>
      <c r="C12" s="155">
        <v>6.8322994724332622</v>
      </c>
      <c r="D12" s="172">
        <v>0.33283700568208918</v>
      </c>
      <c r="E12" s="155">
        <v>3.2207768428689123</v>
      </c>
      <c r="F12" s="172"/>
      <c r="G12" s="155">
        <v>0.57871795555605055</v>
      </c>
      <c r="H12" s="172"/>
      <c r="I12" s="155">
        <v>2.1572086575343756</v>
      </c>
      <c r="J12" s="172">
        <v>2.9051828128243478E-3</v>
      </c>
      <c r="K12" s="155">
        <v>1.2076953966209754</v>
      </c>
      <c r="L12" s="49"/>
      <c r="M12" s="49"/>
      <c r="N12" s="49"/>
      <c r="O12" s="49"/>
      <c r="P12" s="49"/>
      <c r="Q12" s="49"/>
      <c r="R12" s="49"/>
      <c r="S12" s="49"/>
      <c r="T12" s="49"/>
      <c r="U12" s="49"/>
      <c r="V12" s="49"/>
      <c r="W12" s="49"/>
      <c r="X12" s="49"/>
      <c r="Y12" s="49"/>
      <c r="Z12" s="49"/>
      <c r="AA12" s="49"/>
    </row>
    <row r="13" spans="1:27" s="107" customFormat="1" ht="12.75" customHeight="1">
      <c r="A13" s="75" t="s">
        <v>146</v>
      </c>
      <c r="B13" s="166"/>
      <c r="C13" s="155"/>
      <c r="D13" s="172"/>
      <c r="E13" s="155"/>
      <c r="F13" s="172"/>
      <c r="G13" s="155"/>
      <c r="H13" s="172"/>
      <c r="I13" s="155"/>
      <c r="J13" s="172"/>
      <c r="K13" s="155"/>
      <c r="L13" s="49"/>
      <c r="M13" s="49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  <c r="AA13" s="49"/>
    </row>
    <row r="14" spans="1:27" s="107" customFormat="1" ht="12.75" customHeight="1">
      <c r="A14" s="75" t="s">
        <v>281</v>
      </c>
      <c r="B14" s="166"/>
      <c r="C14" s="155"/>
      <c r="D14" s="172"/>
      <c r="E14" s="155"/>
      <c r="F14" s="172"/>
      <c r="G14" s="155"/>
      <c r="H14" s="172"/>
      <c r="I14" s="155"/>
      <c r="J14" s="172"/>
      <c r="K14" s="155"/>
      <c r="L14" s="49"/>
      <c r="M14" s="49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  <c r="AA14" s="49"/>
    </row>
    <row r="15" spans="1:27" s="107" customFormat="1" ht="12.75" customHeight="1">
      <c r="A15" s="75" t="s">
        <v>151</v>
      </c>
      <c r="B15" s="166"/>
      <c r="C15" s="155"/>
      <c r="D15" s="172"/>
      <c r="E15" s="155"/>
      <c r="F15" s="172"/>
      <c r="G15" s="155"/>
      <c r="H15" s="172"/>
      <c r="I15" s="155"/>
      <c r="J15" s="172"/>
      <c r="K15" s="155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  <c r="AA15" s="49"/>
    </row>
    <row r="16" spans="1:27" s="107" customFormat="1" ht="12.75" customHeight="1">
      <c r="A16" s="75" t="s">
        <v>149</v>
      </c>
      <c r="B16" s="166">
        <v>0.33754887328759742</v>
      </c>
      <c r="C16" s="155">
        <v>2.1056928784712254</v>
      </c>
      <c r="D16" s="172"/>
      <c r="E16" s="155">
        <v>0.37729461675649012</v>
      </c>
      <c r="F16" s="172"/>
      <c r="G16" s="155">
        <v>0.93656945816787063</v>
      </c>
      <c r="H16" s="172"/>
      <c r="I16" s="155">
        <v>0.86956308247423308</v>
      </c>
      <c r="J16" s="172"/>
      <c r="K16" s="155">
        <v>3.399489713199161</v>
      </c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</row>
    <row r="17" spans="1:27" s="107" customFormat="1" ht="12.75" customHeight="1">
      <c r="A17" s="75" t="s">
        <v>155</v>
      </c>
      <c r="B17" s="166">
        <v>6.4729460310200077E-2</v>
      </c>
      <c r="C17" s="155">
        <v>1.0826548820167921</v>
      </c>
      <c r="D17" s="172"/>
      <c r="E17" s="155">
        <v>0.24484514412270397</v>
      </c>
      <c r="F17" s="172"/>
      <c r="G17" s="155">
        <v>1.2528734242644919</v>
      </c>
      <c r="H17" s="172"/>
      <c r="I17" s="155">
        <v>0.91986275836410458</v>
      </c>
      <c r="J17" s="172"/>
      <c r="K17" s="155">
        <v>2.245518790392679</v>
      </c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49"/>
    </row>
    <row r="18" spans="1:27" s="107" customFormat="1" ht="12.75" customHeight="1">
      <c r="A18" s="75" t="s">
        <v>148</v>
      </c>
      <c r="B18" s="166">
        <v>50.451284408790031</v>
      </c>
      <c r="C18" s="155">
        <v>2.9637880526265685</v>
      </c>
      <c r="D18" s="172">
        <v>10.704291939616512</v>
      </c>
      <c r="E18" s="155">
        <v>6.7850870222372723</v>
      </c>
      <c r="F18" s="172">
        <v>63.737188921854781</v>
      </c>
      <c r="G18" s="155">
        <v>6.7960088768477647</v>
      </c>
      <c r="H18" s="172">
        <v>52.45879453023359</v>
      </c>
      <c r="I18" s="155">
        <v>7.6420095569772997</v>
      </c>
      <c r="J18" s="172">
        <v>57.203601801303662</v>
      </c>
      <c r="K18" s="155">
        <v>3.3366046023262097</v>
      </c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</row>
    <row r="19" spans="1:27" s="107" customFormat="1" ht="12.75" customHeight="1">
      <c r="A19" s="75" t="s">
        <v>280</v>
      </c>
      <c r="B19" s="166"/>
      <c r="C19" s="155"/>
      <c r="D19" s="172"/>
      <c r="E19" s="155"/>
      <c r="F19" s="172"/>
      <c r="G19" s="155"/>
      <c r="H19" s="172"/>
      <c r="I19" s="155"/>
      <c r="J19" s="172"/>
      <c r="K19" s="155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</row>
    <row r="20" spans="1:27" s="107" customFormat="1" ht="16">
      <c r="A20" s="108" t="s">
        <v>462</v>
      </c>
      <c r="B20" s="168"/>
      <c r="C20" s="78"/>
      <c r="D20" s="173"/>
      <c r="E20" s="78"/>
      <c r="F20" s="173"/>
      <c r="G20" s="78"/>
      <c r="H20" s="173"/>
      <c r="I20" s="78"/>
      <c r="J20" s="173"/>
      <c r="K20" s="78"/>
      <c r="L20" s="76"/>
      <c r="M20" s="77"/>
      <c r="N20" s="78"/>
      <c r="O20" s="78"/>
      <c r="P20" s="78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</row>
    <row r="21" spans="1:27" s="107" customFormat="1" ht="12.75" customHeight="1">
      <c r="A21" s="75" t="s">
        <v>241</v>
      </c>
      <c r="B21" s="166"/>
      <c r="C21" s="155">
        <v>6.5377221462415687</v>
      </c>
      <c r="D21" s="172"/>
      <c r="E21" s="155"/>
      <c r="F21" s="172"/>
      <c r="G21" s="155">
        <v>3.0243832476360373</v>
      </c>
      <c r="H21" s="172"/>
      <c r="I21" s="155">
        <v>6.6198463004950909</v>
      </c>
      <c r="J21" s="172"/>
      <c r="K21" s="155">
        <v>7.4091851064163841</v>
      </c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</row>
    <row r="22" spans="1:27" s="107" customFormat="1" ht="12.75" customHeight="1">
      <c r="A22" s="75" t="s">
        <v>282</v>
      </c>
      <c r="B22" s="166">
        <v>18.789107314553043</v>
      </c>
      <c r="C22" s="155">
        <v>3.2644372614705124</v>
      </c>
      <c r="D22" s="172">
        <v>4.726720226865198</v>
      </c>
      <c r="E22" s="155">
        <v>3.6976686600462236</v>
      </c>
      <c r="F22" s="172">
        <v>27.430945517600836</v>
      </c>
      <c r="G22" s="155">
        <v>6.2607701586521003</v>
      </c>
      <c r="H22" s="172">
        <v>27.199816911081648</v>
      </c>
      <c r="I22" s="155">
        <v>4.3745036263343469</v>
      </c>
      <c r="J22" s="172">
        <v>25.520743720629756</v>
      </c>
      <c r="K22" s="155">
        <v>4.2387716407678955</v>
      </c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</row>
    <row r="23" spans="1:27" s="107" customFormat="1" ht="12.75" customHeight="1">
      <c r="A23" s="75" t="s">
        <v>147</v>
      </c>
      <c r="B23" s="166">
        <v>0.14228189314245196</v>
      </c>
      <c r="C23" s="155">
        <v>0.53362402256318919</v>
      </c>
      <c r="D23" s="172">
        <v>9.0177572651870819E-2</v>
      </c>
      <c r="E23" s="155">
        <v>4.9802082695449917E-2</v>
      </c>
      <c r="F23" s="172">
        <v>0.11777545899200303</v>
      </c>
      <c r="G23" s="107">
        <v>0.24924913664893666</v>
      </c>
      <c r="H23" s="172">
        <v>0.3479803817284734</v>
      </c>
      <c r="I23" s="155">
        <v>0.65923712490755104</v>
      </c>
      <c r="J23" s="172">
        <v>0.37693272807709538</v>
      </c>
      <c r="K23" s="107">
        <v>0.58356192152715936</v>
      </c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</row>
    <row r="24" spans="1:27" s="107" customFormat="1" ht="16">
      <c r="A24" s="108" t="s">
        <v>425</v>
      </c>
      <c r="B24" s="168"/>
      <c r="C24" s="78"/>
      <c r="D24" s="173"/>
      <c r="E24" s="78"/>
      <c r="F24" s="173"/>
      <c r="G24" s="78"/>
      <c r="H24" s="173"/>
      <c r="I24" s="78"/>
      <c r="J24" s="173"/>
      <c r="K24" s="78"/>
      <c r="L24" s="76"/>
      <c r="M24" s="77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</row>
    <row r="25" spans="1:27" s="107" customFormat="1" ht="16">
      <c r="A25" s="108" t="s">
        <v>463</v>
      </c>
      <c r="B25" s="168"/>
      <c r="C25" s="78"/>
      <c r="D25" s="173"/>
      <c r="E25" s="78"/>
      <c r="F25" s="173"/>
      <c r="G25" s="78"/>
      <c r="H25" s="173"/>
      <c r="I25" s="78"/>
      <c r="J25" s="173"/>
      <c r="K25" s="78"/>
      <c r="L25" s="76"/>
      <c r="M25" s="77"/>
      <c r="N25" s="78"/>
      <c r="O25" s="78"/>
      <c r="P25" s="78"/>
      <c r="Q25" s="78"/>
      <c r="R25" s="78"/>
      <c r="S25" s="78"/>
      <c r="T25" s="78"/>
      <c r="U25" s="78"/>
      <c r="V25" s="78"/>
      <c r="W25" s="78"/>
      <c r="X25" s="78"/>
      <c r="Y25" s="78"/>
      <c r="Z25" s="78"/>
      <c r="AA25" s="78"/>
    </row>
    <row r="26" spans="1:27" s="107" customFormat="1" ht="12.75" customHeight="1">
      <c r="A26" s="75" t="s">
        <v>157</v>
      </c>
      <c r="B26" s="166"/>
      <c r="C26" s="155"/>
      <c r="D26" s="172"/>
      <c r="E26" s="155"/>
      <c r="F26" s="172"/>
      <c r="G26" s="155"/>
      <c r="H26" s="172"/>
      <c r="I26" s="155"/>
      <c r="J26" s="172"/>
      <c r="K26" s="155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</row>
    <row r="27" spans="1:27" s="107" customFormat="1" ht="12.75" customHeight="1">
      <c r="A27" s="75" t="s">
        <v>153</v>
      </c>
      <c r="B27" s="166"/>
      <c r="C27" s="155"/>
      <c r="D27" s="172"/>
      <c r="E27" s="155"/>
      <c r="F27" s="172"/>
      <c r="G27" s="155"/>
      <c r="H27" s="172"/>
      <c r="I27" s="155"/>
      <c r="J27" s="172"/>
      <c r="K27" s="155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</row>
    <row r="28" spans="1:27" s="107" customFormat="1" ht="12.75" customHeight="1">
      <c r="A28" s="75" t="s">
        <v>242</v>
      </c>
      <c r="B28" s="166"/>
      <c r="C28" s="155"/>
      <c r="D28" s="172"/>
      <c r="E28" s="155"/>
      <c r="F28" s="172"/>
      <c r="G28" s="155"/>
      <c r="H28" s="172"/>
      <c r="I28" s="155"/>
      <c r="J28" s="172"/>
      <c r="K28" s="155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</row>
    <row r="29" spans="1:27" s="107" customFormat="1" ht="12.75" customHeight="1">
      <c r="A29" s="75" t="s">
        <v>154</v>
      </c>
      <c r="B29" s="166"/>
      <c r="C29" s="155"/>
      <c r="D29" s="172"/>
      <c r="E29" s="155"/>
      <c r="F29" s="172"/>
      <c r="G29" s="155"/>
      <c r="H29" s="172"/>
      <c r="I29" s="155"/>
      <c r="J29" s="172"/>
      <c r="K29" s="155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</row>
    <row r="30" spans="1:27" s="107" customFormat="1" ht="12.75" customHeight="1">
      <c r="A30" s="75" t="s">
        <v>239</v>
      </c>
      <c r="B30" s="166"/>
      <c r="C30" s="155"/>
      <c r="D30" s="172"/>
      <c r="E30" s="155"/>
      <c r="F30" s="172"/>
      <c r="G30" s="155"/>
      <c r="H30" s="172"/>
      <c r="I30" s="155"/>
      <c r="J30" s="172"/>
      <c r="K30" s="155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</row>
    <row r="31" spans="1:27" s="107" customFormat="1" ht="12.75" customHeight="1">
      <c r="A31" s="75" t="s">
        <v>244</v>
      </c>
      <c r="B31" s="166"/>
      <c r="C31" s="155"/>
      <c r="D31" s="172"/>
      <c r="E31" s="155"/>
      <c r="F31" s="172"/>
      <c r="G31" s="155"/>
      <c r="H31" s="172"/>
      <c r="I31" s="155"/>
      <c r="J31" s="172"/>
      <c r="K31" s="155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</row>
    <row r="32" spans="1:27" s="107" customFormat="1" ht="12.75" customHeight="1">
      <c r="A32" s="75" t="s">
        <v>156</v>
      </c>
      <c r="B32" s="166"/>
      <c r="C32" s="155"/>
      <c r="D32" s="172"/>
      <c r="E32" s="155"/>
      <c r="F32" s="172"/>
      <c r="G32" s="155"/>
      <c r="H32" s="172"/>
      <c r="I32" s="155"/>
      <c r="J32" s="172"/>
      <c r="K32" s="155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</row>
    <row r="33" spans="1:27" s="107" customFormat="1" ht="12.75" customHeight="1">
      <c r="A33" s="75" t="s">
        <v>144</v>
      </c>
      <c r="B33" s="166"/>
      <c r="C33" s="155"/>
      <c r="D33" s="172"/>
      <c r="E33" s="155"/>
      <c r="F33" s="172"/>
      <c r="G33" s="155"/>
      <c r="H33" s="172"/>
      <c r="I33" s="155"/>
      <c r="J33" s="172"/>
      <c r="K33" s="155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</row>
    <row r="34" spans="1:27" s="107" customFormat="1" ht="12.75" customHeight="1">
      <c r="A34" s="75" t="s">
        <v>249</v>
      </c>
      <c r="B34" s="166"/>
      <c r="C34" s="155">
        <v>1.0429228767996733E-2</v>
      </c>
      <c r="D34" s="172"/>
      <c r="E34" s="155"/>
      <c r="F34" s="172"/>
      <c r="G34" s="155"/>
      <c r="H34" s="172"/>
      <c r="I34" s="155"/>
      <c r="J34" s="172"/>
      <c r="K34" s="155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</row>
    <row r="35" spans="1:27" s="107" customFormat="1" ht="12.75" customHeight="1">
      <c r="A35" s="75" t="s">
        <v>233</v>
      </c>
      <c r="B35" s="166"/>
      <c r="C35" s="155"/>
      <c r="D35" s="172"/>
      <c r="E35" s="155"/>
      <c r="F35" s="172"/>
      <c r="G35" s="155"/>
      <c r="H35" s="172"/>
      <c r="I35" s="155"/>
      <c r="J35" s="172"/>
      <c r="K35" s="155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</row>
    <row r="36" spans="1:27" s="107" customFormat="1" ht="12.75" customHeight="1">
      <c r="A36" s="75" t="s">
        <v>286</v>
      </c>
      <c r="B36" s="166"/>
      <c r="C36" s="155"/>
      <c r="D36" s="172"/>
      <c r="E36" s="155"/>
      <c r="F36" s="172"/>
      <c r="G36" s="155"/>
      <c r="H36" s="172"/>
      <c r="I36" s="155"/>
      <c r="J36" s="172"/>
      <c r="K36" s="155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</row>
    <row r="37" spans="1:27" s="107" customFormat="1" ht="12.75" customHeight="1">
      <c r="A37" s="75" t="s">
        <v>215</v>
      </c>
      <c r="B37" s="166"/>
      <c r="C37" s="155"/>
      <c r="D37" s="172"/>
      <c r="E37" s="155"/>
      <c r="F37" s="172"/>
      <c r="G37" s="155"/>
      <c r="H37" s="172"/>
      <c r="I37" s="155"/>
      <c r="J37" s="172"/>
      <c r="K37" s="155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</row>
    <row r="38" spans="1:27" s="107" customFormat="1" ht="12.75" customHeight="1">
      <c r="A38" s="75" t="s">
        <v>150</v>
      </c>
      <c r="B38" s="166"/>
      <c r="C38" s="155"/>
      <c r="D38" s="172"/>
      <c r="E38" s="155"/>
      <c r="F38" s="172"/>
      <c r="G38" s="155"/>
      <c r="H38" s="172"/>
      <c r="I38" s="155"/>
      <c r="J38" s="172"/>
      <c r="K38" s="155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</row>
    <row r="39" spans="1:27" s="107" customFormat="1" ht="12.75" customHeight="1">
      <c r="A39" s="75" t="s">
        <v>228</v>
      </c>
      <c r="B39" s="166"/>
      <c r="C39" s="155"/>
      <c r="D39" s="172"/>
      <c r="E39" s="155"/>
      <c r="F39" s="172"/>
      <c r="G39" s="155"/>
      <c r="H39" s="172"/>
      <c r="I39" s="155"/>
      <c r="J39" s="172"/>
      <c r="K39" s="155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</row>
    <row r="40" spans="1:27" s="107" customFormat="1" ht="12.75" customHeight="1">
      <c r="A40" s="75" t="s">
        <v>229</v>
      </c>
      <c r="B40" s="166"/>
      <c r="C40" s="155"/>
      <c r="D40" s="172"/>
      <c r="E40" s="155"/>
      <c r="F40" s="172"/>
      <c r="G40" s="155"/>
      <c r="H40" s="172"/>
      <c r="I40" s="155"/>
      <c r="J40" s="172"/>
      <c r="K40" s="155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</row>
    <row r="41" spans="1:27" s="107" customFormat="1" ht="12.75" customHeight="1">
      <c r="A41" s="75" t="s">
        <v>159</v>
      </c>
      <c r="B41" s="166"/>
      <c r="C41" s="155"/>
      <c r="D41" s="172"/>
      <c r="E41" s="155"/>
      <c r="F41" s="172"/>
      <c r="G41" s="155"/>
      <c r="H41" s="172"/>
      <c r="I41" s="155"/>
      <c r="J41" s="172"/>
      <c r="K41" s="155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</row>
    <row r="42" spans="1:27" s="107" customFormat="1" ht="12.75" customHeight="1">
      <c r="A42" s="75" t="s">
        <v>142</v>
      </c>
      <c r="B42" s="166"/>
      <c r="C42" s="155"/>
      <c r="D42" s="172"/>
      <c r="E42" s="155"/>
      <c r="F42" s="172"/>
      <c r="G42" s="155"/>
      <c r="H42" s="172"/>
      <c r="I42" s="155"/>
      <c r="J42" s="172"/>
      <c r="K42" s="155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</row>
    <row r="43" spans="1:27" s="107" customFormat="1" ht="12.75" customHeight="1">
      <c r="A43" s="75" t="s">
        <v>285</v>
      </c>
      <c r="B43" s="166"/>
      <c r="C43" s="155"/>
      <c r="D43" s="172"/>
      <c r="E43" s="155"/>
      <c r="F43" s="172"/>
      <c r="G43" s="155"/>
      <c r="H43" s="172"/>
      <c r="I43" s="155"/>
      <c r="J43" s="172"/>
      <c r="K43" s="155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</row>
    <row r="44" spans="1:27" s="107" customFormat="1" ht="12.75" customHeight="1">
      <c r="A44" s="75" t="s">
        <v>141</v>
      </c>
      <c r="B44" s="166"/>
      <c r="C44" s="155"/>
      <c r="D44" s="172"/>
      <c r="E44" s="155"/>
      <c r="F44" s="172"/>
      <c r="G44" s="155"/>
      <c r="H44" s="172"/>
      <c r="I44" s="155"/>
      <c r="J44" s="172"/>
      <c r="K44" s="155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</row>
    <row r="45" spans="1:27" s="107" customFormat="1" ht="12.75" customHeight="1">
      <c r="A45" s="75" t="s">
        <v>236</v>
      </c>
      <c r="B45" s="166"/>
      <c r="C45" s="155"/>
      <c r="D45" s="172"/>
      <c r="E45" s="155"/>
      <c r="F45" s="172"/>
      <c r="G45" s="155"/>
      <c r="H45" s="172"/>
      <c r="I45" s="155"/>
      <c r="J45" s="172"/>
      <c r="K45" s="155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</row>
    <row r="46" spans="1:27" s="107" customFormat="1" ht="12.75" customHeight="1">
      <c r="A46" s="75" t="s">
        <v>283</v>
      </c>
      <c r="B46" s="166"/>
      <c r="C46" s="155"/>
      <c r="D46" s="172"/>
      <c r="E46" s="155"/>
      <c r="F46" s="172"/>
      <c r="G46" s="155"/>
      <c r="H46" s="172"/>
      <c r="I46" s="155"/>
      <c r="J46" s="172"/>
      <c r="K46" s="155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</row>
    <row r="47" spans="1:27" s="107" customFormat="1" ht="12.75" customHeight="1">
      <c r="A47" s="75" t="s">
        <v>284</v>
      </c>
      <c r="B47" s="166"/>
      <c r="C47" s="155"/>
      <c r="D47" s="172"/>
      <c r="E47" s="155"/>
      <c r="F47" s="172"/>
      <c r="G47" s="155"/>
      <c r="H47" s="172"/>
      <c r="I47" s="155"/>
      <c r="J47" s="172"/>
      <c r="K47" s="155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</row>
    <row r="48" spans="1:27" s="107" customFormat="1" ht="12.75" customHeight="1">
      <c r="A48" s="75" t="s">
        <v>288</v>
      </c>
      <c r="B48" s="166"/>
      <c r="C48" s="155"/>
      <c r="D48" s="172"/>
      <c r="E48" s="155"/>
      <c r="F48" s="172"/>
      <c r="G48" s="155"/>
      <c r="H48" s="172"/>
      <c r="I48" s="155"/>
      <c r="J48" s="172"/>
      <c r="K48" s="155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</row>
    <row r="49" spans="1:27" s="107" customFormat="1" ht="12.75" customHeight="1">
      <c r="A49" s="75" t="s">
        <v>289</v>
      </c>
      <c r="B49" s="166"/>
      <c r="C49" s="155"/>
      <c r="D49" s="172"/>
      <c r="E49" s="155"/>
      <c r="F49" s="172"/>
      <c r="G49" s="155"/>
      <c r="H49" s="172"/>
      <c r="I49" s="155"/>
      <c r="J49" s="172"/>
      <c r="K49" s="155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</row>
    <row r="50" spans="1:27" s="107" customFormat="1" ht="12.75" customHeight="1">
      <c r="A50" s="75" t="s">
        <v>160</v>
      </c>
      <c r="B50" s="166"/>
      <c r="C50" s="155"/>
      <c r="D50" s="172"/>
      <c r="E50" s="155"/>
      <c r="F50" s="172"/>
      <c r="G50" s="155"/>
      <c r="H50" s="172"/>
      <c r="I50" s="155"/>
      <c r="J50" s="172"/>
      <c r="K50" s="155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</row>
    <row r="51" spans="1:27" s="107" customFormat="1" ht="12.75" customHeight="1">
      <c r="A51" s="75" t="s">
        <v>139</v>
      </c>
      <c r="B51" s="166"/>
      <c r="C51" s="155"/>
      <c r="D51" s="172"/>
      <c r="E51" s="155"/>
      <c r="F51" s="172"/>
      <c r="G51" s="155"/>
      <c r="H51" s="172"/>
      <c r="I51" s="155"/>
      <c r="J51" s="172"/>
      <c r="K51" s="155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</row>
    <row r="52" spans="1:27" s="107" customFormat="1" ht="12.75" customHeight="1">
      <c r="A52" s="75" t="s">
        <v>290</v>
      </c>
      <c r="B52" s="166"/>
      <c r="C52" s="155"/>
      <c r="D52" s="172"/>
      <c r="E52" s="155"/>
      <c r="F52" s="172"/>
      <c r="G52" s="155"/>
      <c r="H52" s="172"/>
      <c r="I52" s="155"/>
      <c r="J52" s="172"/>
      <c r="K52" s="155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</row>
    <row r="53" spans="1:27" s="107" customFormat="1" ht="12.75" customHeight="1">
      <c r="A53" s="75" t="s">
        <v>291</v>
      </c>
      <c r="B53" s="166"/>
      <c r="C53" s="155"/>
      <c r="D53" s="172"/>
      <c r="E53" s="155"/>
      <c r="F53" s="172"/>
      <c r="G53" s="155"/>
      <c r="H53" s="172"/>
      <c r="I53" s="155"/>
      <c r="J53" s="172"/>
      <c r="K53" s="155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</row>
    <row r="54" spans="1:27" s="107" customFormat="1" ht="12.75" customHeight="1">
      <c r="A54" s="75" t="s">
        <v>292</v>
      </c>
      <c r="B54" s="166"/>
      <c r="C54" s="155"/>
      <c r="D54" s="172"/>
      <c r="E54" s="155"/>
      <c r="F54" s="172"/>
      <c r="G54" s="155"/>
      <c r="H54" s="172"/>
      <c r="I54" s="155"/>
      <c r="J54" s="172"/>
      <c r="K54" s="155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</row>
    <row r="55" spans="1:27" s="107" customFormat="1" ht="12.75" customHeight="1">
      <c r="A55" s="75" t="s">
        <v>293</v>
      </c>
      <c r="B55" s="166">
        <v>6.4368951130054679</v>
      </c>
      <c r="C55" s="155">
        <v>1.1011994359788411</v>
      </c>
      <c r="D55" s="172">
        <v>22.191924351361134</v>
      </c>
      <c r="E55" s="155">
        <v>0.85356304905956581</v>
      </c>
      <c r="F55" s="172">
        <v>3.1121727461190276</v>
      </c>
      <c r="G55" s="155">
        <v>0.88905232607270435</v>
      </c>
      <c r="H55" s="172">
        <v>6.1939967478031015</v>
      </c>
      <c r="I55" s="155">
        <v>0.83286542506435424</v>
      </c>
      <c r="J55" s="172">
        <v>6.9387298277491611</v>
      </c>
      <c r="K55" s="155">
        <v>1.1813355362499449</v>
      </c>
      <c r="L55" s="49"/>
      <c r="M55" s="49"/>
      <c r="N55" s="49"/>
      <c r="O55" s="49"/>
      <c r="P55" s="49"/>
      <c r="Q55" s="49"/>
      <c r="R55" s="49"/>
      <c r="S55" s="49"/>
      <c r="T55" s="49"/>
    </row>
    <row r="56" spans="1:27" s="107" customFormat="1" ht="12.75" customHeight="1">
      <c r="A56" s="75" t="s">
        <v>294</v>
      </c>
      <c r="B56" s="166"/>
      <c r="C56" s="155"/>
      <c r="D56" s="172"/>
      <c r="E56" s="155"/>
      <c r="F56" s="172"/>
      <c r="G56" s="155"/>
      <c r="H56" s="172"/>
      <c r="I56" s="155"/>
      <c r="J56" s="172"/>
      <c r="K56" s="155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</row>
    <row r="57" spans="1:27" s="107" customFormat="1" ht="12.75" customHeight="1">
      <c r="A57" s="75" t="s">
        <v>295</v>
      </c>
      <c r="B57" s="166">
        <v>8.7072863124489981</v>
      </c>
      <c r="C57" s="155">
        <v>3.8888696192411634</v>
      </c>
      <c r="D57" s="172">
        <v>20.989070959922568</v>
      </c>
      <c r="E57" s="155">
        <v>2.2652473331519172</v>
      </c>
      <c r="F57" s="172">
        <v>5.6019173554333479</v>
      </c>
      <c r="G57" s="155">
        <v>4.133209823721983</v>
      </c>
      <c r="H57" s="172">
        <v>13.79941142915318</v>
      </c>
      <c r="I57" s="155">
        <v>4.5985154015684531</v>
      </c>
      <c r="J57" s="172">
        <v>9.4416702075733223</v>
      </c>
      <c r="K57" s="155">
        <v>5.463043942247265</v>
      </c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</row>
    <row r="58" spans="1:27" s="107" customFormat="1" ht="12.75" customHeight="1">
      <c r="A58" s="108" t="s">
        <v>572</v>
      </c>
      <c r="B58" s="169"/>
      <c r="C58" s="156">
        <v>6.9316918275691003E-2</v>
      </c>
      <c r="D58" s="174"/>
      <c r="E58" s="156">
        <v>1.7919805588900777</v>
      </c>
      <c r="F58" s="174"/>
      <c r="G58" s="107">
        <v>1.8376851891408079</v>
      </c>
      <c r="H58" s="174"/>
      <c r="I58" s="156"/>
      <c r="J58" s="174"/>
      <c r="K58" s="156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</row>
    <row r="59" spans="1:27" s="107" customFormat="1" ht="12.75" customHeight="1">
      <c r="A59" s="108" t="s">
        <v>573</v>
      </c>
      <c r="B59" s="169"/>
      <c r="C59" s="156"/>
      <c r="D59" s="174"/>
      <c r="E59" s="156"/>
      <c r="F59" s="174"/>
      <c r="G59" s="156"/>
      <c r="H59" s="174"/>
      <c r="I59" s="156"/>
      <c r="J59" s="174"/>
      <c r="K59" s="156"/>
      <c r="L59" s="58"/>
      <c r="M59" s="58"/>
      <c r="N59" s="58"/>
      <c r="O59" s="58"/>
      <c r="P59" s="58"/>
      <c r="Q59" s="58"/>
      <c r="R59" s="58"/>
      <c r="S59" s="58"/>
      <c r="T59" s="58"/>
      <c r="U59" s="49"/>
      <c r="V59" s="49"/>
      <c r="W59" s="49"/>
      <c r="X59" s="49"/>
      <c r="Y59" s="49"/>
      <c r="Z59" s="49"/>
      <c r="AA59" s="49"/>
    </row>
    <row r="60" spans="1:27" s="107" customFormat="1" ht="12.75" customHeight="1">
      <c r="A60" s="108" t="s">
        <v>574</v>
      </c>
      <c r="B60" s="169"/>
      <c r="C60" s="156"/>
      <c r="D60" s="174"/>
      <c r="E60" s="156"/>
      <c r="F60" s="174"/>
      <c r="G60" s="156"/>
      <c r="H60" s="174"/>
      <c r="I60" s="156"/>
      <c r="J60" s="174"/>
      <c r="K60" s="156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</row>
    <row r="61" spans="1:27" s="107" customFormat="1" ht="12.75" customHeight="1">
      <c r="A61" s="75" t="s">
        <v>569</v>
      </c>
      <c r="B61" s="169"/>
      <c r="C61" s="156"/>
      <c r="D61" s="174"/>
      <c r="E61" s="156"/>
      <c r="F61" s="174"/>
      <c r="G61" s="156"/>
      <c r="H61" s="174"/>
      <c r="I61" s="156"/>
      <c r="J61" s="174"/>
      <c r="K61" s="156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</row>
    <row r="62" spans="1:27" s="107" customFormat="1" ht="12.75" customHeight="1">
      <c r="A62" s="75" t="s">
        <v>570</v>
      </c>
      <c r="B62" s="169"/>
      <c r="C62" s="156"/>
      <c r="D62" s="174"/>
      <c r="E62" s="156"/>
      <c r="F62" s="174"/>
      <c r="G62" s="156"/>
      <c r="H62" s="174"/>
      <c r="I62" s="156"/>
      <c r="J62" s="174"/>
      <c r="K62" s="156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</row>
    <row r="63" spans="1:27" s="107" customFormat="1" ht="12.75" customHeight="1">
      <c r="A63" s="75" t="s">
        <v>158</v>
      </c>
      <c r="B63" s="166"/>
      <c r="C63" s="155"/>
      <c r="D63" s="172"/>
      <c r="E63" s="155"/>
      <c r="F63" s="172"/>
      <c r="G63" s="155"/>
      <c r="H63" s="172"/>
      <c r="I63" s="155"/>
      <c r="J63" s="172"/>
      <c r="K63" s="155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</row>
    <row r="64" spans="1:27" s="107" customFormat="1" ht="12.75" customHeight="1">
      <c r="A64" s="75" t="s">
        <v>287</v>
      </c>
      <c r="B64" s="166"/>
      <c r="C64" s="155"/>
      <c r="D64" s="172"/>
      <c r="E64" s="155"/>
      <c r="F64" s="172"/>
      <c r="G64" s="155"/>
      <c r="H64" s="172"/>
      <c r="I64" s="155"/>
      <c r="J64" s="172"/>
      <c r="K64" s="155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</row>
    <row r="65" spans="1:256" s="107" customFormat="1" ht="12.75" customHeight="1">
      <c r="A65" s="75" t="s">
        <v>495</v>
      </c>
      <c r="B65" s="170"/>
      <c r="C65" s="157"/>
      <c r="D65" s="175"/>
      <c r="E65" s="157"/>
      <c r="F65" s="175"/>
      <c r="G65" s="157"/>
      <c r="H65" s="175"/>
      <c r="I65" s="157"/>
      <c r="J65" s="175"/>
      <c r="K65" s="157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</row>
    <row r="66" spans="1:256" s="106" customFormat="1" ht="12.75" customHeight="1">
      <c r="A66" s="111" t="s">
        <v>96</v>
      </c>
      <c r="B66" s="150">
        <f>SUM(B5:B65)</f>
        <v>100.00000000000001</v>
      </c>
      <c r="C66" s="150">
        <f>SUM(C5:C65)</f>
        <v>100.00000000000001</v>
      </c>
      <c r="D66" s="150">
        <f>SUM(D5:D65)</f>
        <v>99.999999999999986</v>
      </c>
      <c r="E66" s="150">
        <f t="shared" ref="E66:AA66" si="0">SUM(E5:E65)</f>
        <v>99.999999999999986</v>
      </c>
      <c r="F66" s="150">
        <f>SUM(F5:F65)</f>
        <v>99.999999999999986</v>
      </c>
      <c r="G66" s="150">
        <f t="shared" si="0"/>
        <v>100</v>
      </c>
      <c r="H66" s="150">
        <f t="shared" si="0"/>
        <v>99.999999999999986</v>
      </c>
      <c r="I66" s="150">
        <f t="shared" si="0"/>
        <v>100.00999998257549</v>
      </c>
      <c r="J66" s="150">
        <f t="shared" si="0"/>
        <v>100.00000000000001</v>
      </c>
      <c r="K66" s="150">
        <f t="shared" si="0"/>
        <v>99.999999999999986</v>
      </c>
      <c r="L66" s="47">
        <f t="shared" si="0"/>
        <v>0</v>
      </c>
      <c r="M66" s="47">
        <f t="shared" si="0"/>
        <v>0</v>
      </c>
      <c r="N66" s="47">
        <f t="shared" si="0"/>
        <v>0</v>
      </c>
      <c r="O66" s="47">
        <f t="shared" si="0"/>
        <v>0</v>
      </c>
      <c r="P66" s="47">
        <f t="shared" si="0"/>
        <v>0</v>
      </c>
      <c r="Q66" s="47">
        <f t="shared" si="0"/>
        <v>0</v>
      </c>
      <c r="R66" s="47">
        <f t="shared" si="0"/>
        <v>0</v>
      </c>
      <c r="S66" s="47">
        <f t="shared" si="0"/>
        <v>0</v>
      </c>
      <c r="T66" s="47">
        <f t="shared" si="0"/>
        <v>0</v>
      </c>
      <c r="U66" s="47">
        <f t="shared" si="0"/>
        <v>0</v>
      </c>
      <c r="V66" s="47">
        <f t="shared" si="0"/>
        <v>0</v>
      </c>
      <c r="W66" s="47">
        <f t="shared" si="0"/>
        <v>0</v>
      </c>
      <c r="X66" s="47">
        <f t="shared" si="0"/>
        <v>0</v>
      </c>
      <c r="Y66" s="47">
        <f t="shared" si="0"/>
        <v>0</v>
      </c>
      <c r="Z66" s="47">
        <f t="shared" si="0"/>
        <v>0</v>
      </c>
      <c r="AA66" s="47">
        <f t="shared" si="0"/>
        <v>0</v>
      </c>
      <c r="AB66" s="47"/>
      <c r="AC66" s="47"/>
      <c r="AD66" s="47"/>
      <c r="AE66" s="47"/>
      <c r="AF66" s="47"/>
      <c r="AG66" s="47"/>
      <c r="AH66" s="47"/>
      <c r="AI66" s="47"/>
      <c r="AJ66" s="47"/>
      <c r="AK66" s="47"/>
      <c r="AL66" s="47"/>
      <c r="AM66" s="47"/>
      <c r="AN66" s="47"/>
      <c r="AO66" s="47"/>
      <c r="AP66" s="47"/>
      <c r="AQ66" s="47"/>
      <c r="AR66" s="47"/>
      <c r="AS66" s="47"/>
      <c r="AT66" s="47"/>
      <c r="AU66" s="47"/>
      <c r="AV66" s="47"/>
      <c r="AW66" s="47"/>
      <c r="AX66" s="47"/>
      <c r="AY66" s="47"/>
      <c r="AZ66" s="47"/>
      <c r="BA66" s="47"/>
      <c r="BB66" s="47"/>
      <c r="BC66" s="47"/>
      <c r="BD66" s="47"/>
      <c r="BE66" s="47"/>
      <c r="BF66" s="47"/>
      <c r="BG66" s="47"/>
      <c r="BH66" s="47"/>
      <c r="BI66" s="47"/>
      <c r="BJ66" s="47"/>
      <c r="BK66" s="47"/>
      <c r="BL66" s="47"/>
      <c r="BM66" s="47"/>
      <c r="BN66" s="47"/>
      <c r="BO66" s="47"/>
      <c r="BP66" s="47"/>
      <c r="BQ66" s="47"/>
      <c r="BR66" s="47"/>
      <c r="BS66" s="47"/>
      <c r="BT66" s="47"/>
      <c r="BU66" s="47"/>
      <c r="BV66" s="47"/>
      <c r="BW66" s="47"/>
      <c r="BX66" s="47"/>
      <c r="BY66" s="47"/>
      <c r="BZ66" s="47"/>
      <c r="CA66" s="47"/>
      <c r="CB66" s="47"/>
      <c r="CC66" s="47"/>
      <c r="CD66" s="47"/>
      <c r="CE66" s="47"/>
      <c r="CF66" s="47"/>
      <c r="CG66" s="47"/>
      <c r="CH66" s="47"/>
      <c r="CI66" s="47"/>
      <c r="CJ66" s="47"/>
      <c r="CK66" s="47"/>
      <c r="CL66" s="47"/>
      <c r="CM66" s="47"/>
      <c r="CN66" s="47"/>
      <c r="CO66" s="47"/>
      <c r="CP66" s="47"/>
      <c r="CQ66" s="47"/>
      <c r="CR66" s="47"/>
      <c r="CS66" s="47"/>
      <c r="CT66" s="47"/>
      <c r="CU66" s="47"/>
      <c r="CV66" s="47"/>
      <c r="CW66" s="47"/>
      <c r="CX66" s="47"/>
      <c r="CY66" s="47"/>
      <c r="CZ66" s="47"/>
      <c r="DA66" s="47"/>
      <c r="DB66" s="47"/>
      <c r="DC66" s="47"/>
      <c r="DD66" s="47"/>
      <c r="DE66" s="47"/>
      <c r="DF66" s="47"/>
      <c r="DG66" s="47"/>
      <c r="DH66" s="47"/>
      <c r="DI66" s="47"/>
      <c r="DJ66" s="47"/>
      <c r="DK66" s="47"/>
      <c r="DL66" s="47"/>
      <c r="DM66" s="47"/>
      <c r="DN66" s="47"/>
      <c r="DO66" s="47"/>
      <c r="DP66" s="47"/>
      <c r="DQ66" s="47"/>
      <c r="DR66" s="47"/>
      <c r="DS66" s="47"/>
      <c r="DT66" s="47"/>
      <c r="DU66" s="47"/>
      <c r="DV66" s="47"/>
      <c r="DW66" s="47"/>
      <c r="DX66" s="47"/>
      <c r="DY66" s="47"/>
      <c r="DZ66" s="47"/>
      <c r="EA66" s="47"/>
      <c r="EB66" s="47"/>
      <c r="EC66" s="47"/>
      <c r="ED66" s="47"/>
      <c r="EE66" s="47"/>
      <c r="EF66" s="47"/>
      <c r="EG66" s="47"/>
      <c r="EH66" s="47"/>
      <c r="EI66" s="47"/>
      <c r="EJ66" s="47"/>
      <c r="EK66" s="47"/>
      <c r="EL66" s="47"/>
      <c r="EM66" s="47"/>
      <c r="EN66" s="47"/>
      <c r="EO66" s="47"/>
      <c r="EP66" s="47"/>
      <c r="EQ66" s="47"/>
      <c r="ER66" s="47"/>
      <c r="ES66" s="47"/>
      <c r="ET66" s="47"/>
      <c r="EU66" s="47"/>
      <c r="EV66" s="47"/>
      <c r="EW66" s="47"/>
      <c r="EX66" s="47"/>
      <c r="EY66" s="47"/>
      <c r="EZ66" s="47"/>
      <c r="FA66" s="47"/>
      <c r="FB66" s="47"/>
      <c r="FC66" s="47"/>
      <c r="FD66" s="47"/>
      <c r="FE66" s="47"/>
      <c r="FF66" s="47"/>
      <c r="FG66" s="47"/>
      <c r="FH66" s="47"/>
      <c r="FI66" s="47"/>
      <c r="FJ66" s="47"/>
      <c r="FK66" s="47"/>
      <c r="FL66" s="47"/>
      <c r="FM66" s="47"/>
      <c r="FN66" s="47"/>
      <c r="FO66" s="47"/>
      <c r="FP66" s="47"/>
      <c r="FQ66" s="47"/>
      <c r="FR66" s="47"/>
      <c r="FS66" s="47"/>
      <c r="FT66" s="47"/>
      <c r="FU66" s="47"/>
      <c r="FV66" s="47"/>
      <c r="FW66" s="47"/>
      <c r="FX66" s="47"/>
      <c r="FY66" s="47"/>
      <c r="FZ66" s="47"/>
      <c r="GA66" s="47"/>
      <c r="GB66" s="47"/>
      <c r="GC66" s="47"/>
      <c r="GD66" s="47"/>
      <c r="GE66" s="47"/>
      <c r="GF66" s="47"/>
      <c r="GG66" s="47"/>
      <c r="GH66" s="47"/>
      <c r="GI66" s="47"/>
      <c r="GJ66" s="47"/>
      <c r="GK66" s="47"/>
      <c r="GL66" s="47"/>
      <c r="GM66" s="47"/>
      <c r="GN66" s="47"/>
      <c r="GO66" s="47"/>
      <c r="GP66" s="47"/>
      <c r="GQ66" s="47"/>
      <c r="GR66" s="47"/>
      <c r="GS66" s="47"/>
      <c r="GT66" s="47"/>
      <c r="GU66" s="47"/>
      <c r="GV66" s="47"/>
      <c r="GW66" s="47"/>
      <c r="GX66" s="47"/>
      <c r="GY66" s="47"/>
      <c r="GZ66" s="47"/>
      <c r="HA66" s="47"/>
      <c r="HB66" s="47"/>
      <c r="HC66" s="47"/>
      <c r="HD66" s="47"/>
      <c r="HE66" s="47"/>
      <c r="HF66" s="47"/>
      <c r="HG66" s="47"/>
      <c r="HH66" s="47"/>
      <c r="HI66" s="47"/>
      <c r="HJ66" s="47"/>
      <c r="HK66" s="47"/>
      <c r="HL66" s="47"/>
      <c r="HM66" s="47"/>
      <c r="HN66" s="47"/>
      <c r="HO66" s="47"/>
      <c r="HP66" s="47"/>
      <c r="HQ66" s="47"/>
      <c r="HR66" s="47"/>
      <c r="HS66" s="47"/>
      <c r="HT66" s="47"/>
      <c r="HU66" s="47"/>
      <c r="HV66" s="47"/>
      <c r="HW66" s="47"/>
      <c r="HX66" s="47"/>
      <c r="HY66" s="47"/>
      <c r="HZ66" s="47"/>
      <c r="IA66" s="47"/>
      <c r="IB66" s="47"/>
      <c r="IC66" s="47"/>
      <c r="ID66" s="47"/>
      <c r="IE66" s="47"/>
      <c r="IF66" s="47"/>
      <c r="IG66" s="47"/>
      <c r="IH66" s="47"/>
      <c r="II66" s="47"/>
      <c r="IJ66" s="47"/>
      <c r="IK66" s="47"/>
      <c r="IL66" s="47"/>
      <c r="IM66" s="47"/>
      <c r="IN66" s="47"/>
      <c r="IO66" s="47"/>
      <c r="IP66" s="47"/>
      <c r="IQ66" s="47"/>
      <c r="IR66" s="47"/>
      <c r="IS66" s="47"/>
      <c r="IT66" s="47"/>
      <c r="IU66" s="47"/>
      <c r="IV66" s="47"/>
    </row>
    <row r="67" spans="1:256" ht="12" customHeight="1">
      <c r="A67" s="11"/>
      <c r="B67" s="151"/>
      <c r="C67" s="151"/>
    </row>
    <row r="68" spans="1:256" s="113" customFormat="1" ht="12.75" customHeight="1">
      <c r="A68" s="112" t="s">
        <v>174</v>
      </c>
      <c r="B68" s="107">
        <v>0.25</v>
      </c>
      <c r="C68" s="107">
        <v>0.15</v>
      </c>
      <c r="D68" s="107">
        <v>0.25</v>
      </c>
      <c r="E68" s="107">
        <v>0.15</v>
      </c>
      <c r="F68" s="107">
        <v>2.5000000000000001E-2</v>
      </c>
      <c r="G68" s="107">
        <v>0.15</v>
      </c>
      <c r="H68" s="107">
        <v>0.25</v>
      </c>
      <c r="I68" s="107">
        <v>0.15</v>
      </c>
      <c r="J68" s="107">
        <v>0.25</v>
      </c>
      <c r="K68" s="107">
        <v>0.15</v>
      </c>
      <c r="L68" s="113">
        <v>0.01</v>
      </c>
      <c r="M68" s="113">
        <v>0.01</v>
      </c>
      <c r="N68" s="113">
        <v>0.01</v>
      </c>
      <c r="O68" s="113">
        <v>0.01</v>
      </c>
      <c r="P68" s="113">
        <v>0.01</v>
      </c>
      <c r="Q68" s="113">
        <v>0.01</v>
      </c>
      <c r="R68" s="113">
        <v>0.01</v>
      </c>
      <c r="S68" s="113">
        <v>0.01</v>
      </c>
      <c r="T68" s="113">
        <v>0.01</v>
      </c>
      <c r="U68" s="113">
        <v>0.01</v>
      </c>
      <c r="V68" s="113">
        <v>0.01</v>
      </c>
      <c r="W68" s="113">
        <v>0.01</v>
      </c>
      <c r="X68" s="113">
        <v>0.01</v>
      </c>
      <c r="Y68" s="113">
        <v>0.01</v>
      </c>
      <c r="Z68" s="113">
        <v>0.01</v>
      </c>
      <c r="AA68" s="113">
        <v>0.01</v>
      </c>
    </row>
    <row r="69" spans="1:256" s="107" customFormat="1" ht="12.75" customHeight="1">
      <c r="A69" s="75" t="s">
        <v>611</v>
      </c>
      <c r="B69" s="107">
        <v>312</v>
      </c>
      <c r="C69" s="107">
        <v>162</v>
      </c>
      <c r="D69" s="107">
        <v>312</v>
      </c>
      <c r="E69" s="107">
        <v>162</v>
      </c>
      <c r="F69" s="107">
        <v>312</v>
      </c>
      <c r="G69" s="107">
        <v>162</v>
      </c>
      <c r="H69" s="107">
        <v>312</v>
      </c>
      <c r="I69" s="107">
        <v>162</v>
      </c>
      <c r="J69" s="107">
        <v>312</v>
      </c>
      <c r="K69" s="107">
        <v>162</v>
      </c>
      <c r="L69" s="109">
        <v>100</v>
      </c>
      <c r="M69" s="109">
        <v>100</v>
      </c>
      <c r="N69" s="109">
        <v>100</v>
      </c>
      <c r="O69" s="109">
        <v>100</v>
      </c>
      <c r="P69" s="109">
        <v>100</v>
      </c>
      <c r="Q69" s="109">
        <v>100</v>
      </c>
      <c r="R69" s="109">
        <v>100</v>
      </c>
      <c r="S69" s="109">
        <v>100</v>
      </c>
      <c r="T69" s="109">
        <v>100</v>
      </c>
      <c r="U69" s="109">
        <v>100</v>
      </c>
      <c r="V69" s="109">
        <v>100</v>
      </c>
      <c r="W69" s="109">
        <v>100</v>
      </c>
      <c r="X69" s="109">
        <v>100</v>
      </c>
      <c r="Y69" s="109">
        <v>100</v>
      </c>
      <c r="Z69" s="109">
        <v>100</v>
      </c>
      <c r="AA69" s="109">
        <v>100</v>
      </c>
    </row>
    <row r="70" spans="1:256" ht="12.75" customHeight="1">
      <c r="A70" s="82" t="s">
        <v>81</v>
      </c>
    </row>
    <row r="71" spans="1:256" s="120" customFormat="1" ht="12.75" customHeight="1">
      <c r="A71" s="119" t="s">
        <v>171</v>
      </c>
      <c r="B71" s="106">
        <v>3.3881516308643964</v>
      </c>
      <c r="C71" s="106">
        <v>2.8762895855631441</v>
      </c>
      <c r="D71" s="106">
        <v>3.4897133775286191</v>
      </c>
      <c r="E71" s="106">
        <v>2.8302355219267716</v>
      </c>
      <c r="F71" s="106">
        <v>3.4201050482670556</v>
      </c>
      <c r="G71" s="106">
        <v>2.9551369242407044</v>
      </c>
      <c r="H71" s="106">
        <v>3.5997920334800693</v>
      </c>
      <c r="I71" s="106">
        <v>2.9138203803105687</v>
      </c>
      <c r="J71" s="106">
        <v>3.5063993884647404</v>
      </c>
      <c r="K71" s="106">
        <v>2.9720987969962644</v>
      </c>
      <c r="L71" s="120">
        <v>3.3332722478422929</v>
      </c>
      <c r="M71" s="120">
        <v>2.7527993055555533</v>
      </c>
      <c r="N71" s="120">
        <v>2.9891658477121528</v>
      </c>
      <c r="O71" s="120">
        <v>3.0730200345887408</v>
      </c>
      <c r="P71" s="120">
        <v>3.0989898555105002</v>
      </c>
      <c r="Q71" s="120">
        <v>3.2363364831371855</v>
      </c>
      <c r="R71" s="120">
        <v>3.0210918968234122</v>
      </c>
      <c r="S71" s="120">
        <v>3.1062548721271139</v>
      </c>
      <c r="T71" s="120">
        <v>3.305436323707541</v>
      </c>
      <c r="U71" s="120">
        <v>3.1001338684598387</v>
      </c>
      <c r="V71" s="120">
        <v>3.1626904162265004</v>
      </c>
      <c r="W71" s="120">
        <v>3.1027660120085212</v>
      </c>
      <c r="X71" s="120">
        <v>3.5040859660868735</v>
      </c>
      <c r="Y71" s="120">
        <v>3.5281722270738696</v>
      </c>
      <c r="Z71" s="120">
        <v>3.3301177244294653</v>
      </c>
      <c r="AA71" s="120">
        <v>3.5516154648401437</v>
      </c>
    </row>
    <row r="72" spans="1:256" s="163" customFormat="1" ht="12.75" customHeight="1">
      <c r="A72" s="161" t="s">
        <v>167</v>
      </c>
      <c r="B72" s="162">
        <v>7.5918329180503532</v>
      </c>
      <c r="C72" s="162">
        <v>6.7185344499394546</v>
      </c>
      <c r="D72" s="162">
        <v>7.3078520665056317</v>
      </c>
      <c r="E72" s="162">
        <v>6.6491610296490471</v>
      </c>
      <c r="F72" s="162">
        <v>7.751126605917384</v>
      </c>
      <c r="G72" s="162">
        <v>6.6800401385884562</v>
      </c>
      <c r="H72" s="162">
        <v>7.7205052232945857</v>
      </c>
      <c r="I72" s="162">
        <v>6.7420400177588675</v>
      </c>
      <c r="J72" s="162">
        <v>7.7798386818618077</v>
      </c>
      <c r="K72" s="162">
        <v>6.7936371662810933</v>
      </c>
      <c r="L72" s="163">
        <v>8.3306412222885466</v>
      </c>
      <c r="M72" s="163">
        <v>6.1901864561560842</v>
      </c>
      <c r="N72" s="163">
        <v>6.8736084146826899</v>
      </c>
      <c r="O72" s="163">
        <v>7.0751930530491363</v>
      </c>
      <c r="P72" s="163">
        <v>6.9526125308070599</v>
      </c>
      <c r="Q72" s="163">
        <v>7.1922256010301018</v>
      </c>
      <c r="R72" s="163">
        <v>6.6778871169323075</v>
      </c>
      <c r="S72" s="163">
        <v>6.8808390235318129</v>
      </c>
      <c r="T72" s="163">
        <v>7.4747595291631761</v>
      </c>
      <c r="U72" s="163">
        <v>7.1022657634719764</v>
      </c>
      <c r="V72" s="163">
        <v>7.262097457660122</v>
      </c>
      <c r="W72" s="163">
        <v>7.0698280532063729</v>
      </c>
      <c r="X72" s="163">
        <v>8.0048924957149552</v>
      </c>
      <c r="Y72" s="163">
        <v>8.0932820480218322</v>
      </c>
      <c r="Z72" s="163">
        <v>7.6168241612538932</v>
      </c>
      <c r="AA72" s="163">
        <v>8.1686962882423781</v>
      </c>
    </row>
    <row r="73" spans="1:256" s="163" customFormat="1" ht="12.75" customHeight="1">
      <c r="A73" s="161" t="s">
        <v>168</v>
      </c>
      <c r="B73" s="162">
        <v>4.340053193721757</v>
      </c>
      <c r="C73" s="162">
        <v>3.771680294140177</v>
      </c>
      <c r="D73" s="162">
        <v>3.9988766238443949</v>
      </c>
      <c r="E73" s="162">
        <v>3.7452220947743751</v>
      </c>
      <c r="F73" s="162">
        <v>4.5009862485004417</v>
      </c>
      <c r="G73" s="162">
        <v>3.8204190497462163</v>
      </c>
      <c r="H73" s="162">
        <v>4.3893148100191874</v>
      </c>
      <c r="I73" s="162">
        <v>3.8181909308555406</v>
      </c>
      <c r="J73" s="162">
        <v>4.4691548251829296</v>
      </c>
      <c r="K73" s="162">
        <v>3.798546731790474</v>
      </c>
      <c r="L73" s="163">
        <v>4.8092412996498712</v>
      </c>
      <c r="M73" s="163">
        <v>3.4729268561986708</v>
      </c>
      <c r="N73" s="163">
        <v>3.9243097393197157</v>
      </c>
      <c r="O73" s="163">
        <v>4.1422061850643521</v>
      </c>
      <c r="P73" s="163">
        <v>4.0507727951411931</v>
      </c>
      <c r="Q73" s="163">
        <v>4.1358868795022037</v>
      </c>
      <c r="R73" s="163">
        <v>3.7827755916276771</v>
      </c>
      <c r="S73" s="163">
        <v>3.8760021315577728</v>
      </c>
      <c r="T73" s="163">
        <v>4.2426455563651873</v>
      </c>
      <c r="U73" s="163">
        <v>3.9672993660500429</v>
      </c>
      <c r="V73" s="163">
        <v>4.0651363376959919</v>
      </c>
      <c r="W73" s="163">
        <v>4.1261007231807643</v>
      </c>
      <c r="X73" s="163">
        <v>4.6389437049177999</v>
      </c>
      <c r="Y73" s="163">
        <v>4.7093060344086917</v>
      </c>
      <c r="Z73" s="163">
        <v>4.3402761358132551</v>
      </c>
      <c r="AA73" s="163">
        <v>4.7552182194937789</v>
      </c>
    </row>
    <row r="74" spans="1:256" s="115" customFormat="1" ht="12.75" customHeight="1">
      <c r="A74" s="114" t="s">
        <v>359</v>
      </c>
      <c r="B74" s="106">
        <v>1.7492488177408891</v>
      </c>
      <c r="C74" s="106">
        <v>1.7813106960252225</v>
      </c>
      <c r="D74" s="106">
        <v>1.8274762524381387</v>
      </c>
      <c r="E74" s="106">
        <v>1.7753716232013246</v>
      </c>
      <c r="F74" s="106">
        <v>1.7220951538120708</v>
      </c>
      <c r="G74" s="106">
        <v>1.7485097973826196</v>
      </c>
      <c r="H74" s="106">
        <v>1.7589317598435907</v>
      </c>
      <c r="I74" s="106">
        <v>1.7657681713282425</v>
      </c>
      <c r="J74" s="106">
        <v>1.7407852236453605</v>
      </c>
      <c r="K74" s="106">
        <v>1.7884832400308159</v>
      </c>
      <c r="L74" s="115">
        <v>1.7322152712310452</v>
      </c>
      <c r="M74" s="115">
        <v>1.782411986335819</v>
      </c>
      <c r="N74" s="115">
        <v>1.7515458440531351</v>
      </c>
      <c r="O74" s="115">
        <v>1.7080736054521675</v>
      </c>
      <c r="P74" s="115">
        <v>1.7163669458693303</v>
      </c>
      <c r="Q74" s="115">
        <v>1.7389802503243899</v>
      </c>
      <c r="R74" s="115">
        <v>1.7653405429897318</v>
      </c>
      <c r="S74" s="115">
        <v>1.7752412898613112</v>
      </c>
      <c r="T74" s="115">
        <v>1.7618156949144359</v>
      </c>
      <c r="U74" s="115">
        <v>1.7902016228594304</v>
      </c>
      <c r="V74" s="115">
        <v>1.7864339235854707</v>
      </c>
      <c r="W74" s="115">
        <v>1.7134404920092019</v>
      </c>
      <c r="X74" s="115">
        <v>1.7255851773387274</v>
      </c>
      <c r="Y74" s="115">
        <v>1.7185721184582217</v>
      </c>
      <c r="Z74" s="115">
        <v>1.7549169506531175</v>
      </c>
      <c r="AA74" s="115">
        <v>1.717838364337354</v>
      </c>
    </row>
    <row r="75" spans="1:256" s="115" customFormat="1" ht="12.75" customHeight="1">
      <c r="A75" s="114" t="s">
        <v>170</v>
      </c>
      <c r="B75" s="106">
        <v>0.25726640333002104</v>
      </c>
      <c r="C75" s="106">
        <v>0.2699105380088051</v>
      </c>
      <c r="D75" s="106">
        <v>0.28629459844820099</v>
      </c>
      <c r="E75" s="106">
        <v>0.26765198957224751</v>
      </c>
      <c r="F75" s="106">
        <v>0.24562626218490008</v>
      </c>
      <c r="G75" s="106">
        <v>0.25696141631483826</v>
      </c>
      <c r="H75" s="106">
        <v>0.26120440122535193</v>
      </c>
      <c r="I75" s="106">
        <v>0.26392123819037494</v>
      </c>
      <c r="J75" s="106">
        <v>0.25373500208473032</v>
      </c>
      <c r="K75" s="106">
        <v>0.27259003079753741</v>
      </c>
      <c r="L75" s="115">
        <v>0.25007119795338484</v>
      </c>
      <c r="M75" s="115">
        <v>0.2703253444746806</v>
      </c>
      <c r="N75" s="115">
        <v>0.25821031263754352</v>
      </c>
      <c r="O75" s="115">
        <v>0.23924590689515071</v>
      </c>
      <c r="P75" s="115">
        <v>0.24305153444159322</v>
      </c>
      <c r="Q75" s="115">
        <v>0.2529708114369556</v>
      </c>
      <c r="R75" s="115">
        <v>0.26375280365456627</v>
      </c>
      <c r="S75" s="115">
        <v>0.26760201372478265</v>
      </c>
      <c r="T75" s="115">
        <v>0.26235679807255174</v>
      </c>
      <c r="U75" s="115">
        <v>0.27322430839969614</v>
      </c>
      <c r="V75" s="115">
        <v>0.27182975087851913</v>
      </c>
      <c r="W75" s="115">
        <v>0.2417193038823543</v>
      </c>
      <c r="X75" s="115">
        <v>0.24717393607747853</v>
      </c>
      <c r="Y75" s="115">
        <v>0.24404784889479927</v>
      </c>
      <c r="Z75" s="115">
        <v>0.25958458181639404</v>
      </c>
      <c r="AA75" s="115">
        <v>0.2437170499752056</v>
      </c>
    </row>
    <row r="76" spans="1:256" s="116" customFormat="1" ht="12.75" customHeight="1">
      <c r="A76" s="117" t="s">
        <v>169</v>
      </c>
      <c r="B76" s="106">
        <v>110.18668258263385</v>
      </c>
      <c r="C76" s="106">
        <v>75.27616716179206</v>
      </c>
      <c r="D76" s="106">
        <v>111.96169390754422</v>
      </c>
      <c r="E76" s="106">
        <v>72.196735515985836</v>
      </c>
      <c r="F76" s="106">
        <v>113.09646939605389</v>
      </c>
      <c r="G76" s="106">
        <v>74.357551174439195</v>
      </c>
      <c r="H76" s="106">
        <v>122.09806381675742</v>
      </c>
      <c r="I76" s="106">
        <v>75.808848192076198</v>
      </c>
      <c r="J76" s="106">
        <v>118.8485778233681</v>
      </c>
      <c r="K76" s="106">
        <v>79.99373076277665</v>
      </c>
      <c r="L76" s="116">
        <v>128.53491337184104</v>
      </c>
      <c r="M76" s="116">
        <v>61.213393727248629</v>
      </c>
      <c r="N76" s="116">
        <v>79.849238747927728</v>
      </c>
      <c r="O76" s="116">
        <v>83.528353618900184</v>
      </c>
      <c r="P76" s="116">
        <v>82.000740559134215</v>
      </c>
      <c r="Q76" s="116">
        <v>93.597101606395924</v>
      </c>
      <c r="R76" s="116">
        <v>77.083123829702885</v>
      </c>
      <c r="S76" s="116">
        <v>84.846592775196569</v>
      </c>
      <c r="T76" s="116">
        <v>105.35078364044833</v>
      </c>
      <c r="U76" s="116">
        <v>91.318245808056119</v>
      </c>
      <c r="V76" s="116">
        <v>97.108137024228284</v>
      </c>
      <c r="W76" s="116">
        <v>84.652328023510549</v>
      </c>
      <c r="X76" s="116">
        <v>123.99291916959771</v>
      </c>
      <c r="Y76" s="116">
        <v>126.771214510742</v>
      </c>
      <c r="Z76" s="116">
        <v>109.55648089709436</v>
      </c>
      <c r="AA76" s="116">
        <v>129.91145915429507</v>
      </c>
    </row>
    <row r="77" spans="1:256" s="116" customFormat="1" ht="12.75" customHeight="1">
      <c r="A77" s="117" t="s">
        <v>172</v>
      </c>
      <c r="B77" s="106">
        <v>63.819433250366089</v>
      </c>
      <c r="C77" s="106">
        <v>40.916865286055049</v>
      </c>
      <c r="D77" s="106">
        <v>55.804056357999727</v>
      </c>
      <c r="E77" s="106">
        <v>39.698832158607793</v>
      </c>
      <c r="F77" s="106">
        <v>69.287488215373386</v>
      </c>
      <c r="G77" s="106">
        <v>43.132001561469018</v>
      </c>
      <c r="H77" s="106">
        <v>69.353897504687112</v>
      </c>
      <c r="I77" s="106">
        <v>42.479369302369889</v>
      </c>
      <c r="J77" s="106">
        <v>70.034524172740205</v>
      </c>
      <c r="K77" s="106">
        <v>42.884286554765438</v>
      </c>
      <c r="L77" s="116">
        <v>77.094593426640046</v>
      </c>
      <c r="M77" s="116">
        <v>33.202120651199358</v>
      </c>
      <c r="N77" s="116">
        <v>46.033772603213457</v>
      </c>
      <c r="O77" s="116">
        <v>52.726484651476639</v>
      </c>
      <c r="P77" s="116">
        <v>50.850581518619784</v>
      </c>
      <c r="Q77" s="116">
        <v>55.35934879879084</v>
      </c>
      <c r="R77" s="116">
        <v>43.229985732145359</v>
      </c>
      <c r="S77" s="116">
        <v>46.666486223057305</v>
      </c>
      <c r="T77" s="116">
        <v>59.497990397267408</v>
      </c>
      <c r="U77" s="116">
        <v>48.794446223408478</v>
      </c>
      <c r="V77" s="116">
        <v>52.264513708464385</v>
      </c>
      <c r="W77" s="116">
        <v>52.823682795777209</v>
      </c>
      <c r="X77" s="116">
        <v>75.407224608561577</v>
      </c>
      <c r="Y77" s="116">
        <v>78.246262989970674</v>
      </c>
      <c r="Z77" s="116">
        <v>62.732747486357887</v>
      </c>
      <c r="AA77" s="116">
        <v>80.309485171290532</v>
      </c>
    </row>
    <row r="79" spans="1:256" ht="12.75" customHeight="1">
      <c r="A79" s="12"/>
    </row>
    <row r="80" spans="1:256" ht="12.75" customHeight="1">
      <c r="A80" s="81"/>
    </row>
    <row r="81" spans="1:27" ht="12.75" customHeight="1">
      <c r="A81" s="81"/>
    </row>
    <row r="82" spans="1:27" ht="12.75" customHeight="1">
      <c r="A82" s="81"/>
    </row>
    <row r="83" spans="1:27" ht="12.75" customHeight="1">
      <c r="A83" s="82"/>
    </row>
    <row r="84" spans="1:27" ht="12.75" customHeight="1">
      <c r="A84" s="81"/>
    </row>
    <row r="85" spans="1:27" ht="16">
      <c r="A85" s="82" t="s">
        <v>590</v>
      </c>
    </row>
    <row r="86" spans="1:27" s="116" customFormat="1" ht="16">
      <c r="A86" s="117" t="s">
        <v>360</v>
      </c>
      <c r="B86" s="106">
        <v>44.955028533935547</v>
      </c>
      <c r="C86" s="106">
        <v>55.376064300537109</v>
      </c>
      <c r="D86" s="106">
        <v>26.633956909179688</v>
      </c>
      <c r="E86" s="106">
        <v>56.666492462158203</v>
      </c>
      <c r="F86" s="106">
        <v>49.549854278564453</v>
      </c>
      <c r="G86" s="106">
        <v>55.405773162841797</v>
      </c>
      <c r="H86" s="106">
        <v>41.227169036865234</v>
      </c>
      <c r="I86" s="106">
        <v>56.385608673095703</v>
      </c>
      <c r="J86" s="106">
        <v>44.294078826904297</v>
      </c>
      <c r="K86" s="106">
        <v>51.652042388916016</v>
      </c>
      <c r="L86" s="116">
        <v>40.963016510009766</v>
      </c>
      <c r="M86" s="116">
        <v>40.346950531005859</v>
      </c>
      <c r="N86" s="116">
        <v>42.471736907958984</v>
      </c>
      <c r="O86" s="116">
        <v>46.441783905029297</v>
      </c>
      <c r="P86" s="116">
        <v>47.708889007568359</v>
      </c>
      <c r="Q86" s="116">
        <v>49.624897003173828</v>
      </c>
      <c r="R86" s="116">
        <v>50.892314910888672</v>
      </c>
      <c r="S86" s="116">
        <v>50.8870849609375</v>
      </c>
      <c r="T86" s="116">
        <v>49.096923828125</v>
      </c>
      <c r="U86" s="116">
        <v>47.242717742919922</v>
      </c>
      <c r="V86" s="116">
        <v>47.143367767333984</v>
      </c>
      <c r="W86" s="116">
        <v>47.604068756103516</v>
      </c>
      <c r="X86" s="116">
        <v>47.111515045166016</v>
      </c>
      <c r="Y86" s="116">
        <v>48.574871063232422</v>
      </c>
      <c r="Z86" s="116">
        <v>47.008319854736328</v>
      </c>
      <c r="AA86" s="116">
        <v>48.623805999755859</v>
      </c>
    </row>
    <row r="87" spans="1:27" s="116" customFormat="1" ht="16">
      <c r="A87" s="117" t="s">
        <v>361</v>
      </c>
      <c r="B87" s="106">
        <v>8.2772064208984375</v>
      </c>
      <c r="C87" s="106">
        <v>17.671865463256836</v>
      </c>
      <c r="D87" s="106">
        <v>24.641229629516602</v>
      </c>
      <c r="E87" s="106">
        <v>18.958749771118164</v>
      </c>
      <c r="F87" s="106">
        <v>2.3456897735595703</v>
      </c>
      <c r="G87" s="106">
        <v>15.300929069519043</v>
      </c>
      <c r="H87" s="106">
        <v>4.4672741889953613</v>
      </c>
      <c r="I87" s="106">
        <v>15.343560218811035</v>
      </c>
      <c r="J87" s="106">
        <v>5.2474102973937988</v>
      </c>
      <c r="K87" s="106">
        <v>16.913639068603516</v>
      </c>
      <c r="L87" s="116">
        <v>0</v>
      </c>
      <c r="M87" s="116">
        <v>15.589526176452637</v>
      </c>
      <c r="N87" s="116">
        <v>17.701301574707031</v>
      </c>
      <c r="O87" s="116">
        <v>17.48822021484375</v>
      </c>
      <c r="P87" s="116">
        <v>17.001237869262695</v>
      </c>
      <c r="Q87" s="116">
        <v>16.928455352783203</v>
      </c>
      <c r="R87" s="116">
        <v>14.300921440124512</v>
      </c>
      <c r="S87" s="116">
        <v>13.738885879516602</v>
      </c>
      <c r="T87" s="116">
        <v>15.431175231933594</v>
      </c>
      <c r="U87" s="116">
        <v>15.262357711791992</v>
      </c>
      <c r="V87" s="116">
        <v>15.16773509979248</v>
      </c>
      <c r="W87" s="116">
        <v>14.389300346374512</v>
      </c>
      <c r="X87" s="116">
        <v>15.44561767578125</v>
      </c>
      <c r="Y87" s="116">
        <v>15.640223503112793</v>
      </c>
      <c r="Z87" s="116">
        <v>15.25404167175293</v>
      </c>
      <c r="AA87" s="116">
        <v>15.125636100769043</v>
      </c>
    </row>
    <row r="88" spans="1:27" s="116" customFormat="1" ht="16">
      <c r="A88" s="117" t="s">
        <v>581</v>
      </c>
      <c r="B88" s="106">
        <v>0</v>
      </c>
      <c r="C88" s="106">
        <v>6.0603432357311249E-2</v>
      </c>
      <c r="D88" s="106">
        <v>0</v>
      </c>
      <c r="E88" s="106">
        <v>1.59221351146698</v>
      </c>
      <c r="F88" s="106">
        <v>0</v>
      </c>
      <c r="G88" s="106">
        <v>1.5638104677200317</v>
      </c>
      <c r="H88" s="106">
        <v>0</v>
      </c>
      <c r="I88" s="106">
        <v>0</v>
      </c>
      <c r="J88" s="106">
        <v>0</v>
      </c>
      <c r="K88" s="106">
        <v>0</v>
      </c>
      <c r="L88" s="116">
        <v>0</v>
      </c>
      <c r="M88" s="116">
        <v>0</v>
      </c>
      <c r="N88" s="116">
        <v>0</v>
      </c>
      <c r="O88" s="116">
        <v>0</v>
      </c>
      <c r="P88" s="116">
        <v>0</v>
      </c>
      <c r="Q88" s="116">
        <v>0</v>
      </c>
      <c r="R88" s="116">
        <v>0</v>
      </c>
      <c r="S88" s="116">
        <v>0</v>
      </c>
      <c r="T88" s="116">
        <v>0</v>
      </c>
      <c r="U88" s="116">
        <v>5.129450798034668</v>
      </c>
      <c r="V88" s="116">
        <v>5.0279927253723145</v>
      </c>
      <c r="W88" s="116">
        <v>5.1250996589660645</v>
      </c>
      <c r="X88" s="116">
        <v>3.0254173278808594</v>
      </c>
      <c r="Y88" s="116">
        <v>3.0061161518096924</v>
      </c>
      <c r="Z88" s="116">
        <v>4.4568777084350586</v>
      </c>
      <c r="AA88" s="116">
        <v>2.9849295616149902</v>
      </c>
    </row>
    <row r="89" spans="1:27" s="116" customFormat="1" ht="16">
      <c r="A89" s="117" t="s">
        <v>362</v>
      </c>
      <c r="B89" s="106">
        <v>18.227678298950195</v>
      </c>
      <c r="C89" s="106">
        <v>8.9409580230712891</v>
      </c>
      <c r="D89" s="106">
        <v>30.287899017333984</v>
      </c>
      <c r="E89" s="106">
        <v>6.9413952827453613</v>
      </c>
      <c r="F89" s="106">
        <v>16.274662017822266</v>
      </c>
      <c r="G89" s="106">
        <v>11.704588890075684</v>
      </c>
      <c r="H89" s="106">
        <v>26.347633361816406</v>
      </c>
      <c r="I89" s="106">
        <v>10.175290107727051</v>
      </c>
      <c r="J89" s="106">
        <v>20.581548690795898</v>
      </c>
      <c r="K89" s="106">
        <v>12.712608337402344</v>
      </c>
      <c r="L89" s="116">
        <v>9.2931680679321289</v>
      </c>
      <c r="M89" s="116">
        <v>13.126103401184082</v>
      </c>
      <c r="N89" s="116">
        <v>14.195449829101562</v>
      </c>
      <c r="O89" s="116">
        <v>11.846737861633301</v>
      </c>
      <c r="P89" s="116">
        <v>11.190423965454102</v>
      </c>
      <c r="Q89" s="116">
        <v>12.565176010131836</v>
      </c>
      <c r="R89" s="116">
        <v>12.092462539672852</v>
      </c>
      <c r="S89" s="116">
        <v>13.779020309448242</v>
      </c>
      <c r="T89" s="116">
        <v>13.731583595275879</v>
      </c>
      <c r="U89" s="116">
        <v>10.146391868591309</v>
      </c>
      <c r="V89" s="116">
        <v>10.477243423461914</v>
      </c>
      <c r="W89" s="116">
        <v>11.270076751708984</v>
      </c>
      <c r="X89" s="116">
        <v>13.010108947753906</v>
      </c>
      <c r="Y89" s="116">
        <v>12.426070213317871</v>
      </c>
      <c r="Z89" s="116">
        <v>11.494442939758301</v>
      </c>
      <c r="AA89" s="116">
        <v>12.522885322570801</v>
      </c>
    </row>
    <row r="90" spans="1:27" s="116" customFormat="1" ht="16">
      <c r="A90" s="117" t="s">
        <v>363</v>
      </c>
      <c r="B90" s="106">
        <v>21.109151840209961</v>
      </c>
      <c r="C90" s="106">
        <v>4.4369101524353027</v>
      </c>
      <c r="D90" s="106">
        <v>10.32520866394043</v>
      </c>
      <c r="E90" s="106">
        <v>3.6209850311279297</v>
      </c>
      <c r="F90" s="106">
        <v>24.658044815063477</v>
      </c>
      <c r="G90" s="106">
        <v>4.454308032989502</v>
      </c>
      <c r="H90" s="106">
        <v>20.340221405029297</v>
      </c>
      <c r="I90" s="106">
        <v>5.5757894515991211</v>
      </c>
      <c r="J90" s="106">
        <v>22.823751449584961</v>
      </c>
      <c r="K90" s="106">
        <v>5.4583253860473633</v>
      </c>
      <c r="L90" s="116">
        <v>49.746925354003906</v>
      </c>
      <c r="M90" s="116">
        <v>6.9750652313232422</v>
      </c>
      <c r="N90" s="116">
        <v>6.7155919075012207</v>
      </c>
      <c r="O90" s="116">
        <v>7.2847146987915039</v>
      </c>
      <c r="P90" s="116">
        <v>7.8285689353942871</v>
      </c>
      <c r="Q90" s="116">
        <v>7.3548393249511719</v>
      </c>
      <c r="R90" s="116">
        <v>7.3156867027282715</v>
      </c>
      <c r="S90" s="116">
        <v>7.8037667274475098</v>
      </c>
      <c r="T90" s="116">
        <v>7.6375436782836914</v>
      </c>
      <c r="U90" s="116">
        <v>6.3474617004394531</v>
      </c>
      <c r="V90" s="116">
        <v>6.3867478370666504</v>
      </c>
      <c r="W90" s="116">
        <v>6.625028133392334</v>
      </c>
      <c r="X90" s="116">
        <v>6.9262762069702148</v>
      </c>
      <c r="Y90" s="116">
        <v>7.2330679893493652</v>
      </c>
      <c r="Z90" s="116">
        <v>6.7933216094970703</v>
      </c>
      <c r="AA90" s="116">
        <v>7.4105143547058105</v>
      </c>
    </row>
    <row r="91" spans="1:27" s="116" customFormat="1" ht="16">
      <c r="A91" s="117" t="s">
        <v>364</v>
      </c>
      <c r="B91" s="106">
        <v>5.8174524307250977</v>
      </c>
      <c r="C91" s="106">
        <v>5.8977766036987305</v>
      </c>
      <c r="D91" s="106">
        <v>3.7663400173187256</v>
      </c>
      <c r="E91" s="106">
        <v>4.5321907997131348</v>
      </c>
      <c r="F91" s="106">
        <v>6.5754804611206055</v>
      </c>
      <c r="G91" s="106">
        <v>6.4062285423278809</v>
      </c>
      <c r="H91" s="106">
        <v>6.2067370414733887</v>
      </c>
      <c r="I91" s="106">
        <v>4.9493346214294434</v>
      </c>
      <c r="J91" s="106">
        <v>6.0204195976257324</v>
      </c>
      <c r="K91" s="106">
        <v>7.0339384078979492</v>
      </c>
      <c r="L91" s="116">
        <v>0</v>
      </c>
      <c r="M91" s="116">
        <v>9.1155672073364258</v>
      </c>
      <c r="N91" s="116">
        <v>9.5735349655151367</v>
      </c>
      <c r="O91" s="116">
        <v>10.688026428222656</v>
      </c>
      <c r="P91" s="116">
        <v>11.295388221740723</v>
      </c>
      <c r="Q91" s="116">
        <v>10.065019607543945</v>
      </c>
      <c r="R91" s="116">
        <v>11.650348663330078</v>
      </c>
      <c r="S91" s="116">
        <v>10.803759574890137</v>
      </c>
      <c r="T91" s="116">
        <v>11.817375183105469</v>
      </c>
      <c r="U91" s="116">
        <v>9.1101293563842773</v>
      </c>
      <c r="V91" s="116">
        <v>8.8399629592895508</v>
      </c>
      <c r="W91" s="116">
        <v>9.9552249908447266</v>
      </c>
      <c r="X91" s="116">
        <v>11.694122314453125</v>
      </c>
      <c r="Y91" s="116">
        <v>10.844679832458496</v>
      </c>
      <c r="Z91" s="116">
        <v>10.308459281921387</v>
      </c>
      <c r="AA91" s="116">
        <v>11.078248977661133</v>
      </c>
    </row>
    <row r="92" spans="1:27" s="116" customFormat="1" ht="16">
      <c r="A92" s="117" t="s">
        <v>365</v>
      </c>
      <c r="B92" s="106">
        <v>0.67514556646347046</v>
      </c>
      <c r="C92" s="106">
        <v>6.1078824996948242</v>
      </c>
      <c r="D92" s="106">
        <v>2.1648263931274414</v>
      </c>
      <c r="E92" s="106">
        <v>6.9137444496154785</v>
      </c>
      <c r="F92" s="106">
        <v>1.7545821145176888E-2</v>
      </c>
      <c r="G92" s="106">
        <v>4.583104133605957</v>
      </c>
      <c r="H92" s="106">
        <v>4.9332324415445328E-2</v>
      </c>
      <c r="I92" s="106">
        <v>6.6897239685058594</v>
      </c>
      <c r="J92" s="106">
        <v>7.7087439596652985E-2</v>
      </c>
      <c r="K92" s="106">
        <v>5.3996896743774414</v>
      </c>
      <c r="L92" s="116">
        <v>0</v>
      </c>
      <c r="M92" s="116">
        <v>2.1341218948364258</v>
      </c>
      <c r="N92" s="116">
        <v>2.06880784034729</v>
      </c>
      <c r="O92" s="116">
        <v>2.2135913372039795</v>
      </c>
      <c r="P92" s="116">
        <v>2.3626224994659424</v>
      </c>
      <c r="Q92" s="116">
        <v>2.2730319499969482</v>
      </c>
      <c r="R92" s="116">
        <v>2.2941668033599854</v>
      </c>
      <c r="S92" s="116">
        <v>2.3467564582824707</v>
      </c>
      <c r="T92" s="116">
        <v>2.1807668209075928</v>
      </c>
      <c r="U92" s="116">
        <v>2.0909688472747803</v>
      </c>
      <c r="V92" s="116">
        <v>2.5630655288696289</v>
      </c>
      <c r="W92" s="116">
        <v>2.3998956680297852</v>
      </c>
      <c r="X92" s="116">
        <v>2.6777210235595703</v>
      </c>
      <c r="Y92" s="116">
        <v>2.4690160751342773</v>
      </c>
      <c r="Z92" s="116">
        <v>2.6202249526977539</v>
      </c>
      <c r="AA92" s="116">
        <v>2.5958278179168701</v>
      </c>
    </row>
    <row r="93" spans="1:27" s="116" customFormat="1" ht="16">
      <c r="A93" s="117" t="s">
        <v>366</v>
      </c>
      <c r="B93" s="106">
        <v>2.6668978855013847E-2</v>
      </c>
      <c r="C93" s="106">
        <v>1.0274434089660645</v>
      </c>
      <c r="D93" s="106">
        <v>4.1156351566314697E-2</v>
      </c>
      <c r="E93" s="106">
        <v>0.49167650938034058</v>
      </c>
      <c r="F93" s="106">
        <v>0</v>
      </c>
      <c r="G93" s="106">
        <v>8.4611758589744568E-2</v>
      </c>
      <c r="H93" s="106">
        <v>0</v>
      </c>
      <c r="I93" s="106">
        <v>0.31983599066734314</v>
      </c>
      <c r="J93" s="106">
        <v>3.5752556868828833E-4</v>
      </c>
      <c r="K93" s="106">
        <v>0.17556403577327728</v>
      </c>
      <c r="L93" s="116">
        <v>0</v>
      </c>
      <c r="M93" s="116">
        <v>0.24251237511634827</v>
      </c>
      <c r="N93" s="116">
        <v>0.22333584725856781</v>
      </c>
      <c r="O93" s="116">
        <v>0.21724162995815277</v>
      </c>
      <c r="P93" s="116">
        <v>0.21542112529277802</v>
      </c>
      <c r="Q93" s="116">
        <v>0</v>
      </c>
      <c r="R93" s="116">
        <v>0</v>
      </c>
      <c r="S93" s="116">
        <v>0</v>
      </c>
      <c r="T93" s="116">
        <v>0</v>
      </c>
      <c r="U93" s="116">
        <v>0.21534162759780884</v>
      </c>
      <c r="V93" s="116">
        <v>0.21108227968215942</v>
      </c>
      <c r="W93" s="116">
        <v>0.21515895426273346</v>
      </c>
      <c r="X93" s="116">
        <v>0.19051697850227356</v>
      </c>
      <c r="Y93" s="116">
        <v>0.18930153548717499</v>
      </c>
      <c r="Z93" s="116">
        <v>0.20047079026699066</v>
      </c>
      <c r="AA93" s="116">
        <v>0.18796738982200623</v>
      </c>
    </row>
    <row r="94" spans="1:27" s="116" customFormat="1" ht="16">
      <c r="A94" s="117" t="s">
        <v>175</v>
      </c>
      <c r="B94" s="106">
        <v>0</v>
      </c>
      <c r="C94" s="106">
        <v>4.5026524580806128E-4</v>
      </c>
      <c r="D94" s="106">
        <v>0</v>
      </c>
      <c r="E94" s="106">
        <v>0</v>
      </c>
      <c r="F94" s="106">
        <v>0</v>
      </c>
      <c r="G94" s="106">
        <v>0</v>
      </c>
      <c r="H94" s="106">
        <v>0</v>
      </c>
      <c r="I94" s="106">
        <v>0</v>
      </c>
      <c r="J94" s="106">
        <v>0</v>
      </c>
      <c r="K94" s="106">
        <v>0</v>
      </c>
      <c r="L94" s="116">
        <v>0</v>
      </c>
      <c r="M94" s="116">
        <v>7.2635989678537261</v>
      </c>
      <c r="N94" s="116">
        <v>4.45357508355647</v>
      </c>
      <c r="O94" s="116">
        <v>3.2800373964251648</v>
      </c>
      <c r="P94" s="116">
        <v>2.0318971746311361</v>
      </c>
      <c r="Q94" s="116">
        <v>1.2293385927873268</v>
      </c>
      <c r="R94" s="116">
        <v>1.2762921249072501</v>
      </c>
      <c r="S94" s="116">
        <v>0.5240384423337956</v>
      </c>
      <c r="T94" s="116">
        <v>0</v>
      </c>
      <c r="U94" s="116">
        <v>5.5689869898485203</v>
      </c>
      <c r="V94" s="116">
        <v>5.3553664590538812</v>
      </c>
      <c r="W94" s="116">
        <v>3.063006140272579</v>
      </c>
      <c r="X94" s="116">
        <v>0.59388147959273696</v>
      </c>
      <c r="Y94" s="116">
        <v>0.24917292759013843</v>
      </c>
      <c r="Z94" s="116">
        <v>2.9951440140876984</v>
      </c>
      <c r="AA94" s="116">
        <v>9.0459477508146688E-2</v>
      </c>
    </row>
    <row r="95" spans="1:27" s="116" customFormat="1" ht="16">
      <c r="A95" s="117" t="s">
        <v>367</v>
      </c>
      <c r="B95" s="106">
        <v>0</v>
      </c>
      <c r="C95" s="106">
        <v>0</v>
      </c>
      <c r="D95" s="106">
        <v>0</v>
      </c>
      <c r="E95" s="106">
        <v>0</v>
      </c>
      <c r="F95" s="106">
        <v>0</v>
      </c>
      <c r="G95" s="106">
        <v>0</v>
      </c>
      <c r="H95" s="106">
        <v>0</v>
      </c>
      <c r="I95" s="106">
        <v>0</v>
      </c>
      <c r="J95" s="106">
        <v>0</v>
      </c>
      <c r="K95" s="106">
        <v>0</v>
      </c>
      <c r="L95" s="116">
        <v>0</v>
      </c>
      <c r="M95" s="116">
        <v>5.1931719779968262</v>
      </c>
      <c r="N95" s="116">
        <v>1.9927188158035278</v>
      </c>
      <c r="O95" s="116">
        <v>0</v>
      </c>
      <c r="P95" s="116">
        <v>0</v>
      </c>
      <c r="Q95" s="116">
        <v>0</v>
      </c>
      <c r="R95" s="116">
        <v>0</v>
      </c>
      <c r="S95" s="116">
        <v>0</v>
      </c>
      <c r="T95" s="116">
        <v>0</v>
      </c>
      <c r="U95" s="116">
        <v>0</v>
      </c>
      <c r="V95" s="116">
        <v>0</v>
      </c>
      <c r="W95" s="116">
        <v>0</v>
      </c>
      <c r="X95" s="116">
        <v>0</v>
      </c>
      <c r="Y95" s="116">
        <v>0</v>
      </c>
      <c r="Z95" s="116">
        <v>0</v>
      </c>
      <c r="AA95" s="116">
        <v>0</v>
      </c>
    </row>
    <row r="97" spans="1:27" ht="16">
      <c r="A97" s="118" t="s">
        <v>82</v>
      </c>
    </row>
    <row r="98" spans="1:27" s="115" customFormat="1" ht="16">
      <c r="A98" s="114" t="s">
        <v>83</v>
      </c>
      <c r="B98" s="106">
        <v>7.6342082954110415</v>
      </c>
      <c r="C98" s="106">
        <v>6.7718833562625411</v>
      </c>
      <c r="D98" s="106">
        <v>7.4151496507028671</v>
      </c>
      <c r="E98" s="106">
        <v>6.6868791517761821</v>
      </c>
      <c r="F98" s="106">
        <v>7.7572341994878542</v>
      </c>
      <c r="G98" s="106">
        <v>6.741925901793473</v>
      </c>
      <c r="H98" s="106">
        <v>7.7306217125329617</v>
      </c>
      <c r="I98" s="106">
        <v>6.7951478150067581</v>
      </c>
      <c r="J98" s="106">
        <v>7.798644396460622</v>
      </c>
      <c r="K98" s="106">
        <v>6.847919045467072</v>
      </c>
      <c r="L98" s="115">
        <v>8.332397592086572</v>
      </c>
      <c r="M98" s="115">
        <v>6.2597902885183094</v>
      </c>
      <c r="N98" s="115">
        <v>6.9666506939326851</v>
      </c>
      <c r="O98" s="115">
        <v>7.1525327402870191</v>
      </c>
      <c r="P98" s="115">
        <v>7.0035137452714622</v>
      </c>
      <c r="Q98" s="115">
        <v>7.2558260148791334</v>
      </c>
      <c r="R98" s="115">
        <v>6.6854343991225056</v>
      </c>
      <c r="S98" s="115">
        <v>6.9027713774416144</v>
      </c>
      <c r="T98" s="115">
        <v>7.5521320027182268</v>
      </c>
      <c r="U98" s="115">
        <v>7.1403156391712104</v>
      </c>
      <c r="V98" s="115">
        <v>7.3025731750422445</v>
      </c>
      <c r="W98" s="115">
        <v>7.140709159602995</v>
      </c>
      <c r="X98" s="115">
        <v>8.0644185992330559</v>
      </c>
      <c r="Y98" s="115">
        <v>8.1508211756318136</v>
      </c>
      <c r="Z98" s="115">
        <v>7.6815259431732938</v>
      </c>
      <c r="AA98" s="115">
        <v>8.2302325547066264</v>
      </c>
    </row>
    <row r="99" spans="1:27" s="115" customFormat="1" ht="16">
      <c r="A99" s="114" t="s">
        <v>84</v>
      </c>
      <c r="B99" s="106">
        <v>7.5492196824216968</v>
      </c>
      <c r="C99" s="106">
        <v>6.6647585191978926</v>
      </c>
      <c r="D99" s="106">
        <v>7.1989554318347047</v>
      </c>
      <c r="E99" s="106">
        <v>6.6112277230442009</v>
      </c>
      <c r="F99" s="106">
        <v>7.7450141959983982</v>
      </c>
      <c r="G99" s="106">
        <v>6.6175756619045947</v>
      </c>
      <c r="H99" s="106">
        <v>7.7103754606083816</v>
      </c>
      <c r="I99" s="106">
        <v>6.688510549766133</v>
      </c>
      <c r="J99" s="106">
        <v>7.7609873991097214</v>
      </c>
      <c r="K99" s="106">
        <v>6.7389180615942319</v>
      </c>
      <c r="L99" s="115">
        <v>8.3288844821126116</v>
      </c>
      <c r="M99" s="115">
        <v>6.1197910313774866</v>
      </c>
      <c r="N99" s="115">
        <v>6.7792892979663151</v>
      </c>
      <c r="O99" s="115">
        <v>6.9969985618800719</v>
      </c>
      <c r="P99" s="115">
        <v>6.9013359016109623</v>
      </c>
      <c r="Q99" s="115">
        <v>7.1280577322317473</v>
      </c>
      <c r="R99" s="115">
        <v>6.6703312952214366</v>
      </c>
      <c r="S99" s="115">
        <v>6.85883653736472</v>
      </c>
      <c r="T99" s="115">
        <v>7.3965777391406222</v>
      </c>
      <c r="U99" s="115">
        <v>7.0640109373485114</v>
      </c>
      <c r="V99" s="115">
        <v>7.2213948785716369</v>
      </c>
      <c r="W99" s="115">
        <v>6.9982290689694864</v>
      </c>
      <c r="X99" s="115">
        <v>7.9449204144693111</v>
      </c>
      <c r="Y99" s="115">
        <v>8.0353309067229421</v>
      </c>
      <c r="Z99" s="115">
        <v>7.5515680352677599</v>
      </c>
      <c r="AA99" s="115">
        <v>8.1066929258814806</v>
      </c>
    </row>
    <row r="100" spans="1:27" s="115" customFormat="1" ht="16">
      <c r="A100" s="114" t="s">
        <v>262</v>
      </c>
      <c r="B100" s="106">
        <v>7.7579290981427018</v>
      </c>
      <c r="C100" s="106">
        <v>6.9180765134338555</v>
      </c>
      <c r="D100" s="106">
        <v>7.7413034245635624</v>
      </c>
      <c r="E100" s="106">
        <v>6.8062407176128055</v>
      </c>
      <c r="F100" s="106">
        <v>7.8015778578632018</v>
      </c>
      <c r="G100" s="106">
        <v>6.91446251124108</v>
      </c>
      <c r="H100" s="106">
        <v>7.8060802669364504</v>
      </c>
      <c r="I100" s="106">
        <v>6.9528561501365678</v>
      </c>
      <c r="J100" s="106">
        <v>7.8703834593346285</v>
      </c>
      <c r="K100" s="106">
        <v>7.0146265597248236</v>
      </c>
      <c r="L100" s="115">
        <v>8.3468658777806297</v>
      </c>
      <c r="M100" s="115">
        <v>6.423285184209476</v>
      </c>
      <c r="N100" s="115">
        <v>7.2397083076857784</v>
      </c>
      <c r="O100" s="115">
        <v>7.354260670565286</v>
      </c>
      <c r="P100" s="115">
        <v>7.1464539355849324</v>
      </c>
      <c r="Q100" s="115">
        <v>7.4542186155844199</v>
      </c>
      <c r="R100" s="115">
        <v>6.7337193173796459</v>
      </c>
      <c r="S100" s="115">
        <v>6.9997674733755115</v>
      </c>
      <c r="T100" s="115">
        <v>7.7763275229761319</v>
      </c>
      <c r="U100" s="115">
        <v>7.2437221159929228</v>
      </c>
      <c r="V100" s="115">
        <v>7.4130343983542701</v>
      </c>
      <c r="W100" s="115">
        <v>7.3172995695625787</v>
      </c>
      <c r="X100" s="115">
        <v>8.2222154675906474</v>
      </c>
      <c r="Y100" s="115">
        <v>8.2860086839227858</v>
      </c>
      <c r="Z100" s="115">
        <v>7.8538170678840089</v>
      </c>
      <c r="AA100" s="115">
        <v>8.373049095812771</v>
      </c>
    </row>
    <row r="101" spans="1:27" s="115" customFormat="1" ht="16">
      <c r="A101" s="114" t="s">
        <v>263</v>
      </c>
      <c r="B101" s="106">
        <v>7.4450174157709972</v>
      </c>
      <c r="C101" s="106">
        <v>6.5793955951927412</v>
      </c>
      <c r="D101" s="106">
        <v>6.9645005564777067</v>
      </c>
      <c r="E101" s="106">
        <v>6.5327980309353642</v>
      </c>
      <c r="F101" s="106">
        <v>7.7129463088728567</v>
      </c>
      <c r="G101" s="106">
        <v>6.4732734239039758</v>
      </c>
      <c r="H101" s="106">
        <v>7.6583201979503999</v>
      </c>
      <c r="I101" s="106">
        <v>6.580944629347619</v>
      </c>
      <c r="J101" s="106">
        <v>7.7264141538652256</v>
      </c>
      <c r="K101" s="106">
        <v>6.6227299995693514</v>
      </c>
      <c r="L101" s="115">
        <v>8.3099970448181448</v>
      </c>
      <c r="M101" s="115">
        <v>6.0006713910695204</v>
      </c>
      <c r="N101" s="115">
        <v>6.5758742112972133</v>
      </c>
      <c r="O101" s="115">
        <v>6.8113131279893659</v>
      </c>
      <c r="P101" s="115">
        <v>6.7849229564994147</v>
      </c>
      <c r="Q101" s="115">
        <v>6.9813795102210738</v>
      </c>
      <c r="R101" s="115">
        <v>6.6295550813166066</v>
      </c>
      <c r="S101" s="115">
        <v>6.7749544943193776</v>
      </c>
      <c r="T101" s="115">
        <v>7.1936433889946478</v>
      </c>
      <c r="U101" s="115">
        <v>6.9726165853633049</v>
      </c>
      <c r="V101" s="115">
        <v>7.1266768600556611</v>
      </c>
      <c r="W101" s="115">
        <v>6.8305578632028778</v>
      </c>
      <c r="X101" s="115">
        <v>7.780397267533024</v>
      </c>
      <c r="Y101" s="115">
        <v>7.8437172252505123</v>
      </c>
      <c r="Z101" s="115">
        <v>7.402532065800207</v>
      </c>
      <c r="AA101" s="115">
        <v>7.9022592620847227</v>
      </c>
    </row>
    <row r="102" spans="1:27" s="163" customFormat="1" ht="16">
      <c r="A102" s="161" t="s">
        <v>270</v>
      </c>
      <c r="B102" s="162">
        <v>7.6014732569568491</v>
      </c>
      <c r="C102" s="162">
        <v>6.7487360543132979</v>
      </c>
      <c r="D102" s="162">
        <v>7.3529019905206345</v>
      </c>
      <c r="E102" s="162">
        <v>6.6695193742740848</v>
      </c>
      <c r="F102" s="162">
        <v>7.7572620833680297</v>
      </c>
      <c r="G102" s="162">
        <v>6.6938679675725279</v>
      </c>
      <c r="H102" s="162">
        <v>7.7322002324434251</v>
      </c>
      <c r="I102" s="162">
        <v>6.7669003897420934</v>
      </c>
      <c r="J102" s="162">
        <v>7.798398806599927</v>
      </c>
      <c r="K102" s="162">
        <v>6.8186782796470879</v>
      </c>
      <c r="L102" s="163">
        <v>8.3284314612993882</v>
      </c>
      <c r="M102" s="163">
        <v>6.2119782876394982</v>
      </c>
      <c r="N102" s="163">
        <v>6.9077912594914963</v>
      </c>
      <c r="O102" s="163">
        <v>7.082786899277326</v>
      </c>
      <c r="P102" s="163">
        <v>6.965688446042174</v>
      </c>
      <c r="Q102" s="163">
        <v>7.2177990629027473</v>
      </c>
      <c r="R102" s="163">
        <v>6.6816371993481258</v>
      </c>
      <c r="S102" s="163">
        <v>6.8873609838474446</v>
      </c>
      <c r="T102" s="163">
        <v>7.4849854559853899</v>
      </c>
      <c r="U102" s="163">
        <v>7.1081693506781143</v>
      </c>
      <c r="V102" s="163">
        <v>7.2698556292049652</v>
      </c>
      <c r="W102" s="163">
        <v>7.0739287163827278</v>
      </c>
      <c r="X102" s="163">
        <v>8.0013063675618348</v>
      </c>
      <c r="Y102" s="163">
        <v>8.0648629545866495</v>
      </c>
      <c r="Z102" s="163">
        <v>7.6281745668421079</v>
      </c>
      <c r="AA102" s="163">
        <v>8.1376541789487469</v>
      </c>
    </row>
    <row r="103" spans="1:27" s="115" customFormat="1" ht="16">
      <c r="A103" s="114" t="s">
        <v>85</v>
      </c>
      <c r="B103" s="106">
        <v>4.3651316682652457</v>
      </c>
      <c r="C103" s="106">
        <v>3.7984044102654284</v>
      </c>
      <c r="D103" s="106">
        <v>4.0515207370934458</v>
      </c>
      <c r="E103" s="106">
        <v>3.7640178144051899</v>
      </c>
      <c r="F103" s="106">
        <v>4.5036139225978156</v>
      </c>
      <c r="G103" s="106">
        <v>3.8451528025467199</v>
      </c>
      <c r="H103" s="106">
        <v>4.3928386605913037</v>
      </c>
      <c r="I103" s="106">
        <v>3.8462944628288778</v>
      </c>
      <c r="J103" s="106">
        <v>4.4770545883593904</v>
      </c>
      <c r="K103" s="106">
        <v>3.8244422731492924</v>
      </c>
      <c r="L103" s="115">
        <v>4.8114563371434702</v>
      </c>
      <c r="M103" s="115">
        <v>3.4976902976029232</v>
      </c>
      <c r="N103" s="115">
        <v>3.9669874342989973</v>
      </c>
      <c r="O103" s="115">
        <v>4.2010190662237576</v>
      </c>
      <c r="P103" s="115">
        <v>4.0879087883417489</v>
      </c>
      <c r="Q103" s="115">
        <v>4.1741671351278784</v>
      </c>
      <c r="R103" s="115">
        <v>3.7874990482257171</v>
      </c>
      <c r="S103" s="115">
        <v>3.8907418453054188</v>
      </c>
      <c r="T103" s="115">
        <v>4.2934698923241754</v>
      </c>
      <c r="U103" s="115">
        <v>3.9834861806722901</v>
      </c>
      <c r="V103" s="115">
        <v>4.0853576866783587</v>
      </c>
      <c r="W103" s="115">
        <v>4.1768152007444099</v>
      </c>
      <c r="X103" s="115">
        <v>4.669302182328015</v>
      </c>
      <c r="Y103" s="115">
        <v>4.7306651531481938</v>
      </c>
      <c r="Z103" s="115">
        <v>4.3775061363065708</v>
      </c>
      <c r="AA103" s="115">
        <v>4.779133823932213</v>
      </c>
    </row>
    <row r="104" spans="1:27" s="115" customFormat="1" ht="16">
      <c r="A104" s="114" t="s">
        <v>86</v>
      </c>
      <c r="B104" s="106">
        <v>4.3148289615437481</v>
      </c>
      <c r="C104" s="106">
        <v>3.7447654690897272</v>
      </c>
      <c r="D104" s="106">
        <v>3.9455301573248787</v>
      </c>
      <c r="E104" s="106">
        <v>3.7263315702192541</v>
      </c>
      <c r="F104" s="106">
        <v>4.4983570394715526</v>
      </c>
      <c r="G104" s="106">
        <v>3.795524121434966</v>
      </c>
      <c r="H104" s="106">
        <v>4.3857881281386524</v>
      </c>
      <c r="I104" s="106">
        <v>3.7898790052120277</v>
      </c>
      <c r="J104" s="106">
        <v>4.4612410734863737</v>
      </c>
      <c r="K104" s="106">
        <v>3.7724734388118435</v>
      </c>
      <c r="L104" s="115">
        <v>4.807025241485416</v>
      </c>
      <c r="M104" s="115">
        <v>3.4479855682798815</v>
      </c>
      <c r="N104" s="115">
        <v>3.8811627840575067</v>
      </c>
      <c r="O104" s="115">
        <v>4.0825461374484444</v>
      </c>
      <c r="P104" s="115">
        <v>4.0132931881324456</v>
      </c>
      <c r="Q104" s="115">
        <v>4.0972489902488549</v>
      </c>
      <c r="R104" s="115">
        <v>3.7780462295897768</v>
      </c>
      <c r="S104" s="115">
        <v>3.8612061510453159</v>
      </c>
      <c r="T104" s="115">
        <v>4.1912049481737803</v>
      </c>
      <c r="U104" s="115">
        <v>3.9510462371522603</v>
      </c>
      <c r="V104" s="115">
        <v>4.044813896832685</v>
      </c>
      <c r="W104" s="115">
        <v>4.0747551011681784</v>
      </c>
      <c r="X104" s="115">
        <v>4.608385240504508</v>
      </c>
      <c r="Y104" s="115">
        <v>4.6878495987206774</v>
      </c>
      <c r="Z104" s="115">
        <v>4.3027240089062655</v>
      </c>
      <c r="AA104" s="115">
        <v>4.7311817258437907</v>
      </c>
    </row>
    <row r="105" spans="1:27" s="115" customFormat="1" ht="16">
      <c r="A105" s="114" t="s">
        <v>264</v>
      </c>
      <c r="B105" s="106">
        <v>4.4214448758635507</v>
      </c>
      <c r="C105" s="106">
        <v>3.858177657280812</v>
      </c>
      <c r="D105" s="106">
        <v>4.188689568312598</v>
      </c>
      <c r="E105" s="106">
        <v>3.8134758084921927</v>
      </c>
      <c r="F105" s="106">
        <v>4.5182932823528628</v>
      </c>
      <c r="G105" s="106">
        <v>3.9022320612997112</v>
      </c>
      <c r="H105" s="106">
        <v>4.413622354749557</v>
      </c>
      <c r="I105" s="106">
        <v>3.9115467719476684</v>
      </c>
      <c r="J105" s="106">
        <v>4.4997971904033127</v>
      </c>
      <c r="K105" s="106">
        <v>3.8896469924402779</v>
      </c>
      <c r="L105" s="115">
        <v>4.8295525140216382</v>
      </c>
      <c r="M105" s="115">
        <v>3.5446644911592999</v>
      </c>
      <c r="N105" s="115">
        <v>4.0752616796781735</v>
      </c>
      <c r="O105" s="115">
        <v>4.345256684371102</v>
      </c>
      <c r="P105" s="115">
        <v>4.1838268511703136</v>
      </c>
      <c r="Q105" s="115">
        <v>4.2782759703276332</v>
      </c>
      <c r="R105" s="115">
        <v>3.8074268360439065</v>
      </c>
      <c r="S105" s="115">
        <v>3.9457483415749071</v>
      </c>
      <c r="T105" s="115">
        <v>4.4273080733585957</v>
      </c>
      <c r="U105" s="115">
        <v>4.0209715231448184</v>
      </c>
      <c r="V105" s="115">
        <v>4.1333492542333641</v>
      </c>
      <c r="W105" s="115">
        <v>4.2930522172806258</v>
      </c>
      <c r="X105" s="115">
        <v>4.7428100775699562</v>
      </c>
      <c r="Y105" s="115">
        <v>4.7798685939200523</v>
      </c>
      <c r="Z105" s="115">
        <v>4.4664064855270666</v>
      </c>
      <c r="AA105" s="115">
        <v>4.8336939825981462</v>
      </c>
    </row>
    <row r="106" spans="1:27" s="115" customFormat="1" ht="16">
      <c r="A106" s="114" t="s">
        <v>265</v>
      </c>
      <c r="B106" s="106">
        <v>4.2405342858229718</v>
      </c>
      <c r="C106" s="106">
        <v>3.6961078151763647</v>
      </c>
      <c r="D106" s="106">
        <v>3.8138872241475372</v>
      </c>
      <c r="E106" s="106">
        <v>3.6824630242828582</v>
      </c>
      <c r="F106" s="106">
        <v>4.4816210959806906</v>
      </c>
      <c r="G106" s="106">
        <v>3.7417217703332977</v>
      </c>
      <c r="H106" s="106">
        <v>4.364086045486733</v>
      </c>
      <c r="I106" s="106">
        <v>3.7297086827217836</v>
      </c>
      <c r="J106" s="106">
        <v>4.4433803036460704</v>
      </c>
      <c r="K106" s="106">
        <v>3.7091123458052082</v>
      </c>
      <c r="L106" s="115">
        <v>4.7828538677223058</v>
      </c>
      <c r="M106" s="115">
        <v>3.4002426639991112</v>
      </c>
      <c r="N106" s="115">
        <v>3.7953283819046435</v>
      </c>
      <c r="O106" s="115">
        <v>3.9526972376972491</v>
      </c>
      <c r="P106" s="115">
        <v>3.9334465671555825</v>
      </c>
      <c r="Q106" s="115">
        <v>4.0131629510853584</v>
      </c>
      <c r="R106" s="115">
        <v>3.7559568042233855</v>
      </c>
      <c r="S106" s="115">
        <v>3.8033746181572385</v>
      </c>
      <c r="T106" s="115">
        <v>4.0481971969791291</v>
      </c>
      <c r="U106" s="115">
        <v>3.9131667162170642</v>
      </c>
      <c r="V106" s="115">
        <v>4.0002002570363127</v>
      </c>
      <c r="W106" s="115">
        <v>3.9647011523736535</v>
      </c>
      <c r="X106" s="115">
        <v>4.5375272299016149</v>
      </c>
      <c r="Y106" s="115">
        <v>4.6341741741417035</v>
      </c>
      <c r="Z106" s="115">
        <v>4.2241978609675934</v>
      </c>
      <c r="AA106" s="115">
        <v>4.6708125397323714</v>
      </c>
    </row>
    <row r="107" spans="1:27" s="160" customFormat="1" ht="16">
      <c r="A107" s="158" t="s">
        <v>271</v>
      </c>
      <c r="B107" s="159">
        <v>4.3309895808432612</v>
      </c>
      <c r="C107" s="159">
        <v>3.7771427362285883</v>
      </c>
      <c r="D107" s="159">
        <v>4.001288396230068</v>
      </c>
      <c r="E107" s="159">
        <v>3.7479694163875257</v>
      </c>
      <c r="F107" s="159">
        <v>4.4999571891667767</v>
      </c>
      <c r="G107" s="159">
        <v>3.8219769158165047</v>
      </c>
      <c r="H107" s="159">
        <v>4.3888542001181445</v>
      </c>
      <c r="I107" s="159">
        <v>3.8206277273347258</v>
      </c>
      <c r="J107" s="159">
        <v>4.4715887470246916</v>
      </c>
      <c r="K107" s="159">
        <v>3.7993796691227431</v>
      </c>
      <c r="L107" s="160">
        <v>4.8062031908719725</v>
      </c>
      <c r="M107" s="160">
        <v>3.4724535775792056</v>
      </c>
      <c r="N107" s="160">
        <v>3.9352950307914085</v>
      </c>
      <c r="O107" s="160">
        <v>4.148976961034176</v>
      </c>
      <c r="P107" s="160">
        <v>4.0586367091629478</v>
      </c>
      <c r="Q107" s="160">
        <v>4.1457194607064958</v>
      </c>
      <c r="R107" s="160">
        <v>3.7816918201336458</v>
      </c>
      <c r="S107" s="160">
        <v>3.874561479866073</v>
      </c>
      <c r="T107" s="160">
        <v>4.2377526351688619</v>
      </c>
      <c r="U107" s="160">
        <v>3.9670691196809411</v>
      </c>
      <c r="V107" s="160">
        <v>4.0667747556348388</v>
      </c>
      <c r="W107" s="160">
        <v>4.1288766848271399</v>
      </c>
      <c r="X107" s="160">
        <v>4.6401686537357856</v>
      </c>
      <c r="Y107" s="160">
        <v>4.7070213840308774</v>
      </c>
      <c r="Z107" s="160">
        <v>4.3453021732473296</v>
      </c>
      <c r="AA107" s="160">
        <v>4.7522532611652588</v>
      </c>
    </row>
    <row r="108" spans="1:27" s="116" customFormat="1" ht="12.75" customHeight="1">
      <c r="A108" s="117" t="s">
        <v>87</v>
      </c>
      <c r="B108" s="106">
        <v>111.38651369723836</v>
      </c>
      <c r="C108" s="106">
        <v>76.570384165337018</v>
      </c>
      <c r="D108" s="106">
        <v>115.50259373515996</v>
      </c>
      <c r="E108" s="106">
        <v>73.087754890313391</v>
      </c>
      <c r="F108" s="106">
        <v>113.31251934233656</v>
      </c>
      <c r="G108" s="106">
        <v>76.065120306779519</v>
      </c>
      <c r="H108" s="106">
        <v>122.51221448089051</v>
      </c>
      <c r="I108" s="106">
        <v>77.066835982003667</v>
      </c>
      <c r="J108" s="106">
        <v>119.54541833900811</v>
      </c>
      <c r="K108" s="106">
        <v>81.412276080405348</v>
      </c>
      <c r="L108" s="116">
        <v>128.53775615355593</v>
      </c>
      <c r="M108" s="116">
        <v>62.96530494011656</v>
      </c>
      <c r="N108" s="116">
        <v>82.356210558692197</v>
      </c>
      <c r="O108" s="116">
        <v>84.89927613155767</v>
      </c>
      <c r="P108" s="116">
        <v>82.95336924968035</v>
      </c>
      <c r="Q108" s="116">
        <v>95.198292262464676</v>
      </c>
      <c r="R108" s="116">
        <v>77.243784309138036</v>
      </c>
      <c r="S108" s="116">
        <v>85.311498417032368</v>
      </c>
      <c r="T108" s="116">
        <v>107.2818566779962</v>
      </c>
      <c r="U108" s="116">
        <v>92.466322299069347</v>
      </c>
      <c r="V108" s="116">
        <v>98.277584544852218</v>
      </c>
      <c r="W108" s="116">
        <v>86.035606918286149</v>
      </c>
      <c r="X108" s="116">
        <v>126.02446409464659</v>
      </c>
      <c r="Y108" s="116">
        <v>129.12038533123044</v>
      </c>
      <c r="Z108" s="116">
        <v>111.41162219455084</v>
      </c>
      <c r="AA108" s="116">
        <v>132.41571197545773</v>
      </c>
    </row>
    <row r="109" spans="1:27" s="116" customFormat="1" ht="12.75" customHeight="1">
      <c r="A109" s="117" t="s">
        <v>88</v>
      </c>
      <c r="B109" s="106">
        <v>108.98685146802933</v>
      </c>
      <c r="C109" s="106">
        <v>73.981950158247088</v>
      </c>
      <c r="D109" s="106">
        <v>108.42079407992847</v>
      </c>
      <c r="E109" s="106">
        <v>71.305716141658309</v>
      </c>
      <c r="F109" s="106">
        <v>112.88041944977124</v>
      </c>
      <c r="G109" s="106">
        <v>72.649982042098856</v>
      </c>
      <c r="H109" s="106">
        <v>121.68391315262434</v>
      </c>
      <c r="I109" s="106">
        <v>74.550860402148757</v>
      </c>
      <c r="J109" s="106">
        <v>118.15173730772808</v>
      </c>
      <c r="K109" s="106">
        <v>78.575185445147966</v>
      </c>
      <c r="L109" s="116">
        <v>128.53207059012612</v>
      </c>
      <c r="M109" s="116">
        <v>59.461482514380684</v>
      </c>
      <c r="N109" s="116">
        <v>77.342266937163274</v>
      </c>
      <c r="O109" s="116">
        <v>82.157431106242697</v>
      </c>
      <c r="P109" s="116">
        <v>81.048111868588109</v>
      </c>
      <c r="Q109" s="116">
        <v>91.995910950327158</v>
      </c>
      <c r="R109" s="116">
        <v>76.922463350267719</v>
      </c>
      <c r="S109" s="116">
        <v>84.381687133360757</v>
      </c>
      <c r="T109" s="116">
        <v>103.41971060290047</v>
      </c>
      <c r="U109" s="116">
        <v>90.170169317042877</v>
      </c>
      <c r="V109" s="116">
        <v>95.938689503604351</v>
      </c>
      <c r="W109" s="116">
        <v>83.269049128734935</v>
      </c>
      <c r="X109" s="116">
        <v>121.96137424454886</v>
      </c>
      <c r="Y109" s="116">
        <v>124.42204369025356</v>
      </c>
      <c r="Z109" s="116">
        <v>107.70133959963786</v>
      </c>
      <c r="AA109" s="116">
        <v>127.40720633313242</v>
      </c>
    </row>
    <row r="110" spans="1:27" s="116" customFormat="1" ht="12.75" customHeight="1">
      <c r="A110" s="117" t="s">
        <v>266</v>
      </c>
      <c r="B110" s="106">
        <v>115.60338637561934</v>
      </c>
      <c r="C110" s="106">
        <v>80.571782628744174</v>
      </c>
      <c r="D110" s="106">
        <v>127.49418302700174</v>
      </c>
      <c r="E110" s="106">
        <v>76.231777877102616</v>
      </c>
      <c r="F110" s="106">
        <v>115.06824241438683</v>
      </c>
      <c r="G110" s="106">
        <v>81.285685805326082</v>
      </c>
      <c r="H110" s="106">
        <v>125.85403107240182</v>
      </c>
      <c r="I110" s="106">
        <v>81.41780719122977</v>
      </c>
      <c r="J110" s="106">
        <v>122.53242209470218</v>
      </c>
      <c r="K110" s="106">
        <v>86.287500343318882</v>
      </c>
      <c r="L110" s="116">
        <v>128.5667550013755</v>
      </c>
      <c r="M110" s="116">
        <v>67.459358593954349</v>
      </c>
      <c r="N110" s="116">
        <v>90.481151577029081</v>
      </c>
      <c r="O110" s="116">
        <v>88.841447022941225</v>
      </c>
      <c r="P110" s="116">
        <v>85.943028586579558</v>
      </c>
      <c r="Q110" s="116">
        <v>100.84591087372009</v>
      </c>
      <c r="R110" s="116">
        <v>78.591622238550883</v>
      </c>
      <c r="S110" s="116">
        <v>87.714957433033334</v>
      </c>
      <c r="T110" s="116">
        <v>113.49720481870079</v>
      </c>
      <c r="U110" s="116">
        <v>95.837210127514055</v>
      </c>
      <c r="V110" s="116">
        <v>101.75527631787723</v>
      </c>
      <c r="W110" s="116">
        <v>89.884472929313247</v>
      </c>
      <c r="X110" s="116">
        <v>131.79742389036255</v>
      </c>
      <c r="Y110" s="116">
        <v>134.75882591149116</v>
      </c>
      <c r="Z110" s="116">
        <v>116.83405008594144</v>
      </c>
      <c r="AA110" s="116">
        <v>138.35372905450066</v>
      </c>
    </row>
    <row r="111" spans="1:27" s="116" customFormat="1" ht="12.75" customHeight="1">
      <c r="A111" s="117" t="s">
        <v>267</v>
      </c>
      <c r="B111" s="106">
        <v>106.56451648781413</v>
      </c>
      <c r="C111" s="106">
        <v>72.118634717117871</v>
      </c>
      <c r="D111" s="106">
        <v>101.58539469429319</v>
      </c>
      <c r="E111" s="106">
        <v>69.614562213152155</v>
      </c>
      <c r="F111" s="106">
        <v>111.87039542746432</v>
      </c>
      <c r="G111" s="106">
        <v>68.665442613132242</v>
      </c>
      <c r="H111" s="106">
        <v>119.71542387868975</v>
      </c>
      <c r="I111" s="106">
        <v>72.149678722592242</v>
      </c>
      <c r="J111" s="106">
        <v>117.01779623552551</v>
      </c>
      <c r="K111" s="106">
        <v>75.839639785674819</v>
      </c>
      <c r="L111" s="116">
        <v>128.51474281289347</v>
      </c>
      <c r="M111" s="116">
        <v>56.687084605596652</v>
      </c>
      <c r="N111" s="116">
        <v>71.847884073339785</v>
      </c>
      <c r="O111" s="116">
        <v>78.553252878873664</v>
      </c>
      <c r="P111" s="116">
        <v>78.732451783589326</v>
      </c>
      <c r="Q111" s="116">
        <v>88.240949560427936</v>
      </c>
      <c r="R111" s="116">
        <v>75.954435170977931</v>
      </c>
      <c r="S111" s="116">
        <v>82.665095189084752</v>
      </c>
      <c r="T111" s="116">
        <v>98.825839835071363</v>
      </c>
      <c r="U111" s="116">
        <v>87.424447968231263</v>
      </c>
      <c r="V111" s="116">
        <v>93.154053058069366</v>
      </c>
      <c r="W111" s="116">
        <v>79.735027072562588</v>
      </c>
      <c r="X111" s="116">
        <v>115.92349352357027</v>
      </c>
      <c r="Y111" s="116">
        <v>116.04090081684501</v>
      </c>
      <c r="Z111" s="116">
        <v>103.25257860260456</v>
      </c>
      <c r="AA111" s="116">
        <v>118.47140897108665</v>
      </c>
    </row>
    <row r="112" spans="1:27" s="116" customFormat="1" ht="12.75" customHeight="1">
      <c r="A112" s="117" t="s">
        <v>176</v>
      </c>
      <c r="B112" s="106">
        <v>111.08395143171674</v>
      </c>
      <c r="C112" s="106">
        <v>76.345208672931037</v>
      </c>
      <c r="D112" s="106">
        <v>114.53978886064746</v>
      </c>
      <c r="E112" s="106">
        <v>72.923170045127378</v>
      </c>
      <c r="F112" s="106">
        <v>113.46931892092557</v>
      </c>
      <c r="G112" s="106">
        <v>74.975564209229162</v>
      </c>
      <c r="H112" s="106">
        <v>122.78472747554578</v>
      </c>
      <c r="I112" s="106">
        <v>76.783742956911013</v>
      </c>
      <c r="J112" s="106">
        <v>119.77510916511385</v>
      </c>
      <c r="K112" s="106">
        <v>81.063570064496858</v>
      </c>
      <c r="L112" s="116">
        <v>128.54074890713449</v>
      </c>
      <c r="M112" s="116">
        <v>62.073221599775501</v>
      </c>
      <c r="N112" s="116">
        <v>81.164517825184433</v>
      </c>
      <c r="O112" s="116">
        <v>83.697349950907437</v>
      </c>
      <c r="P112" s="116">
        <v>82.337740185084442</v>
      </c>
      <c r="Q112" s="116">
        <v>94.543430217074004</v>
      </c>
      <c r="R112" s="116">
        <v>77.2730287047644</v>
      </c>
      <c r="S112" s="116">
        <v>85.190026311059057</v>
      </c>
      <c r="T112" s="116">
        <v>106.16152232688607</v>
      </c>
      <c r="U112" s="116">
        <v>91.630829047872652</v>
      </c>
      <c r="V112" s="116">
        <v>97.454664687973292</v>
      </c>
      <c r="W112" s="116">
        <v>84.809750000937925</v>
      </c>
      <c r="X112" s="116">
        <v>123.86045870696641</v>
      </c>
      <c r="Y112" s="116">
        <v>125.39986336416808</v>
      </c>
      <c r="Z112" s="116">
        <v>110.043314344273</v>
      </c>
      <c r="AA112" s="116">
        <v>128.41256901279365</v>
      </c>
    </row>
    <row r="113" spans="1:27" s="116" customFormat="1" ht="12.75" customHeight="1">
      <c r="A113" s="117" t="s">
        <v>89</v>
      </c>
      <c r="B113" s="106">
        <v>64.55910997389087</v>
      </c>
      <c r="C113" s="106">
        <v>41.498749664459957</v>
      </c>
      <c r="D113" s="106">
        <v>57.283017931655955</v>
      </c>
      <c r="E113" s="106">
        <v>40.098296037906735</v>
      </c>
      <c r="F113" s="106">
        <v>69.368411849760363</v>
      </c>
      <c r="G113" s="106">
        <v>43.692290673720628</v>
      </c>
      <c r="H113" s="106">
        <v>69.465300256262523</v>
      </c>
      <c r="I113" s="106">
        <v>43.107003619922786</v>
      </c>
      <c r="J113" s="106">
        <v>70.282331711238683</v>
      </c>
      <c r="K113" s="106">
        <v>43.470983098641653</v>
      </c>
      <c r="L113" s="116">
        <v>77.165626144829204</v>
      </c>
      <c r="M113" s="116">
        <v>33.677299148400259</v>
      </c>
      <c r="N113" s="116">
        <v>47.04047097298789</v>
      </c>
      <c r="O113" s="116">
        <v>54.234382133210623</v>
      </c>
      <c r="P113" s="116">
        <v>51.787214088777077</v>
      </c>
      <c r="Q113" s="116">
        <v>56.388863007703613</v>
      </c>
      <c r="R113" s="116">
        <v>43.338013524406847</v>
      </c>
      <c r="S113" s="116">
        <v>47.022088985417618</v>
      </c>
      <c r="T113" s="116">
        <v>60.932028822839662</v>
      </c>
      <c r="U113" s="116">
        <v>49.193426916409749</v>
      </c>
      <c r="V113" s="116">
        <v>52.785769316265416</v>
      </c>
      <c r="W113" s="116">
        <v>54.130189437045487</v>
      </c>
      <c r="X113" s="116">
        <v>76.397423841645505</v>
      </c>
      <c r="Y113" s="116">
        <v>78.957646470281077</v>
      </c>
      <c r="Z113" s="116">
        <v>63.813580612867547</v>
      </c>
      <c r="AA113" s="116">
        <v>81.119323791015546</v>
      </c>
    </row>
    <row r="114" spans="1:27" s="116" customFormat="1" ht="12.75" customHeight="1">
      <c r="A114" s="117" t="s">
        <v>90</v>
      </c>
      <c r="B114" s="106">
        <v>63.079756526841301</v>
      </c>
      <c r="C114" s="106">
        <v>40.334980907650134</v>
      </c>
      <c r="D114" s="106">
        <v>54.325094784343491</v>
      </c>
      <c r="E114" s="106">
        <v>39.299368279308851</v>
      </c>
      <c r="F114" s="106">
        <v>69.206564580986409</v>
      </c>
      <c r="G114" s="106">
        <v>42.571712449217408</v>
      </c>
      <c r="H114" s="106">
        <v>69.242494753111714</v>
      </c>
      <c r="I114" s="106">
        <v>41.851734984816986</v>
      </c>
      <c r="J114" s="106">
        <v>69.786716634241714</v>
      </c>
      <c r="K114" s="106">
        <v>42.29759001088923</v>
      </c>
      <c r="L114" s="116">
        <v>77.023560708450887</v>
      </c>
      <c r="M114" s="116">
        <v>32.726942153998458</v>
      </c>
      <c r="N114" s="116">
        <v>45.027074233439016</v>
      </c>
      <c r="O114" s="116">
        <v>51.218587169742655</v>
      </c>
      <c r="P114" s="116">
        <v>49.913948948462497</v>
      </c>
      <c r="Q114" s="116">
        <v>54.329834589878068</v>
      </c>
      <c r="R114" s="116">
        <v>43.121957939883863</v>
      </c>
      <c r="S114" s="116">
        <v>46.310883460696992</v>
      </c>
      <c r="T114" s="116">
        <v>58.063951971695154</v>
      </c>
      <c r="U114" s="116">
        <v>48.395465530407215</v>
      </c>
      <c r="V114" s="116">
        <v>51.743258100663354</v>
      </c>
      <c r="W114" s="116">
        <v>51.517176154508931</v>
      </c>
      <c r="X114" s="116">
        <v>74.417025375477678</v>
      </c>
      <c r="Y114" s="116">
        <v>77.534879509660243</v>
      </c>
      <c r="Z114" s="116">
        <v>61.651914359848227</v>
      </c>
      <c r="AA114" s="116">
        <v>79.499646551565505</v>
      </c>
    </row>
    <row r="115" spans="1:27" s="116" customFormat="1" ht="12.75" customHeight="1">
      <c r="A115" s="117" t="s">
        <v>268</v>
      </c>
      <c r="B115" s="106">
        <v>66.235568447808262</v>
      </c>
      <c r="C115" s="106">
        <v>42.81510882185303</v>
      </c>
      <c r="D115" s="106">
        <v>61.227441020179846</v>
      </c>
      <c r="E115" s="106">
        <v>41.158976710373608</v>
      </c>
      <c r="F115" s="106">
        <v>69.821356271574274</v>
      </c>
      <c r="G115" s="106">
        <v>44.999096505240594</v>
      </c>
      <c r="H115" s="106">
        <v>70.124173044479519</v>
      </c>
      <c r="I115" s="106">
        <v>44.582029189737334</v>
      </c>
      <c r="J115" s="106">
        <v>70.998187577623099</v>
      </c>
      <c r="K115" s="106">
        <v>44.965934007780227</v>
      </c>
      <c r="L115" s="116">
        <v>77.747166825706728</v>
      </c>
      <c r="M115" s="116">
        <v>34.587949760280253</v>
      </c>
      <c r="N115" s="116">
        <v>49.643342296851834</v>
      </c>
      <c r="O115" s="116">
        <v>58.022476900081408</v>
      </c>
      <c r="P115" s="116">
        <v>54.245980093383658</v>
      </c>
      <c r="Q115" s="116">
        <v>59.236754988508466</v>
      </c>
      <c r="R115" s="116">
        <v>43.795255999049289</v>
      </c>
      <c r="S115" s="116">
        <v>48.361064588777381</v>
      </c>
      <c r="T115" s="116">
        <v>64.790045051852999</v>
      </c>
      <c r="U115" s="116">
        <v>50.123621582456281</v>
      </c>
      <c r="V115" s="116">
        <v>54.033224962257869</v>
      </c>
      <c r="W115" s="116">
        <v>57.184900178687982</v>
      </c>
      <c r="X115" s="116">
        <v>78.821776743803454</v>
      </c>
      <c r="Y115" s="116">
        <v>80.608658135424079</v>
      </c>
      <c r="Z115" s="116">
        <v>66.431808816436558</v>
      </c>
      <c r="AA115" s="116">
        <v>82.982065872583121</v>
      </c>
    </row>
    <row r="116" spans="1:27" s="116" customFormat="1" ht="12.75" customHeight="1">
      <c r="A116" s="117" t="s">
        <v>269</v>
      </c>
      <c r="B116" s="106">
        <v>60.926186573137237</v>
      </c>
      <c r="C116" s="106">
        <v>39.293604624583281</v>
      </c>
      <c r="D116" s="106">
        <v>50.760448662488997</v>
      </c>
      <c r="E116" s="106">
        <v>38.379504811423701</v>
      </c>
      <c r="F116" s="106">
        <v>68.692562442795278</v>
      </c>
      <c r="G116" s="106">
        <v>41.373340743802935</v>
      </c>
      <c r="H116" s="106">
        <v>68.558928470940913</v>
      </c>
      <c r="I116" s="106">
        <v>40.533359423687358</v>
      </c>
      <c r="J116" s="106">
        <v>69.22904697852556</v>
      </c>
      <c r="K116" s="106">
        <v>40.888691979485479</v>
      </c>
      <c r="L116" s="116">
        <v>76.250906360462452</v>
      </c>
      <c r="M116" s="116">
        <v>31.826902570283039</v>
      </c>
      <c r="N116" s="116">
        <v>43.057491842957788</v>
      </c>
      <c r="O116" s="116">
        <v>48.012297903477219</v>
      </c>
      <c r="P116" s="116">
        <v>47.947576922213457</v>
      </c>
      <c r="Q116" s="116">
        <v>52.122742379059723</v>
      </c>
      <c r="R116" s="116">
        <v>42.619182395320323</v>
      </c>
      <c r="S116" s="116">
        <v>44.934022150797126</v>
      </c>
      <c r="T116" s="116">
        <v>54.169161732830965</v>
      </c>
      <c r="U116" s="116">
        <v>47.4719585324425</v>
      </c>
      <c r="V116" s="116">
        <v>50.608113594533215</v>
      </c>
      <c r="W116" s="116">
        <v>48.771929747982064</v>
      </c>
      <c r="X116" s="116">
        <v>72.146163349740164</v>
      </c>
      <c r="Y116" s="116">
        <v>75.769510609351059</v>
      </c>
      <c r="Z116" s="116">
        <v>59.422113060223111</v>
      </c>
      <c r="AA116" s="116">
        <v>77.483782495867217</v>
      </c>
    </row>
    <row r="117" spans="1:27" s="116" customFormat="1" ht="12.75" customHeight="1">
      <c r="A117" s="117" t="s">
        <v>177</v>
      </c>
      <c r="B117" s="106">
        <v>63.580877510472746</v>
      </c>
      <c r="C117" s="106">
        <v>41.054356723218156</v>
      </c>
      <c r="D117" s="106">
        <v>55.993944841334425</v>
      </c>
      <c r="E117" s="106">
        <v>39.769240760898654</v>
      </c>
      <c r="F117" s="106">
        <v>69.256959357184783</v>
      </c>
      <c r="G117" s="106">
        <v>43.186218624521757</v>
      </c>
      <c r="H117" s="106">
        <v>69.341550757710223</v>
      </c>
      <c r="I117" s="106">
        <v>42.557694306712342</v>
      </c>
      <c r="J117" s="106">
        <v>70.113617278074329</v>
      </c>
      <c r="K117" s="106">
        <v>42.92731299363286</v>
      </c>
      <c r="L117" s="116">
        <v>76.999036593084597</v>
      </c>
      <c r="M117" s="116">
        <v>33.207426165281646</v>
      </c>
      <c r="N117" s="116">
        <v>46.350417069904815</v>
      </c>
      <c r="O117" s="116">
        <v>53.01738740177931</v>
      </c>
      <c r="P117" s="116">
        <v>51.096778507798554</v>
      </c>
      <c r="Q117" s="116">
        <v>55.679748683784098</v>
      </c>
      <c r="R117" s="116">
        <v>43.207219197184799</v>
      </c>
      <c r="S117" s="116">
        <v>46.647543369787257</v>
      </c>
      <c r="T117" s="116">
        <v>59.479603392341978</v>
      </c>
      <c r="U117" s="116">
        <v>48.79779005744939</v>
      </c>
      <c r="V117" s="116">
        <v>52.320669278395542</v>
      </c>
      <c r="W117" s="116">
        <v>52.97841496333502</v>
      </c>
      <c r="X117" s="116">
        <v>75.483970046771802</v>
      </c>
      <c r="Y117" s="116">
        <v>78.189084372387569</v>
      </c>
      <c r="Z117" s="116">
        <v>62.926960938329835</v>
      </c>
      <c r="AA117" s="116">
        <v>80.232924184225155</v>
      </c>
    </row>
    <row r="127" spans="1:27" ht="12.75" customHeight="1">
      <c r="B127" s="152"/>
      <c r="C127" s="152"/>
    </row>
    <row r="128" spans="1:27" ht="12.75" customHeight="1">
      <c r="B128" s="152"/>
      <c r="C128" s="152"/>
    </row>
    <row r="129" spans="2:3" ht="12.75" customHeight="1">
      <c r="B129" s="153"/>
      <c r="C129" s="153"/>
    </row>
    <row r="130" spans="2:3" ht="12.75" customHeight="1">
      <c r="B130" s="152"/>
      <c r="C130" s="152"/>
    </row>
    <row r="131" spans="2:3" ht="12.75" customHeight="1">
      <c r="B131" s="152"/>
      <c r="C131" s="152"/>
    </row>
  </sheetData>
  <phoneticPr fontId="9" type="noConversion"/>
  <printOptions gridLines="1" gridLinesSet="0"/>
  <pageMargins left="0.75" right="0.75" top="1" bottom="1" header="0.5" footer="0.5"/>
  <pageSetup scale="69" orientation="portrait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3" name="Button 4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77</xdr:row>
                    <xdr:rowOff>38100</xdr:rowOff>
                  </from>
                  <to>
                    <xdr:col>0</xdr:col>
                    <xdr:colOff>1003300</xdr:colOff>
                    <xdr:row>84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1">
    <pageSetUpPr fitToPage="1"/>
  </sheetPr>
  <dimension ref="A1:AR78"/>
  <sheetViews>
    <sheetView zoomScale="106" workbookViewId="0">
      <pane xSplit="1" ySplit="4" topLeftCell="B34" activePane="bottomRight" state="frozenSplit"/>
      <selection activeCell="AR64" sqref="AR64"/>
      <selection pane="topRight" activeCell="AR64" sqref="AR64"/>
      <selection pane="bottomLeft" activeCell="AR64" sqref="AR64"/>
      <selection pane="bottomRight" activeCell="A56" sqref="A56"/>
    </sheetView>
  </sheetViews>
  <sheetFormatPr baseColWidth="10" defaultRowHeight="16"/>
  <cols>
    <col min="1" max="1" width="12.1640625" style="14" customWidth="1"/>
    <col min="2" max="2" width="11.83203125" style="7" bestFit="1" customWidth="1"/>
    <col min="3" max="3" width="9.33203125" style="5" bestFit="1" customWidth="1"/>
    <col min="4" max="5" width="11.1640625" style="7" bestFit="1" customWidth="1"/>
    <col min="6" max="6" width="6.5" style="8" bestFit="1" customWidth="1"/>
    <col min="7" max="7" width="8.1640625" style="2" bestFit="1" customWidth="1"/>
    <col min="8" max="8" width="11.33203125" style="9" bestFit="1" customWidth="1"/>
    <col min="9" max="9" width="9" style="2" bestFit="1" customWidth="1"/>
    <col min="10" max="10" width="8.1640625" style="2" bestFit="1" customWidth="1"/>
    <col min="11" max="11" width="9.83203125" style="5" bestFit="1" customWidth="1"/>
    <col min="12" max="12" width="7.83203125" style="1" customWidth="1"/>
    <col min="13" max="14" width="7.83203125" style="6" customWidth="1"/>
    <col min="15" max="15" width="9.5" style="8" bestFit="1" customWidth="1"/>
    <col min="16" max="16" width="7.1640625" style="6" bestFit="1" customWidth="1"/>
    <col min="17" max="17" width="10.83203125" style="4" customWidth="1"/>
    <col min="18" max="24" width="7.83203125" style="4" customWidth="1"/>
    <col min="25" max="25" width="13.1640625" style="4" bestFit="1" customWidth="1"/>
    <col min="26" max="31" width="7.83203125" style="4" customWidth="1"/>
    <col min="32" max="16384" width="10.83203125" style="4"/>
  </cols>
  <sheetData>
    <row r="1" spans="1:32">
      <c r="A1" s="17" t="s">
        <v>140</v>
      </c>
      <c r="B1" s="147">
        <v>0.15</v>
      </c>
      <c r="D1" s="7" t="s">
        <v>593</v>
      </c>
    </row>
    <row r="2" spans="1:32">
      <c r="A2" s="17" t="s">
        <v>610</v>
      </c>
      <c r="B2" s="16">
        <v>162</v>
      </c>
      <c r="D2" s="7" t="s">
        <v>94</v>
      </c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</row>
    <row r="3" spans="1:32">
      <c r="A3" s="18"/>
      <c r="B3" s="21" t="s">
        <v>221</v>
      </c>
      <c r="C3" s="22" t="s">
        <v>222</v>
      </c>
      <c r="D3" s="21" t="s">
        <v>246</v>
      </c>
      <c r="E3" s="21" t="s">
        <v>165</v>
      </c>
      <c r="F3" s="27" t="s">
        <v>91</v>
      </c>
      <c r="G3" s="23" t="s">
        <v>161</v>
      </c>
      <c r="H3" s="24" t="s">
        <v>223</v>
      </c>
      <c r="I3" s="23" t="s">
        <v>152</v>
      </c>
      <c r="J3" s="23" t="s">
        <v>166</v>
      </c>
      <c r="K3" s="22" t="s">
        <v>224</v>
      </c>
      <c r="L3" s="25" t="s">
        <v>225</v>
      </c>
      <c r="M3" s="26" t="s">
        <v>143</v>
      </c>
      <c r="N3" s="26" t="s">
        <v>230</v>
      </c>
      <c r="O3" s="27" t="s">
        <v>279</v>
      </c>
      <c r="P3" s="68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</row>
    <row r="4" spans="1:32" s="10" customFormat="1">
      <c r="A4" s="19" t="s">
        <v>232</v>
      </c>
      <c r="B4" s="28" t="s">
        <v>137</v>
      </c>
      <c r="C4" s="29" t="s">
        <v>231</v>
      </c>
      <c r="D4" s="28" t="s">
        <v>138</v>
      </c>
      <c r="E4" s="28" t="s">
        <v>138</v>
      </c>
      <c r="F4" s="34" t="s">
        <v>92</v>
      </c>
      <c r="G4" s="30" t="s">
        <v>138</v>
      </c>
      <c r="H4" s="31" t="s">
        <v>137</v>
      </c>
      <c r="I4" s="30" t="s">
        <v>138</v>
      </c>
      <c r="J4" s="30" t="s">
        <v>138</v>
      </c>
      <c r="K4" s="29" t="s">
        <v>231</v>
      </c>
      <c r="L4" s="32" t="s">
        <v>245</v>
      </c>
      <c r="M4" s="33" t="s">
        <v>245</v>
      </c>
      <c r="N4" s="33" t="s">
        <v>245</v>
      </c>
      <c r="O4" s="34" t="s">
        <v>226</v>
      </c>
      <c r="P4" s="33" t="s">
        <v>359</v>
      </c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</row>
    <row r="5" spans="1:32">
      <c r="A5" s="20"/>
      <c r="B5" s="42"/>
      <c r="C5" s="16"/>
      <c r="D5" s="42"/>
      <c r="E5" s="42"/>
      <c r="F5" s="40"/>
      <c r="G5" s="43"/>
      <c r="H5" s="44"/>
      <c r="I5" s="43"/>
      <c r="J5" s="43"/>
      <c r="K5" s="16"/>
      <c r="L5" s="39"/>
      <c r="M5" s="41"/>
      <c r="N5" s="41"/>
      <c r="O5" s="40"/>
      <c r="P5" s="41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</row>
    <row r="6" spans="1:32">
      <c r="A6" s="17" t="s">
        <v>525</v>
      </c>
      <c r="B6" s="42">
        <v>4.3455284600445061E-5</v>
      </c>
      <c r="C6" s="16">
        <v>2625.3226734633281</v>
      </c>
      <c r="D6" s="42">
        <v>35387550036.972839</v>
      </c>
      <c r="E6" s="42">
        <v>44133140799.505585</v>
      </c>
      <c r="F6" s="40">
        <v>1.3966700749042872E-3</v>
      </c>
      <c r="G6" s="43">
        <v>36312071903.081161</v>
      </c>
      <c r="H6" s="44">
        <v>4.1674556170539441E-5</v>
      </c>
      <c r="I6" s="43">
        <v>36865027879.143913</v>
      </c>
      <c r="J6" s="43">
        <v>44266010650.365997</v>
      </c>
      <c r="K6" s="16">
        <v>2636.3304805111379</v>
      </c>
      <c r="L6" s="39">
        <v>3.739446790361165</v>
      </c>
      <c r="M6" s="41">
        <v>6.0308499847680004</v>
      </c>
      <c r="N6" s="41">
        <v>4.0976538324540455</v>
      </c>
      <c r="O6" s="40">
        <v>7.1235007211356768E-2</v>
      </c>
      <c r="P6" s="41">
        <v>1.4717812268578536</v>
      </c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2">
      <c r="A7" s="20" t="s">
        <v>136</v>
      </c>
      <c r="B7" s="42">
        <v>9.3696605732630862E-6</v>
      </c>
      <c r="C7" s="16">
        <v>2907.5898172997063</v>
      </c>
      <c r="D7" s="42">
        <v>96869421999.255127</v>
      </c>
      <c r="E7" s="42">
        <v>61264439375.298935</v>
      </c>
      <c r="F7" s="40">
        <v>5.1471453441792473E-4</v>
      </c>
      <c r="G7" s="43">
        <v>97513824292.63446</v>
      </c>
      <c r="H7" s="44">
        <v>9.3025156423726709E-6</v>
      </c>
      <c r="I7" s="43">
        <v>97655879891.589417</v>
      </c>
      <c r="J7" s="43">
        <v>61422229614.521812</v>
      </c>
      <c r="K7" s="16">
        <v>2912.0807087850499</v>
      </c>
      <c r="L7" s="39">
        <v>5.7909190629056448</v>
      </c>
      <c r="M7" s="41">
        <v>7.8522414410067762</v>
      </c>
      <c r="N7" s="41">
        <v>4.5926260506441343</v>
      </c>
      <c r="O7" s="40">
        <v>0.24002263494001333</v>
      </c>
      <c r="P7" s="41">
        <v>1.7097497933465469</v>
      </c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</row>
    <row r="8" spans="1:32">
      <c r="A8" s="20" t="s">
        <v>237</v>
      </c>
      <c r="B8" s="42">
        <v>2.3736473452266481E-5</v>
      </c>
      <c r="C8" s="16">
        <v>2612.2314686805394</v>
      </c>
      <c r="D8" s="42">
        <v>59243418898.958923</v>
      </c>
      <c r="E8" s="42">
        <v>34636759489.981308</v>
      </c>
      <c r="F8" s="40">
        <v>8.4043945366218465E-4</v>
      </c>
      <c r="G8" s="43">
        <v>59842685364.112572</v>
      </c>
      <c r="H8" s="44">
        <v>2.3462403981119973E-5</v>
      </c>
      <c r="I8" s="43">
        <v>60215250896.47522</v>
      </c>
      <c r="J8" s="43">
        <v>35275330627.571793</v>
      </c>
      <c r="K8" s="16">
        <v>2618.8205027501922</v>
      </c>
      <c r="L8" s="39">
        <v>4.7951299800499614</v>
      </c>
      <c r="M8" s="41">
        <v>6.3994670946038683</v>
      </c>
      <c r="N8" s="41">
        <v>3.6701404165246592</v>
      </c>
      <c r="O8" s="40">
        <v>0.25494289335481329</v>
      </c>
      <c r="P8" s="41">
        <v>1.7436572905468481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</row>
    <row r="9" spans="1:32">
      <c r="A9" s="20" t="s">
        <v>238</v>
      </c>
      <c r="B9" s="42">
        <v>2.3736473452266481E-5</v>
      </c>
      <c r="C9" s="16">
        <v>2612.2314686805394</v>
      </c>
      <c r="D9" s="42">
        <v>59245178154.181175</v>
      </c>
      <c r="E9" s="42">
        <v>34636759489.981308</v>
      </c>
      <c r="F9" s="40">
        <v>8.4041460149844106E-4</v>
      </c>
      <c r="G9" s="43">
        <v>59844444640.971207</v>
      </c>
      <c r="H9" s="44">
        <v>2.3463003087213047E-5</v>
      </c>
      <c r="I9" s="43">
        <v>60210922672.595123</v>
      </c>
      <c r="J9" s="43">
        <v>35275330652.956017</v>
      </c>
      <c r="K9" s="16">
        <v>2618.820307827767</v>
      </c>
      <c r="L9" s="39">
        <v>4.7949578203545133</v>
      </c>
      <c r="M9" s="41">
        <v>6.3993382015664277</v>
      </c>
      <c r="N9" s="41">
        <v>3.6701405544319972</v>
      </c>
      <c r="O9" s="40">
        <v>0.25492815551988146</v>
      </c>
      <c r="P9" s="41">
        <v>1.7436221056544277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</row>
    <row r="10" spans="1:32">
      <c r="A10" s="20" t="s">
        <v>145</v>
      </c>
      <c r="B10" s="42">
        <v>1.2388773424647857E-5</v>
      </c>
      <c r="C10" s="16">
        <v>2755.7256805406714</v>
      </c>
      <c r="D10" s="42">
        <v>81293581685.386093</v>
      </c>
      <c r="E10" s="42">
        <v>35670517414.634636</v>
      </c>
      <c r="F10" s="40">
        <v>6.1317307066443888E-4</v>
      </c>
      <c r="G10" s="43">
        <v>81893046144.18541</v>
      </c>
      <c r="H10" s="44">
        <v>1.2287158548069633E-5</v>
      </c>
      <c r="I10" s="43">
        <v>82103147561.586243</v>
      </c>
      <c r="J10" s="43">
        <v>36192282426.420456</v>
      </c>
      <c r="K10" s="16">
        <v>2760.7964447071336</v>
      </c>
      <c r="L10" s="39">
        <v>5.4533416873816796</v>
      </c>
      <c r="M10" s="41">
        <v>6.8715417530244389</v>
      </c>
      <c r="N10" s="41">
        <v>3.6206854155211388</v>
      </c>
      <c r="O10" s="40">
        <v>0.30782976239077708</v>
      </c>
      <c r="P10" s="41">
        <v>1.897856611228234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</row>
    <row r="11" spans="1:32">
      <c r="A11" s="20" t="s">
        <v>234</v>
      </c>
      <c r="B11" s="42">
        <v>1.7437979400239633E-5</v>
      </c>
      <c r="C11" s="16">
        <v>2549.4322525478783</v>
      </c>
      <c r="D11" s="42">
        <v>57735512132.600731</v>
      </c>
      <c r="E11" s="42">
        <v>27827922657.394176</v>
      </c>
      <c r="F11" s="40">
        <v>8.6229554718405741E-4</v>
      </c>
      <c r="G11" s="43">
        <v>58334759570.999992</v>
      </c>
      <c r="H11" s="44">
        <v>1.7238115932278964E-5</v>
      </c>
      <c r="I11" s="43">
        <v>58535976398.808136</v>
      </c>
      <c r="J11" s="43">
        <v>27948057357.607197</v>
      </c>
      <c r="K11" s="16">
        <v>2556.0301874280995</v>
      </c>
      <c r="L11" s="39">
        <v>4.7855123806297586</v>
      </c>
      <c r="M11" s="41">
        <v>6.1220924704606752</v>
      </c>
      <c r="N11" s="41">
        <v>3.306684987080406</v>
      </c>
      <c r="O11" s="40">
        <v>0.29405132344126339</v>
      </c>
      <c r="P11" s="41">
        <v>1.8514289974341027</v>
      </c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</row>
    <row r="12" spans="1:32">
      <c r="A12" s="20" t="s">
        <v>240</v>
      </c>
      <c r="B12" s="42">
        <v>1.7437979400239633E-5</v>
      </c>
      <c r="C12" s="16">
        <v>2547.4366108629097</v>
      </c>
      <c r="D12" s="42">
        <v>66351274663.537712</v>
      </c>
      <c r="E12" s="42">
        <v>31980631527.365524</v>
      </c>
      <c r="F12" s="40">
        <v>7.507437702724913E-4</v>
      </c>
      <c r="G12" s="43">
        <v>66950619239.063721</v>
      </c>
      <c r="H12" s="44">
        <v>1.7263822616301527E-5</v>
      </c>
      <c r="I12" s="43">
        <v>67181899544.344131</v>
      </c>
      <c r="J12" s="43">
        <v>32100813046.649128</v>
      </c>
      <c r="K12" s="16">
        <v>2553.1761804864177</v>
      </c>
      <c r="L12" s="39">
        <v>5.1296265387841764</v>
      </c>
      <c r="M12" s="41">
        <v>6.5633015219061495</v>
      </c>
      <c r="N12" s="41">
        <v>3.5458276650230043</v>
      </c>
      <c r="O12" s="40">
        <v>0.29391423726459581</v>
      </c>
      <c r="P12" s="41">
        <v>1.850992812382936</v>
      </c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</row>
    <row r="13" spans="1:32">
      <c r="A13" s="20" t="s">
        <v>146</v>
      </c>
      <c r="B13" s="42">
        <v>2.0977628950139016E-5</v>
      </c>
      <c r="C13" s="16">
        <v>4312.6671685590645</v>
      </c>
      <c r="D13" s="42">
        <v>167814650056.30942</v>
      </c>
      <c r="E13" s="42">
        <v>94620071701.273529</v>
      </c>
      <c r="F13" s="40">
        <v>2.9738474667361366E-4</v>
      </c>
      <c r="G13" s="43">
        <v>168549092595.04364</v>
      </c>
      <c r="H13" s="44">
        <v>2.087466097782887E-5</v>
      </c>
      <c r="I13" s="43">
        <v>170186734279.578</v>
      </c>
      <c r="J13" s="43">
        <v>94829840149.700851</v>
      </c>
      <c r="K13" s="16">
        <v>4316.5153049060618</v>
      </c>
      <c r="L13" s="39">
        <v>6.2790827970800738</v>
      </c>
      <c r="M13" s="41">
        <v>8.2896910800018695</v>
      </c>
      <c r="N13" s="41">
        <v>4.6871177787587897</v>
      </c>
      <c r="O13" s="40">
        <v>0.26503617482313191</v>
      </c>
      <c r="P13" s="41">
        <v>1.7686116439337884</v>
      </c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spans="1:32">
      <c r="A14" s="20" t="s">
        <v>281</v>
      </c>
      <c r="B14" s="42">
        <v>2.0457092251624404E-5</v>
      </c>
      <c r="C14" s="16">
        <v>3583.8164287431227</v>
      </c>
      <c r="D14" s="42">
        <v>161975317468.97864</v>
      </c>
      <c r="E14" s="42">
        <v>107583812670.40544</v>
      </c>
      <c r="F14" s="40">
        <v>3.0822734929000437E-4</v>
      </c>
      <c r="G14" s="43">
        <v>162560073746.50305</v>
      </c>
      <c r="H14" s="44">
        <v>2.0370853653462795E-5</v>
      </c>
      <c r="I14" s="43">
        <v>164274265236.48019</v>
      </c>
      <c r="J14" s="43">
        <v>107748640954.08078</v>
      </c>
      <c r="K14" s="16">
        <v>3587.1308301210584</v>
      </c>
      <c r="L14" s="39">
        <v>6.7672334459483467</v>
      </c>
      <c r="M14" s="41">
        <v>9.2652858751297309</v>
      </c>
      <c r="N14" s="41">
        <v>5.480652823974296</v>
      </c>
      <c r="O14" s="40">
        <v>0.23088470152856649</v>
      </c>
      <c r="P14" s="41">
        <v>1.690544205719458</v>
      </c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</row>
    <row r="15" spans="1:32">
      <c r="A15" s="20" t="s">
        <v>151</v>
      </c>
      <c r="B15" s="42">
        <v>2.2695400055237251E-5</v>
      </c>
      <c r="C15" s="16">
        <v>3554.8924225411884</v>
      </c>
      <c r="D15" s="42">
        <v>164794964513.59821</v>
      </c>
      <c r="E15" s="42">
        <v>92922649318.953964</v>
      </c>
      <c r="F15" s="40">
        <v>3.0293375035908191E-4</v>
      </c>
      <c r="G15" s="43">
        <v>165409670256.58206</v>
      </c>
      <c r="H15" s="44">
        <v>2.2586380121469214E-5</v>
      </c>
      <c r="I15" s="43">
        <v>167441123349.53104</v>
      </c>
      <c r="J15" s="43">
        <v>93117490663.238861</v>
      </c>
      <c r="K15" s="16">
        <v>3558.123602515459</v>
      </c>
      <c r="L15" s="39">
        <v>6.8599436646861003</v>
      </c>
      <c r="M15" s="41">
        <v>9.0527721462931368</v>
      </c>
      <c r="N15" s="41">
        <v>5.1157005715273645</v>
      </c>
      <c r="O15" s="40">
        <v>0.26542383096134942</v>
      </c>
      <c r="P15" s="41">
        <v>1.7696055544529856</v>
      </c>
      <c r="Q15" s="6"/>
      <c r="R15" s="6"/>
      <c r="S15" s="6"/>
      <c r="T15" s="6"/>
      <c r="U15" s="6"/>
      <c r="V15" s="6"/>
      <c r="W15" s="6"/>
      <c r="X15" s="6"/>
      <c r="Y15" s="5"/>
      <c r="Z15" s="6"/>
      <c r="AA15" s="6"/>
      <c r="AB15" s="6"/>
      <c r="AC15" s="6"/>
      <c r="AD15" s="6"/>
      <c r="AE15" s="6"/>
    </row>
    <row r="16" spans="1:32">
      <c r="A16" s="20" t="s">
        <v>149</v>
      </c>
      <c r="B16" s="42">
        <v>3.1908899618945954E-5</v>
      </c>
      <c r="C16" s="16">
        <v>3209.1637869430506</v>
      </c>
      <c r="D16" s="42">
        <v>124535540774.67686</v>
      </c>
      <c r="E16" s="42">
        <v>79926813419.350159</v>
      </c>
      <c r="F16" s="40">
        <v>4.006387094989613E-4</v>
      </c>
      <c r="G16" s="43">
        <v>125165112122.73921</v>
      </c>
      <c r="H16" s="44">
        <v>3.1698744173441477E-5</v>
      </c>
      <c r="I16" s="43">
        <v>127391517882.56467</v>
      </c>
      <c r="J16" s="43">
        <v>80166558802.372696</v>
      </c>
      <c r="K16" s="16">
        <v>3213.0217052153507</v>
      </c>
      <c r="L16" s="39">
        <v>6.2967061502102419</v>
      </c>
      <c r="M16" s="41">
        <v>8.5390788076845521</v>
      </c>
      <c r="N16" s="41">
        <v>4.9950494398267917</v>
      </c>
      <c r="O16" s="40">
        <v>0.2399109986859623</v>
      </c>
      <c r="P16" s="41">
        <v>1.709508366343748</v>
      </c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>
      <c r="A17" s="20" t="s">
        <v>155</v>
      </c>
      <c r="B17" s="42">
        <v>2.62871032749881E-5</v>
      </c>
      <c r="C17" s="16">
        <v>4385.554000743904</v>
      </c>
      <c r="D17" s="42">
        <v>133861606175.3264</v>
      </c>
      <c r="E17" s="42">
        <v>50436071626.579117</v>
      </c>
      <c r="F17" s="40">
        <v>3.7263969201089105E-4</v>
      </c>
      <c r="G17" s="43">
        <v>134592916691.18459</v>
      </c>
      <c r="H17" s="44">
        <v>2.6128951032680404E-5</v>
      </c>
      <c r="I17" s="43">
        <v>136443969491.04355</v>
      </c>
      <c r="J17" s="43">
        <v>50692321440.918182</v>
      </c>
      <c r="K17" s="16">
        <v>4390.4576085761537</v>
      </c>
      <c r="L17" s="39">
        <v>5.5747099827568816</v>
      </c>
      <c r="M17" s="41">
        <v>6.8170439185413958</v>
      </c>
      <c r="N17" s="41">
        <v>3.3979438336448027</v>
      </c>
      <c r="O17" s="40">
        <v>0.33470765838663685</v>
      </c>
      <c r="P17" s="41">
        <v>2.0062261921584197</v>
      </c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</row>
    <row r="18" spans="1:31">
      <c r="A18" s="20" t="s">
        <v>148</v>
      </c>
      <c r="B18" s="42">
        <v>2.62871032749881E-5</v>
      </c>
      <c r="C18" s="16">
        <v>3185.5069514494357</v>
      </c>
      <c r="D18" s="42">
        <v>105207519399.56201</v>
      </c>
      <c r="E18" s="42">
        <v>75989650269.752213</v>
      </c>
      <c r="F18" s="40">
        <v>4.7325500223202929E-4</v>
      </c>
      <c r="G18" s="43">
        <v>106195282778.83591</v>
      </c>
      <c r="H18" s="44">
        <v>2.6006962563317327E-5</v>
      </c>
      <c r="I18" s="43">
        <v>107336603548.14104</v>
      </c>
      <c r="J18" s="43">
        <v>76273827093.928436</v>
      </c>
      <c r="K18" s="16">
        <v>3190.030692767335</v>
      </c>
      <c r="L18" s="39">
        <v>5.800647753603287</v>
      </c>
      <c r="M18" s="41">
        <v>8.0949116811388482</v>
      </c>
      <c r="N18" s="41">
        <v>4.889791465189643</v>
      </c>
      <c r="O18" s="40">
        <v>0.21274054517887664</v>
      </c>
      <c r="P18" s="41">
        <v>1.6554717596376882</v>
      </c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>
      <c r="A19" s="20" t="s">
        <v>280</v>
      </c>
      <c r="B19" s="42">
        <v>3.2897919346123725E-5</v>
      </c>
      <c r="C19" s="16">
        <v>3986.5590569301376</v>
      </c>
      <c r="D19" s="42">
        <v>96959034078.603394</v>
      </c>
      <c r="E19" s="42">
        <v>50369653191.24881</v>
      </c>
      <c r="F19" s="40">
        <v>5.1333280615450179E-4</v>
      </c>
      <c r="G19" s="43">
        <v>97946608480.783524</v>
      </c>
      <c r="H19" s="44">
        <v>3.2508316235890198E-5</v>
      </c>
      <c r="I19" s="43">
        <v>99525593416.923462</v>
      </c>
      <c r="J19" s="43">
        <v>50653851246.810799</v>
      </c>
      <c r="K19" s="16">
        <v>3992.69992705407</v>
      </c>
      <c r="L19" s="39">
        <v>4.9926836855302605</v>
      </c>
      <c r="M19" s="41">
        <v>6.468568507822666</v>
      </c>
      <c r="N19" s="41">
        <v>3.5618276372497797</v>
      </c>
      <c r="O19" s="40">
        <v>0.28243381302380843</v>
      </c>
      <c r="P19" s="41">
        <v>1.8160812837134617</v>
      </c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</row>
    <row r="20" spans="1:31">
      <c r="A20" s="73" t="s">
        <v>462</v>
      </c>
      <c r="B20" s="42">
        <v>2.6443264284542487E-5</v>
      </c>
      <c r="C20" s="16">
        <v>3424.9837511137139</v>
      </c>
      <c r="D20" s="42">
        <v>168958930591.56137</v>
      </c>
      <c r="E20" s="42">
        <v>94924286832.759842</v>
      </c>
      <c r="F20" s="40">
        <v>2.9515184133932016E-4</v>
      </c>
      <c r="G20" s="43">
        <v>169947527747.77203</v>
      </c>
      <c r="H20" s="44">
        <v>2.6267127451387197E-5</v>
      </c>
      <c r="I20" s="43">
        <v>171792289538.50262</v>
      </c>
      <c r="J20" s="43">
        <v>95208812381.006256</v>
      </c>
      <c r="K20" s="16">
        <v>3428.0168694009703</v>
      </c>
      <c r="L20" s="39">
        <v>7.0791376762871918</v>
      </c>
      <c r="M20" s="41">
        <v>9.3351930475120763</v>
      </c>
      <c r="N20" s="41">
        <v>5.2700786754911668</v>
      </c>
      <c r="O20" s="40">
        <v>0.26610454025317259</v>
      </c>
      <c r="P20" s="41">
        <v>1.7713574355020505</v>
      </c>
      <c r="Q20" s="6"/>
      <c r="R20" s="6"/>
    </row>
    <row r="21" spans="1:31">
      <c r="A21" s="20" t="s">
        <v>241</v>
      </c>
      <c r="B21" s="42">
        <v>2.9670591815333104E-5</v>
      </c>
      <c r="C21" s="16">
        <v>3255.8921069545981</v>
      </c>
      <c r="D21" s="42">
        <v>114570216043.68626</v>
      </c>
      <c r="E21" s="42">
        <v>71727089305.832199</v>
      </c>
      <c r="F21" s="40">
        <v>4.3532530607083239E-4</v>
      </c>
      <c r="G21" s="43">
        <v>115244619013.21448</v>
      </c>
      <c r="H21" s="44">
        <v>2.9496807759194886E-5</v>
      </c>
      <c r="I21" s="43">
        <v>116871207209.36694</v>
      </c>
      <c r="J21" s="43">
        <v>72011759711.159546</v>
      </c>
      <c r="K21" s="16">
        <v>3260.1451490313193</v>
      </c>
      <c r="L21" s="39">
        <v>5.9873589699707921</v>
      </c>
      <c r="M21" s="41">
        <v>8.0808303159226007</v>
      </c>
      <c r="N21" s="41">
        <v>4.6998418451670299</v>
      </c>
      <c r="O21" s="40">
        <v>0.24441279597443602</v>
      </c>
      <c r="P21" s="41">
        <v>1.7193834563246697</v>
      </c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</row>
    <row r="22" spans="1:31">
      <c r="A22" s="20" t="s">
        <v>282</v>
      </c>
      <c r="B22" s="42">
        <v>2.9670591815333104E-5</v>
      </c>
      <c r="C22" s="16">
        <v>3643.4508675437469</v>
      </c>
      <c r="D22" s="42">
        <v>117845984565.52049</v>
      </c>
      <c r="E22" s="42">
        <v>60438853495.013824</v>
      </c>
      <c r="F22" s="40">
        <v>4.2324916716655447E-4</v>
      </c>
      <c r="G22" s="43">
        <v>118520396603.28529</v>
      </c>
      <c r="H22" s="44">
        <v>2.9445500627775472E-5</v>
      </c>
      <c r="I22" s="43">
        <v>120797551402.49782</v>
      </c>
      <c r="J22" s="43">
        <v>60723571729.498161</v>
      </c>
      <c r="K22" s="16">
        <v>3648.0781090724699</v>
      </c>
      <c r="L22" s="39">
        <v>5.7543596412121012</v>
      </c>
      <c r="M22" s="41">
        <v>7.4368318248365641</v>
      </c>
      <c r="N22" s="41">
        <v>4.0798724897805885</v>
      </c>
      <c r="O22" s="40">
        <v>0.284727334924255</v>
      </c>
      <c r="P22" s="41">
        <v>1.8228098656182536</v>
      </c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</row>
    <row r="23" spans="1:31">
      <c r="A23" s="20" t="s">
        <v>147</v>
      </c>
      <c r="B23" s="42">
        <v>2.42570101507811E-5</v>
      </c>
      <c r="C23" s="16">
        <v>3335.8615746760884</v>
      </c>
      <c r="D23" s="42">
        <v>141656246662.29611</v>
      </c>
      <c r="E23" s="42">
        <v>84319194441.842926</v>
      </c>
      <c r="F23" s="40">
        <v>3.5279326593834855E-4</v>
      </c>
      <c r="G23" s="43">
        <v>141896243045.36722</v>
      </c>
      <c r="H23" s="44">
        <v>2.4189095599283811E-5</v>
      </c>
      <c r="I23" s="43">
        <v>143463965157.12921</v>
      </c>
      <c r="J23" s="43">
        <v>84604373013.393051</v>
      </c>
      <c r="K23" s="16">
        <v>3339.3928058892661</v>
      </c>
      <c r="L23" s="39">
        <v>6.5544712279325354</v>
      </c>
      <c r="M23" s="41">
        <v>8.7602188880627168</v>
      </c>
      <c r="N23" s="41">
        <v>5.0334139921857712</v>
      </c>
      <c r="O23" s="40">
        <v>0.25357771058521766</v>
      </c>
      <c r="P23" s="41">
        <v>1.7404129486791076</v>
      </c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</row>
    <row r="24" spans="1:31">
      <c r="A24" s="73" t="s">
        <v>425</v>
      </c>
      <c r="B24" s="42">
        <v>2.42570101507811E-5</v>
      </c>
      <c r="C24" s="16">
        <v>3565.0165150300827</v>
      </c>
      <c r="D24" s="42">
        <v>115560327822.28209</v>
      </c>
      <c r="E24" s="42">
        <v>57286316356.344963</v>
      </c>
      <c r="F24" s="40">
        <v>4.3196409849973833E-4</v>
      </c>
      <c r="G24" s="43">
        <v>116040197793.88454</v>
      </c>
      <c r="H24" s="44">
        <v>2.4129151033993132E-5</v>
      </c>
      <c r="I24" s="43">
        <v>117112019212.23013</v>
      </c>
      <c r="J24" s="43">
        <v>57571276172.923958</v>
      </c>
      <c r="K24" s="16">
        <v>3569.6373901322072</v>
      </c>
      <c r="L24" s="39">
        <v>5.7278110574786902</v>
      </c>
      <c r="M24" s="41">
        <v>7.3696594830684683</v>
      </c>
      <c r="N24" s="41">
        <v>4.0159738594336476</v>
      </c>
      <c r="O24" s="40">
        <v>0.28881055163565889</v>
      </c>
      <c r="P24" s="41">
        <v>1.8350865172483404</v>
      </c>
    </row>
    <row r="25" spans="1:31">
      <c r="A25" s="73" t="s">
        <v>463</v>
      </c>
      <c r="B25" s="42">
        <v>2.3059775744197483E-5</v>
      </c>
      <c r="C25" s="16">
        <v>3421.5186261860567</v>
      </c>
      <c r="D25" s="42">
        <v>110568622621.48712</v>
      </c>
      <c r="E25" s="42">
        <v>77732297823.997467</v>
      </c>
      <c r="F25" s="40">
        <v>4.5094733783804366E-4</v>
      </c>
      <c r="G25" s="43">
        <v>111287841782.59779</v>
      </c>
      <c r="H25" s="44">
        <v>2.2876532860810471E-5</v>
      </c>
      <c r="I25" s="43">
        <v>112506045348.02664</v>
      </c>
      <c r="J25" s="43">
        <v>78016867760.162659</v>
      </c>
      <c r="K25" s="16">
        <v>3426.148443843445</v>
      </c>
      <c r="L25" s="39">
        <v>5.7303987290280238</v>
      </c>
      <c r="M25" s="41">
        <v>7.9497684931670261</v>
      </c>
      <c r="N25" s="41">
        <v>4.771898168022747</v>
      </c>
      <c r="O25" s="40">
        <v>0.21837438346018548</v>
      </c>
      <c r="P25" s="41">
        <v>1.6659551845510234</v>
      </c>
    </row>
    <row r="26" spans="1:31">
      <c r="A26" s="20" t="s">
        <v>157</v>
      </c>
      <c r="B26" s="42">
        <v>2.758844502127464E-5</v>
      </c>
      <c r="C26" s="16">
        <v>2997.6361312798003</v>
      </c>
      <c r="D26" s="42">
        <v>93321449360.245407</v>
      </c>
      <c r="E26" s="42">
        <v>62640424913.041435</v>
      </c>
      <c r="F26" s="40">
        <v>5.343549108107336E-4</v>
      </c>
      <c r="G26" s="43">
        <v>93920983919.12764</v>
      </c>
      <c r="H26" s="44">
        <v>2.7374455347337848E-5</v>
      </c>
      <c r="I26" s="43">
        <v>94882808404.602295</v>
      </c>
      <c r="J26" s="43">
        <v>62807920175.602921</v>
      </c>
      <c r="K26" s="16">
        <v>3002.4428197097427</v>
      </c>
      <c r="L26" s="39">
        <v>5.6215540773320152</v>
      </c>
      <c r="M26" s="41">
        <v>7.7132217516367465</v>
      </c>
      <c r="N26" s="41">
        <v>4.5737227352743561</v>
      </c>
      <c r="O26" s="40">
        <v>0.22885261267047252</v>
      </c>
      <c r="P26" s="41">
        <v>1.6864209306238294</v>
      </c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spans="1:31">
      <c r="A27" s="20" t="s">
        <v>153</v>
      </c>
      <c r="B27" s="42">
        <v>2.758844502127464E-5</v>
      </c>
      <c r="C27" s="16">
        <v>3290.6231733663235</v>
      </c>
      <c r="D27" s="42">
        <v>87516568382.793716</v>
      </c>
      <c r="E27" s="42">
        <v>51996127562.162804</v>
      </c>
      <c r="F27" s="40">
        <v>5.696966473367703E-4</v>
      </c>
      <c r="G27" s="43">
        <v>88116071184.794449</v>
      </c>
      <c r="H27" s="44">
        <v>2.7359901607566296E-5</v>
      </c>
      <c r="I27" s="43">
        <v>89028456246.197357</v>
      </c>
      <c r="J27" s="43">
        <v>52144364250.666725</v>
      </c>
      <c r="K27" s="16">
        <v>3296.2487460094885</v>
      </c>
      <c r="L27" s="39">
        <v>5.1970205318889491</v>
      </c>
      <c r="M27" s="41">
        <v>6.9355193798395174</v>
      </c>
      <c r="N27" s="41">
        <v>3.9773489907777368</v>
      </c>
      <c r="O27" s="40">
        <v>0.25498351721945695</v>
      </c>
      <c r="P27" s="41">
        <v>1.7437542936063388</v>
      </c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</row>
    <row r="28" spans="1:31">
      <c r="A28" s="20" t="s">
        <v>242</v>
      </c>
      <c r="B28" s="42">
        <v>2.7796659700680486E-5</v>
      </c>
      <c r="C28" s="16">
        <v>2968.658719724097</v>
      </c>
      <c r="D28" s="42">
        <v>83595889906.709961</v>
      </c>
      <c r="E28" s="42">
        <v>49666738945.358253</v>
      </c>
      <c r="F28" s="40">
        <v>5.9633585689560138E-4</v>
      </c>
      <c r="G28" s="43">
        <v>84195369044.752457</v>
      </c>
      <c r="H28" s="44">
        <v>2.7559618918539664E-5</v>
      </c>
      <c r="I28" s="43">
        <v>84992771853.691742</v>
      </c>
      <c r="J28" s="43">
        <v>49814961725.648911</v>
      </c>
      <c r="K28" s="16">
        <v>2973.9712558896636</v>
      </c>
      <c r="L28" s="39">
        <v>5.3459219424717395</v>
      </c>
      <c r="M28" s="41">
        <v>7.1353092163227876</v>
      </c>
      <c r="N28" s="41">
        <v>4.0927151315667052</v>
      </c>
      <c r="O28" s="40">
        <v>0.25484222206718582</v>
      </c>
      <c r="P28" s="41">
        <v>1.7434170194961425</v>
      </c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31">
      <c r="A29" s="20" t="s">
        <v>154</v>
      </c>
      <c r="B29" s="42">
        <v>2.7796659700680486E-5</v>
      </c>
      <c r="C29" s="16">
        <v>3418.0931214010247</v>
      </c>
      <c r="D29" s="42">
        <v>74747159623.961578</v>
      </c>
      <c r="E29" s="42">
        <v>44409452044.75103</v>
      </c>
      <c r="F29" s="40">
        <v>6.6669709082947074E-4</v>
      </c>
      <c r="G29" s="43">
        <v>75346577428.57074</v>
      </c>
      <c r="H29" s="44">
        <v>2.7532353134904731E-5</v>
      </c>
      <c r="I29" s="43">
        <v>76050444616.838394</v>
      </c>
      <c r="J29" s="43">
        <v>44557638385.0821</v>
      </c>
      <c r="K29" s="16">
        <v>3424.9318980522285</v>
      </c>
      <c r="L29" s="39">
        <v>4.7122129509972117</v>
      </c>
      <c r="M29" s="41">
        <v>6.2889852187167001</v>
      </c>
      <c r="N29" s="41">
        <v>3.6069083907507911</v>
      </c>
      <c r="O29" s="40">
        <v>0.2549165433402677</v>
      </c>
      <c r="P29" s="41">
        <v>1.7435943853865457</v>
      </c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</row>
    <row r="30" spans="1:31">
      <c r="A30" s="20" t="s">
        <v>239</v>
      </c>
      <c r="B30" s="42">
        <v>2.7796659700680486E-5</v>
      </c>
      <c r="C30" s="16">
        <v>3032.4365505607338</v>
      </c>
      <c r="D30" s="42">
        <v>74752358368.70079</v>
      </c>
      <c r="E30" s="42">
        <v>44412540769.544724</v>
      </c>
      <c r="F30" s="40">
        <v>6.6665087839267486E-4</v>
      </c>
      <c r="G30" s="43">
        <v>75351776213.584549</v>
      </c>
      <c r="H30" s="44">
        <v>2.7533471913189098E-5</v>
      </c>
      <c r="I30" s="43">
        <v>76037670715.808197</v>
      </c>
      <c r="J30" s="43">
        <v>44560727133.8041</v>
      </c>
      <c r="K30" s="16">
        <v>3038.5033011106584</v>
      </c>
      <c r="L30" s="39">
        <v>5.0024706124628908</v>
      </c>
      <c r="M30" s="41">
        <v>6.6767145979169422</v>
      </c>
      <c r="N30" s="41">
        <v>3.8295370732128644</v>
      </c>
      <c r="O30" s="40">
        <v>0.25486788395208104</v>
      </c>
      <c r="P30" s="41">
        <v>1.7434782508360425</v>
      </c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</row>
    <row r="31" spans="1:31">
      <c r="A31" s="20" t="s">
        <v>244</v>
      </c>
      <c r="B31" s="42">
        <v>2.7796659700680486E-5</v>
      </c>
      <c r="C31" s="16">
        <v>3063.32893737223</v>
      </c>
      <c r="D31" s="42">
        <v>95361178295.846786</v>
      </c>
      <c r="E31" s="42">
        <v>56656837474.03257</v>
      </c>
      <c r="F31" s="40">
        <v>5.2295536051487292E-4</v>
      </c>
      <c r="G31" s="43">
        <v>95960723101.378189</v>
      </c>
      <c r="H31" s="44">
        <v>2.7583904502530661E-5</v>
      </c>
      <c r="I31" s="43">
        <v>96997012413.099884</v>
      </c>
      <c r="J31" s="43">
        <v>56805098688.442291</v>
      </c>
      <c r="K31" s="16">
        <v>3068.1361466691228</v>
      </c>
      <c r="L31" s="39">
        <v>5.6226605516050006</v>
      </c>
      <c r="M31" s="41">
        <v>7.5033560264607067</v>
      </c>
      <c r="N31" s="41">
        <v>4.3028513785554896</v>
      </c>
      <c r="O31" s="40">
        <v>0.25500691574570522</v>
      </c>
      <c r="P31" s="41">
        <v>1.7438101775617587</v>
      </c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spans="1:31">
      <c r="A32" s="20" t="s">
        <v>156</v>
      </c>
      <c r="B32" s="42">
        <v>2.7796659700680486E-5</v>
      </c>
      <c r="C32" s="16">
        <v>3171.2862031113295</v>
      </c>
      <c r="D32" s="42">
        <v>81622304681.385742</v>
      </c>
      <c r="E32" s="42">
        <v>48494174812.337097</v>
      </c>
      <c r="F32" s="40">
        <v>6.1071110603745226E-4</v>
      </c>
      <c r="G32" s="43">
        <v>82221771286.51535</v>
      </c>
      <c r="H32" s="44">
        <v>2.7552756133313995E-5</v>
      </c>
      <c r="I32" s="43">
        <v>83023282689.472427</v>
      </c>
      <c r="J32" s="43">
        <v>48642390146.462921</v>
      </c>
      <c r="K32" s="16">
        <v>3177.0981960469849</v>
      </c>
      <c r="L32" s="39">
        <v>5.1119268616354283</v>
      </c>
      <c r="M32" s="41">
        <v>6.8224303791225704</v>
      </c>
      <c r="N32" s="41">
        <v>3.9128404042905358</v>
      </c>
      <c r="O32" s="40">
        <v>0.25491909349379399</v>
      </c>
      <c r="P32" s="41">
        <v>1.7436004728538352</v>
      </c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</row>
    <row r="33" spans="1:31">
      <c r="A33" s="17" t="s">
        <v>144</v>
      </c>
      <c r="B33" s="42">
        <v>2.7796659700680486E-5</v>
      </c>
      <c r="C33" s="16">
        <v>2931.7871612716658</v>
      </c>
      <c r="D33" s="42">
        <v>68879593291.857407</v>
      </c>
      <c r="E33" s="42">
        <v>40923360975.125366</v>
      </c>
      <c r="F33" s="40">
        <v>7.2328585152699719E-4</v>
      </c>
      <c r="G33" s="43">
        <v>69478961787.157318</v>
      </c>
      <c r="H33" s="44">
        <v>2.7518403386406052E-5</v>
      </c>
      <c r="I33" s="43">
        <v>70011248694.253342</v>
      </c>
      <c r="J33" s="43">
        <v>41071518019.377831</v>
      </c>
      <c r="K33" s="16">
        <v>2938.1510218509675</v>
      </c>
      <c r="L33" s="39">
        <v>4.8814276226071032</v>
      </c>
      <c r="M33" s="41">
        <v>6.5166399392689094</v>
      </c>
      <c r="N33" s="41">
        <v>3.7388093489093941</v>
      </c>
      <c r="O33" s="40">
        <v>0.25465557343310896</v>
      </c>
      <c r="P33" s="41">
        <v>1.7429719814865139</v>
      </c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spans="1:31">
      <c r="A34" s="20" t="s">
        <v>249</v>
      </c>
      <c r="B34" s="42">
        <v>3.0139074843996256E-5</v>
      </c>
      <c r="C34" s="16">
        <v>2777.507709971469</v>
      </c>
      <c r="D34" s="42">
        <v>48009167255.560234</v>
      </c>
      <c r="E34" s="42">
        <v>26083720792.390991</v>
      </c>
      <c r="F34" s="40">
        <v>1.0288415698320895E-3</v>
      </c>
      <c r="G34" s="43">
        <v>49287713086.865898</v>
      </c>
      <c r="H34" s="44">
        <v>2.9297943099590631E-5</v>
      </c>
      <c r="I34" s="43">
        <v>49658323030.527847</v>
      </c>
      <c r="J34" s="43">
        <v>26218108019.692204</v>
      </c>
      <c r="K34" s="16">
        <v>2786.0849646881234</v>
      </c>
      <c r="L34" s="39">
        <v>4.2218115757740451</v>
      </c>
      <c r="M34" s="41">
        <v>5.5109764496264599</v>
      </c>
      <c r="N34" s="41">
        <v>3.0676336703146774</v>
      </c>
      <c r="O34" s="40">
        <v>0.27552102698350778</v>
      </c>
      <c r="P34" s="41">
        <v>1.7964910552899052</v>
      </c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</row>
    <row r="35" spans="1:31">
      <c r="A35" s="20" t="s">
        <v>233</v>
      </c>
      <c r="B35" s="42">
        <v>3.0139074843996256E-5</v>
      </c>
      <c r="C35" s="16">
        <v>3304.5168844961845</v>
      </c>
      <c r="D35" s="42">
        <v>48186892400.562874</v>
      </c>
      <c r="E35" s="42">
        <v>26180280123.140457</v>
      </c>
      <c r="F35" s="40">
        <v>1.0266123893277648E-3</v>
      </c>
      <c r="G35" s="43">
        <v>49321191171.362083</v>
      </c>
      <c r="H35" s="44">
        <v>2.9388214422104726E-5</v>
      </c>
      <c r="I35" s="43">
        <v>49693195527.368774</v>
      </c>
      <c r="J35" s="43">
        <v>26314872135.5495</v>
      </c>
      <c r="K35" s="16">
        <v>3314.6994807420278</v>
      </c>
      <c r="L35" s="39">
        <v>3.8719200611212874</v>
      </c>
      <c r="M35" s="41">
        <v>5.0573596165487684</v>
      </c>
      <c r="N35" s="41">
        <v>2.817594896101749</v>
      </c>
      <c r="O35" s="40">
        <v>0.27495122427518953</v>
      </c>
      <c r="P35" s="41">
        <v>1.7949207757104544</v>
      </c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spans="1:31">
      <c r="A36" s="20" t="s">
        <v>286</v>
      </c>
      <c r="B36" s="42">
        <v>3.1023987231471103E-5</v>
      </c>
      <c r="C36" s="16">
        <v>2817.0452973263286</v>
      </c>
      <c r="D36" s="42">
        <v>58357976413.240692</v>
      </c>
      <c r="E36" s="42">
        <v>36154436565.778748</v>
      </c>
      <c r="F36" s="40">
        <v>8.5313703491878305E-4</v>
      </c>
      <c r="G36" s="43">
        <v>58957231824.251419</v>
      </c>
      <c r="H36" s="44">
        <v>3.0664318594259525E-5</v>
      </c>
      <c r="I36" s="43">
        <v>59397632205.89843</v>
      </c>
      <c r="J36" s="43">
        <v>36308857426.544083</v>
      </c>
      <c r="K36" s="16">
        <v>2824.2583490180509</v>
      </c>
      <c r="L36" s="39">
        <v>4.5859821055526302</v>
      </c>
      <c r="M36" s="41">
        <v>6.1784023737757066</v>
      </c>
      <c r="N36" s="41">
        <v>3.5855359452766975</v>
      </c>
      <c r="O36" s="40">
        <v>0.24609398238961031</v>
      </c>
      <c r="P36" s="41">
        <v>1.7231461260107146</v>
      </c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</row>
    <row r="37" spans="1:31">
      <c r="A37" s="20" t="s">
        <v>215</v>
      </c>
      <c r="B37" s="42">
        <v>3.1023987231471103E-5</v>
      </c>
      <c r="C37" s="16">
        <v>2814.8373591648824</v>
      </c>
      <c r="D37" s="42">
        <v>62642154317.778076</v>
      </c>
      <c r="E37" s="42">
        <v>37765846438.180061</v>
      </c>
      <c r="F37" s="40">
        <v>7.9035406247434693E-4</v>
      </c>
      <c r="G37" s="43">
        <v>63983513267.579559</v>
      </c>
      <c r="H37" s="44">
        <v>3.0332082975317173E-5</v>
      </c>
      <c r="I37" s="43">
        <v>64464723031.822052</v>
      </c>
      <c r="J37" s="43">
        <v>37915265366.532669</v>
      </c>
      <c r="K37" s="16">
        <v>2821.5141503690415</v>
      </c>
      <c r="L37" s="39">
        <v>4.7799124738078582</v>
      </c>
      <c r="M37" s="41">
        <v>6.384730404039372</v>
      </c>
      <c r="N37" s="41">
        <v>3.6657760851217587</v>
      </c>
      <c r="O37" s="40">
        <v>0.25412633651506983</v>
      </c>
      <c r="P37" s="41">
        <v>1.7417131477159777</v>
      </c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</row>
    <row r="38" spans="1:31">
      <c r="A38" s="20" t="s">
        <v>150</v>
      </c>
      <c r="B38" s="42">
        <v>1.9259857845040784E-5</v>
      </c>
      <c r="C38" s="16">
        <v>2777.3001466344867</v>
      </c>
      <c r="D38" s="42">
        <v>54764086831.30761</v>
      </c>
      <c r="E38" s="42">
        <v>46672816344.519821</v>
      </c>
      <c r="F38" s="40">
        <v>9.0739586118763636E-4</v>
      </c>
      <c r="G38" s="43">
        <v>55542024399.561172</v>
      </c>
      <c r="H38" s="44">
        <v>1.8971839992827579E-5</v>
      </c>
      <c r="I38" s="43">
        <v>55697871717.289551</v>
      </c>
      <c r="J38" s="43">
        <v>47091457745.181313</v>
      </c>
      <c r="K38" s="16">
        <v>2784.8639076796708</v>
      </c>
      <c r="L38" s="39">
        <v>4.4721597846243197</v>
      </c>
      <c r="M38" s="41">
        <v>6.5227752436717914</v>
      </c>
      <c r="N38" s="41">
        <v>4.112151238121589</v>
      </c>
      <c r="O38" s="40">
        <v>0.17020490428049398</v>
      </c>
      <c r="P38" s="41">
        <v>1.5862196855024631</v>
      </c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</row>
    <row r="39" spans="1:31">
      <c r="A39" s="20" t="s">
        <v>228</v>
      </c>
      <c r="B39" s="42">
        <v>2.071736060088171E-5</v>
      </c>
      <c r="C39" s="16">
        <v>2628.1794647653082</v>
      </c>
      <c r="D39" s="42">
        <v>77032653381.776169</v>
      </c>
      <c r="E39" s="42">
        <v>33423667320.976055</v>
      </c>
      <c r="F39" s="40">
        <v>6.4698044590480344E-4</v>
      </c>
      <c r="G39" s="43">
        <v>77632088370.650894</v>
      </c>
      <c r="H39" s="44">
        <v>2.0544485896676568E-5</v>
      </c>
      <c r="I39" s="43">
        <v>77854100029.827621</v>
      </c>
      <c r="J39" s="43">
        <v>33531894569.053867</v>
      </c>
      <c r="K39" s="16">
        <v>2633.2822567453172</v>
      </c>
      <c r="L39" s="39">
        <v>5.4374094538313376</v>
      </c>
      <c r="M39" s="41">
        <v>6.8223108513134392</v>
      </c>
      <c r="N39" s="41">
        <v>3.5684559458540357</v>
      </c>
      <c r="O39" s="40">
        <v>0.31168500529229604</v>
      </c>
      <c r="P39" s="41">
        <v>1.9118383286305811</v>
      </c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spans="1:31">
      <c r="A40" s="20" t="s">
        <v>229</v>
      </c>
      <c r="B40" s="42">
        <v>2.071736060088171E-5</v>
      </c>
      <c r="C40" s="16">
        <v>3334.3468503644881</v>
      </c>
      <c r="D40" s="42">
        <v>77034649935.505707</v>
      </c>
      <c r="E40" s="42">
        <v>33424533604.879242</v>
      </c>
      <c r="F40" s="40">
        <v>6.4696373171781304E-4</v>
      </c>
      <c r="G40" s="43">
        <v>77634084938.9487</v>
      </c>
      <c r="H40" s="44">
        <v>2.0544888833504412E-5</v>
      </c>
      <c r="I40" s="43">
        <v>77849168483.444794</v>
      </c>
      <c r="J40" s="43">
        <v>33532760859.278076</v>
      </c>
      <c r="K40" s="16">
        <v>3340.820547803386</v>
      </c>
      <c r="L40" s="39">
        <v>4.8272569336784192</v>
      </c>
      <c r="M40" s="41">
        <v>6.0568517673488715</v>
      </c>
      <c r="N40" s="41">
        <v>3.1681671153709803</v>
      </c>
      <c r="O40" s="40">
        <v>0.3116703192492406</v>
      </c>
      <c r="P40" s="41">
        <v>1.9117841789225305</v>
      </c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</row>
    <row r="41" spans="1:31">
      <c r="A41" s="20" t="s">
        <v>159</v>
      </c>
      <c r="B41" s="42">
        <v>2.4465224830186942E-5</v>
      </c>
      <c r="C41" s="16">
        <v>2577.1002853299774</v>
      </c>
      <c r="D41" s="42">
        <v>61596881173.169365</v>
      </c>
      <c r="E41" s="42">
        <v>37702383547.965355</v>
      </c>
      <c r="F41" s="40">
        <v>8.0641718869927997E-4</v>
      </c>
      <c r="G41" s="43">
        <v>62508860636.568596</v>
      </c>
      <c r="H41" s="44">
        <v>2.406403407689553E-5</v>
      </c>
      <c r="I41" s="43">
        <v>62993067558.527496</v>
      </c>
      <c r="J41" s="43">
        <v>37854586734.53038</v>
      </c>
      <c r="K41" s="16">
        <v>2583.3374524219553</v>
      </c>
      <c r="L41" s="39">
        <v>4.9380537024136038</v>
      </c>
      <c r="M41" s="41">
        <v>6.6273821704322948</v>
      </c>
      <c r="N41" s="41">
        <v>3.8279714012492803</v>
      </c>
      <c r="O41" s="40">
        <v>0.24967627067617079</v>
      </c>
      <c r="P41" s="41">
        <v>1.731303992571473</v>
      </c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</row>
    <row r="42" spans="1:31">
      <c r="A42" s="20" t="s">
        <v>142</v>
      </c>
      <c r="B42" s="42">
        <v>3.4875958800479266E-5</v>
      </c>
      <c r="C42" s="16">
        <v>3332.4286135820603</v>
      </c>
      <c r="D42" s="42">
        <v>117711206037.25798</v>
      </c>
      <c r="E42" s="42">
        <v>70279663555.414474</v>
      </c>
      <c r="F42" s="40">
        <v>4.2311916000723144E-4</v>
      </c>
      <c r="G42" s="43">
        <v>118729027506.15279</v>
      </c>
      <c r="H42" s="44">
        <v>3.4506659232160774E-5</v>
      </c>
      <c r="I42" s="43">
        <v>121562677504.8597</v>
      </c>
      <c r="J42" s="43">
        <v>70428441295.936493</v>
      </c>
      <c r="K42" s="16">
        <v>3336.6595515493318</v>
      </c>
      <c r="L42" s="39">
        <v>6.0359298015494334</v>
      </c>
      <c r="M42" s="41">
        <v>8.0359033012573935</v>
      </c>
      <c r="N42" s="41">
        <v>4.5942866664418274</v>
      </c>
      <c r="O42" s="40">
        <v>0.2572083147789298</v>
      </c>
      <c r="P42" s="41">
        <v>1.7491079431229792</v>
      </c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</row>
    <row r="43" spans="1:31">
      <c r="A43" s="20" t="s">
        <v>285</v>
      </c>
      <c r="B43" s="42">
        <v>2.3944688131672331E-5</v>
      </c>
      <c r="C43" s="16">
        <v>3323.0308006877708</v>
      </c>
      <c r="D43" s="42">
        <v>119069551844.37508</v>
      </c>
      <c r="E43" s="42">
        <v>71090666088.902069</v>
      </c>
      <c r="F43" s="40">
        <v>4.1831069676197296E-4</v>
      </c>
      <c r="G43" s="43">
        <v>120087398022.1322</v>
      </c>
      <c r="H43" s="44">
        <v>2.3694004252286684E-5</v>
      </c>
      <c r="I43" s="43">
        <v>122055385262.18307</v>
      </c>
      <c r="J43" s="43">
        <v>71239449330.117035</v>
      </c>
      <c r="K43" s="16">
        <v>3327.2018507700118</v>
      </c>
      <c r="L43" s="39">
        <v>6.0567395472617465</v>
      </c>
      <c r="M43" s="41">
        <v>8.076656900175669</v>
      </c>
      <c r="N43" s="41">
        <v>4.6272259027243416</v>
      </c>
      <c r="O43" s="40">
        <v>0.25569774885103785</v>
      </c>
      <c r="P43" s="41">
        <v>1.7454641441690644</v>
      </c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</row>
    <row r="44" spans="1:31">
      <c r="A44" s="20" t="s">
        <v>141</v>
      </c>
      <c r="B44" s="42">
        <v>2.62871032749881E-5</v>
      </c>
      <c r="C44" s="16">
        <v>3486.5154305914034</v>
      </c>
      <c r="D44" s="42">
        <v>115824520512.80537</v>
      </c>
      <c r="E44" s="42">
        <v>90831320032.712204</v>
      </c>
      <c r="F44" s="40">
        <v>4.2984651514925128E-4</v>
      </c>
      <c r="G44" s="43">
        <v>116916820750.00151</v>
      </c>
      <c r="H44" s="44">
        <v>2.6001334187318244E-5</v>
      </c>
      <c r="I44" s="43">
        <v>118477249325.48955</v>
      </c>
      <c r="J44" s="43">
        <v>91026663553.085739</v>
      </c>
      <c r="K44" s="16">
        <v>3491.0123962714197</v>
      </c>
      <c r="L44" s="39">
        <v>5.8256150807825806</v>
      </c>
      <c r="M44" s="41">
        <v>8.2887810133775783</v>
      </c>
      <c r="N44" s="41">
        <v>5.1063269297720639</v>
      </c>
      <c r="O44" s="40">
        <v>0.19417085264034717</v>
      </c>
      <c r="P44" s="41">
        <v>1.6232374321844631</v>
      </c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</row>
    <row r="45" spans="1:31">
      <c r="A45" s="20" t="s">
        <v>236</v>
      </c>
      <c r="B45" s="42">
        <v>1.6448959673061862E-5</v>
      </c>
      <c r="C45" s="16">
        <v>3094.625303348786</v>
      </c>
      <c r="D45" s="42">
        <v>121583094405.53137</v>
      </c>
      <c r="E45" s="42">
        <v>51613602576.374107</v>
      </c>
      <c r="F45" s="40">
        <v>4.1002264023417602E-4</v>
      </c>
      <c r="G45" s="43">
        <v>122406978826.54956</v>
      </c>
      <c r="H45" s="44">
        <v>1.6319626016144048E-5</v>
      </c>
      <c r="I45" s="43">
        <v>123206432800.25894</v>
      </c>
      <c r="J45" s="43">
        <v>51719481392.305824</v>
      </c>
      <c r="K45" s="16">
        <v>3098.4326829503525</v>
      </c>
      <c r="L45" s="39">
        <v>6.3058793808813514</v>
      </c>
      <c r="M45" s="41">
        <v>7.8752971639875939</v>
      </c>
      <c r="N45" s="41">
        <v>4.0856019129578511</v>
      </c>
      <c r="O45" s="40">
        <v>0.31587447961339449</v>
      </c>
      <c r="P45" s="41">
        <v>1.9275733005240638</v>
      </c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</row>
    <row r="46" spans="1:31">
      <c r="A46" s="20" t="s">
        <v>283</v>
      </c>
      <c r="B46" s="42">
        <v>2.654737162424541E-5</v>
      </c>
      <c r="C46" s="16">
        <v>2930.2520347214131</v>
      </c>
      <c r="D46" s="42">
        <v>82171252079.723801</v>
      </c>
      <c r="E46" s="42">
        <v>50907442365.889496</v>
      </c>
      <c r="F46" s="40">
        <v>6.0664355567785846E-4</v>
      </c>
      <c r="G46" s="43">
        <v>82770722230.995789</v>
      </c>
      <c r="H46" s="44">
        <v>2.6315176045429758E-5</v>
      </c>
      <c r="I46" s="43">
        <v>83557134669.11882</v>
      </c>
      <c r="J46" s="43">
        <v>51061996264.338989</v>
      </c>
      <c r="K46" s="16">
        <v>2935.5865075058164</v>
      </c>
      <c r="L46" s="39">
        <v>5.3351216670686554</v>
      </c>
      <c r="M46" s="41">
        <v>7.1871904767379897</v>
      </c>
      <c r="N46" s="41">
        <v>4.1706279874697358</v>
      </c>
      <c r="O46" s="40">
        <v>0.24615672534913133</v>
      </c>
      <c r="P46" s="41">
        <v>1.7232873558445481</v>
      </c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</row>
    <row r="47" spans="1:31">
      <c r="A47" s="20" t="s">
        <v>284</v>
      </c>
      <c r="B47" s="42">
        <v>2.6026834925730795E-5</v>
      </c>
      <c r="C47" s="16">
        <v>3180.6269276124126</v>
      </c>
      <c r="D47" s="42">
        <v>158690407155.72949</v>
      </c>
      <c r="E47" s="42">
        <v>94746361029.096481</v>
      </c>
      <c r="F47" s="40">
        <v>3.145830800450375E-4</v>
      </c>
      <c r="G47" s="43">
        <v>159290130669.22556</v>
      </c>
      <c r="H47" s="44">
        <v>2.5894818983200369E-5</v>
      </c>
      <c r="I47" s="43">
        <v>161784184398.23215</v>
      </c>
      <c r="J47" s="43">
        <v>94895459369.383743</v>
      </c>
      <c r="K47" s="16">
        <v>3183.6291139532586</v>
      </c>
      <c r="L47" s="39">
        <v>7.1286418866807386</v>
      </c>
      <c r="M47" s="41">
        <v>9.5163349913906945</v>
      </c>
      <c r="N47" s="41">
        <v>5.4596082634078131</v>
      </c>
      <c r="O47" s="40">
        <v>0.25468560689235309</v>
      </c>
      <c r="P47" s="41">
        <v>1.7430435540902212</v>
      </c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</row>
    <row r="48" spans="1:31">
      <c r="A48" s="20" t="s">
        <v>288</v>
      </c>
      <c r="B48" s="42">
        <v>1.2388773424647857E-5</v>
      </c>
      <c r="C48" s="16">
        <v>2305.4241291189892</v>
      </c>
      <c r="D48" s="42">
        <v>38726543769.086555</v>
      </c>
      <c r="E48" s="42">
        <v>23212713547.904026</v>
      </c>
      <c r="F48" s="40">
        <v>1.2828596271205247E-3</v>
      </c>
      <c r="G48" s="43">
        <v>39325425570.746788</v>
      </c>
      <c r="H48" s="44">
        <v>1.2174462522224329E-5</v>
      </c>
      <c r="I48" s="43">
        <v>39437887685.303482</v>
      </c>
      <c r="J48" s="43">
        <v>23361893449.354401</v>
      </c>
      <c r="K48" s="16">
        <v>2314.3024244579929</v>
      </c>
      <c r="L48" s="39">
        <v>4.1280672883210059</v>
      </c>
      <c r="M48" s="41">
        <v>5.5227139563803354</v>
      </c>
      <c r="N48" s="41">
        <v>3.1771956865007769</v>
      </c>
      <c r="O48" s="40">
        <v>0.25265429663070099</v>
      </c>
      <c r="P48" s="41">
        <v>1.7382353815489435</v>
      </c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</row>
    <row r="49" spans="1:31">
      <c r="A49" s="20" t="s">
        <v>289</v>
      </c>
      <c r="B49" s="42">
        <v>1.2388773424647857E-5</v>
      </c>
      <c r="C49" s="16">
        <v>2277.4674917801708</v>
      </c>
      <c r="D49" s="42">
        <v>38726543769.086555</v>
      </c>
      <c r="E49" s="42">
        <v>23212713547.904026</v>
      </c>
      <c r="F49" s="40">
        <v>1.2828596271205247E-3</v>
      </c>
      <c r="G49" s="43">
        <v>39325425570.746788</v>
      </c>
      <c r="H49" s="44">
        <v>1.2174462522224329E-5</v>
      </c>
      <c r="I49" s="43">
        <v>39437887685.303482</v>
      </c>
      <c r="J49" s="43">
        <v>23361893449.354401</v>
      </c>
      <c r="K49" s="16">
        <v>2286.2381248110355</v>
      </c>
      <c r="L49" s="39">
        <v>4.1533266770223705</v>
      </c>
      <c r="M49" s="41">
        <v>5.5565071018809737</v>
      </c>
      <c r="N49" s="41">
        <v>3.1966367506163436</v>
      </c>
      <c r="O49" s="40">
        <v>0.25265429663070099</v>
      </c>
      <c r="P49" s="41">
        <v>1.7382353815489431</v>
      </c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spans="1:31">
      <c r="A50" s="20" t="s">
        <v>160</v>
      </c>
      <c r="B50" s="42">
        <v>6.7669770806900057E-5</v>
      </c>
      <c r="C50" s="16">
        <v>2359.9367744164365</v>
      </c>
      <c r="D50" s="42">
        <v>41585228807.591476</v>
      </c>
      <c r="E50" s="42">
        <v>33884260509.889355</v>
      </c>
      <c r="F50" s="40">
        <v>1.1892894114585572E-3</v>
      </c>
      <c r="G50" s="43">
        <v>42599127426.0737</v>
      </c>
      <c r="H50" s="44">
        <v>6.6593249966887891E-5</v>
      </c>
      <c r="I50" s="43">
        <v>43314855684.32209</v>
      </c>
      <c r="J50" s="43">
        <v>34390885001.460503</v>
      </c>
      <c r="K50" s="16">
        <v>2368.3617227607024</v>
      </c>
      <c r="L50" s="39">
        <v>4.276558519144511</v>
      </c>
      <c r="M50" s="41">
        <v>6.1359785115831231</v>
      </c>
      <c r="N50" s="41">
        <v>3.8106376953479524</v>
      </c>
      <c r="O50" s="40">
        <v>0.18609130374920127</v>
      </c>
      <c r="P50" s="41">
        <v>1.6102235379327612</v>
      </c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spans="1:31">
      <c r="A51" s="20" t="s">
        <v>139</v>
      </c>
      <c r="B51" s="42">
        <v>2.6026834925730795E-5</v>
      </c>
      <c r="C51" s="16">
        <v>3135.7732103630997</v>
      </c>
      <c r="D51" s="42">
        <v>122181896236.35635</v>
      </c>
      <c r="E51" s="42">
        <v>72010909318.122009</v>
      </c>
      <c r="F51" s="40">
        <v>4.0838979756991652E-4</v>
      </c>
      <c r="G51" s="43">
        <v>122781536827.7466</v>
      </c>
      <c r="H51" s="44">
        <v>2.5867000170219932E-5</v>
      </c>
      <c r="I51" s="43">
        <v>124204539162.49069</v>
      </c>
      <c r="J51" s="43">
        <v>72158042009.827652</v>
      </c>
      <c r="K51" s="16">
        <v>3139.6158481030143</v>
      </c>
      <c r="L51" s="39">
        <v>6.2897079103200904</v>
      </c>
      <c r="M51" s="41">
        <v>8.378814485379543</v>
      </c>
      <c r="N51" s="41">
        <v>4.7940671602979448</v>
      </c>
      <c r="O51" s="40">
        <v>0.25664577384027637</v>
      </c>
      <c r="P51" s="41">
        <v>1.74774658035012</v>
      </c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spans="1:31">
      <c r="A52" s="20" t="s">
        <v>290</v>
      </c>
      <c r="B52" s="42">
        <v>4.2996331297307269E-5</v>
      </c>
      <c r="C52" s="16">
        <v>2939.1478754254981</v>
      </c>
      <c r="D52" s="42">
        <v>99585613309.593933</v>
      </c>
      <c r="E52" s="42">
        <v>58493641478.806137</v>
      </c>
      <c r="F52" s="40">
        <v>5.0015175736066203E-4</v>
      </c>
      <c r="G52" s="43">
        <v>100454003649.58356</v>
      </c>
      <c r="H52" s="44">
        <v>4.2496303340134465E-5</v>
      </c>
      <c r="I52" s="43">
        <v>104167967365.00015</v>
      </c>
      <c r="J52" s="43">
        <v>58763021038.58477</v>
      </c>
      <c r="K52" s="16">
        <v>2943.5590380164244</v>
      </c>
      <c r="L52" s="39">
        <v>5.9488185117392778</v>
      </c>
      <c r="M52" s="41">
        <v>7.8743962075046579</v>
      </c>
      <c r="N52" s="41">
        <v>4.4680259019352002</v>
      </c>
      <c r="O52" s="40">
        <v>0.26258447476571473</v>
      </c>
      <c r="P52" s="41">
        <v>1.7623882180481729</v>
      </c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spans="1:31">
      <c r="A53" s="20" t="s">
        <v>291</v>
      </c>
      <c r="B53" s="42">
        <v>1.150386103717301E-5</v>
      </c>
      <c r="C53" s="16">
        <v>3244.3275253156562</v>
      </c>
      <c r="D53" s="42">
        <v>169455944049.30969</v>
      </c>
      <c r="E53" s="42">
        <v>92398326961.811874</v>
      </c>
      <c r="F53" s="40">
        <v>2.9462708378853887E-4</v>
      </c>
      <c r="G53" s="43">
        <v>170055685175.04456</v>
      </c>
      <c r="H53" s="44">
        <v>1.1458107877179733E-5</v>
      </c>
      <c r="I53" s="43">
        <v>170487963535.24835</v>
      </c>
      <c r="J53" s="43">
        <v>92534502370.675613</v>
      </c>
      <c r="K53" s="16">
        <v>3247.1955479834473</v>
      </c>
      <c r="L53" s="39">
        <v>7.2459050732231383</v>
      </c>
      <c r="M53" s="41">
        <v>9.5130857174779262</v>
      </c>
      <c r="N53" s="41">
        <v>5.3382342261689191</v>
      </c>
      <c r="O53" s="40">
        <v>0.27019516083144268</v>
      </c>
      <c r="P53" s="41">
        <v>1.7820660005593583</v>
      </c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spans="1:31">
      <c r="A54" s="20" t="s">
        <v>292</v>
      </c>
      <c r="B54" s="42">
        <v>2.1029682619990479E-5</v>
      </c>
      <c r="C54" s="16">
        <v>3660.3574097173232</v>
      </c>
      <c r="D54" s="42">
        <v>153310607784.95679</v>
      </c>
      <c r="E54" s="42">
        <v>83594846697.773575</v>
      </c>
      <c r="F54" s="40">
        <v>3.2534941935719345E-4</v>
      </c>
      <c r="G54" s="43">
        <v>154149663334.92484</v>
      </c>
      <c r="H54" s="44">
        <v>2.0894486429794305E-5</v>
      </c>
      <c r="I54" s="43">
        <v>155564756105.62512</v>
      </c>
      <c r="J54" s="43">
        <v>83730900744.408432</v>
      </c>
      <c r="K54" s="16">
        <v>3663.9306763135555</v>
      </c>
      <c r="L54" s="39">
        <v>6.516013602225982</v>
      </c>
      <c r="M54" s="41">
        <v>8.5398342996856513</v>
      </c>
      <c r="N54" s="41">
        <v>4.7804552556498345</v>
      </c>
      <c r="O54" s="40">
        <v>0.27181938948974754</v>
      </c>
      <c r="P54" s="41">
        <v>1.7864060728510642</v>
      </c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</row>
    <row r="55" spans="1:31">
      <c r="A55" s="20" t="s">
        <v>293</v>
      </c>
      <c r="B55" s="42">
        <v>2.2435131705979942E-5</v>
      </c>
      <c r="C55" s="16">
        <v>3564.9801449699708</v>
      </c>
      <c r="D55" s="42">
        <v>192653078537.52414</v>
      </c>
      <c r="E55" s="42">
        <v>106546585632.91939</v>
      </c>
      <c r="F55" s="40">
        <v>2.5919739151105791E-4</v>
      </c>
      <c r="G55" s="43">
        <v>193252850907.49191</v>
      </c>
      <c r="H55" s="44">
        <v>2.2322052037615015E-5</v>
      </c>
      <c r="I55" s="43">
        <v>195654774855.71964</v>
      </c>
      <c r="J55" s="43">
        <v>106683832648.35435</v>
      </c>
      <c r="K55" s="16">
        <v>3567.7526048626623</v>
      </c>
      <c r="L55" s="39">
        <v>7.4053887093770081</v>
      </c>
      <c r="M55" s="41">
        <v>9.7318780032690153</v>
      </c>
      <c r="N55" s="41">
        <v>5.4682950405183091</v>
      </c>
      <c r="O55" s="40">
        <v>0.26929838664184286</v>
      </c>
      <c r="P55" s="41">
        <v>1.7796914634559633</v>
      </c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</row>
    <row r="56" spans="1:31">
      <c r="A56" s="20" t="s">
        <v>294</v>
      </c>
      <c r="B56" s="42">
        <v>2.0561199591327324E-5</v>
      </c>
      <c r="C56" s="16">
        <v>4253.0459858591812</v>
      </c>
      <c r="D56" s="42">
        <v>206204824663.51907</v>
      </c>
      <c r="E56" s="42">
        <v>83366552473.065491</v>
      </c>
      <c r="F56" s="40">
        <v>2.421836256827309E-4</v>
      </c>
      <c r="G56" s="43">
        <v>206804612026.26529</v>
      </c>
      <c r="H56" s="44">
        <v>2.0482939418108046E-5</v>
      </c>
      <c r="I56" s="43">
        <v>209107918723.37894</v>
      </c>
      <c r="J56" s="43">
        <v>83467539218.399643</v>
      </c>
      <c r="K56" s="16">
        <v>4256.1364143004084</v>
      </c>
      <c r="L56" s="39">
        <v>7.0093455432176857</v>
      </c>
      <c r="M56" s="41">
        <v>8.6763509201644364</v>
      </c>
      <c r="N56" s="41">
        <v>4.4284427578110863</v>
      </c>
      <c r="O56" s="40">
        <v>0.32385644050528045</v>
      </c>
      <c r="P56" s="41">
        <v>1.9592329391320908</v>
      </c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</row>
    <row r="57" spans="1:31">
      <c r="A57" s="20" t="s">
        <v>295</v>
      </c>
      <c r="B57" s="42">
        <v>3.6229354216617262E-5</v>
      </c>
      <c r="C57" s="16">
        <v>5177.480411714494</v>
      </c>
      <c r="D57" s="42">
        <v>184645304054.11115</v>
      </c>
      <c r="E57" s="42">
        <v>60327336469.168747</v>
      </c>
      <c r="F57" s="40">
        <v>2.7029141507406109E-4</v>
      </c>
      <c r="G57" s="43">
        <v>185424685912.97769</v>
      </c>
      <c r="H57" s="44">
        <v>3.601413012193662E-5</v>
      </c>
      <c r="I57" s="43">
        <v>191670200086.64966</v>
      </c>
      <c r="J57" s="43">
        <v>60406188676.370804</v>
      </c>
      <c r="K57" s="16">
        <v>5181.6792645646547</v>
      </c>
      <c r="L57" s="39">
        <v>6.0819386408349772</v>
      </c>
      <c r="M57" s="41">
        <v>7.2480002212215604</v>
      </c>
      <c r="N57" s="41">
        <v>3.4143296826697376</v>
      </c>
      <c r="O57" s="40">
        <v>0.35740181154760631</v>
      </c>
      <c r="P57" s="41">
        <v>2.122817915917889</v>
      </c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</row>
    <row r="58" spans="1:31">
      <c r="A58" s="73" t="s">
        <v>572</v>
      </c>
      <c r="B58" s="42">
        <v>2.5766566576473482E-5</v>
      </c>
      <c r="C58" s="16">
        <v>4772.5909094493973</v>
      </c>
      <c r="D58" s="42">
        <v>162592404654.28741</v>
      </c>
      <c r="E58" s="42">
        <v>73610015925.304657</v>
      </c>
      <c r="F58" s="40">
        <v>3.0718681125935221E-4</v>
      </c>
      <c r="G58" s="43">
        <v>163042342916.10394</v>
      </c>
      <c r="H58" s="44">
        <v>2.5658547634709499E-5</v>
      </c>
      <c r="I58" s="43">
        <v>165881218325.58038</v>
      </c>
      <c r="J58" s="43">
        <v>73865011551.798508</v>
      </c>
      <c r="K58" s="16">
        <v>4776.9898158682672</v>
      </c>
      <c r="L58" s="39">
        <v>5.8927965941332658</v>
      </c>
      <c r="M58" s="41">
        <v>7.4392165904797141</v>
      </c>
      <c r="N58" s="41">
        <v>3.9322600162222234</v>
      </c>
      <c r="O58" s="40">
        <v>0.30613151852848619</v>
      </c>
      <c r="P58" s="41">
        <v>1.8918424925589412</v>
      </c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</row>
    <row r="59" spans="1:31">
      <c r="A59" s="73" t="s">
        <v>573</v>
      </c>
      <c r="B59" s="42">
        <v>2.3059775744197483E-5</v>
      </c>
      <c r="C59" s="16">
        <v>4232.7715170666561</v>
      </c>
      <c r="D59" s="42">
        <v>206387599749.66968</v>
      </c>
      <c r="E59" s="42">
        <v>111118596910.94025</v>
      </c>
      <c r="F59" s="40">
        <v>2.4196940961491919E-4</v>
      </c>
      <c r="G59" s="43">
        <v>206987387301.14044</v>
      </c>
      <c r="H59" s="44">
        <v>2.2962582100653627E-5</v>
      </c>
      <c r="I59" s="43">
        <v>210750309592.4422</v>
      </c>
      <c r="J59" s="43">
        <v>111253082215.61765</v>
      </c>
      <c r="K59" s="16">
        <v>4235.8444924497862</v>
      </c>
      <c r="L59" s="39">
        <v>7.0536532555140656</v>
      </c>
      <c r="M59" s="41">
        <v>9.2072575691831169</v>
      </c>
      <c r="N59" s="41">
        <v>5.1249073915722345</v>
      </c>
      <c r="O59" s="40">
        <v>0.27554980086716691</v>
      </c>
      <c r="P59" s="41">
        <v>1.7965705261960816</v>
      </c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</row>
    <row r="60" spans="1:31">
      <c r="A60" s="73" t="s">
        <v>574</v>
      </c>
      <c r="B60" s="42">
        <v>2.1862541337613863E-5</v>
      </c>
      <c r="C60" s="16">
        <v>3513.3775513319215</v>
      </c>
      <c r="D60" s="42">
        <v>121645273790.87531</v>
      </c>
      <c r="E60" s="42">
        <v>66100838150.759491</v>
      </c>
      <c r="F60" s="40">
        <v>4.1018765708792417E-4</v>
      </c>
      <c r="G60" s="43">
        <v>122244912790.87842</v>
      </c>
      <c r="H60" s="44">
        <v>2.1730096654311762E-5</v>
      </c>
      <c r="I60" s="43">
        <v>123331112203.61285</v>
      </c>
      <c r="J60" s="43">
        <v>66236490314.761887</v>
      </c>
      <c r="K60" s="16">
        <v>3517.7018702387445</v>
      </c>
      <c r="L60" s="39">
        <v>5.921160170928367</v>
      </c>
      <c r="M60" s="41">
        <v>7.7566815433389236</v>
      </c>
      <c r="N60" s="41">
        <v>4.3392946542312272</v>
      </c>
      <c r="O60" s="40">
        <v>0.27224222338861781</v>
      </c>
      <c r="P60" s="41">
        <v>1.7875443272273335</v>
      </c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</row>
    <row r="61" spans="1:31">
      <c r="A61" s="20" t="s">
        <v>569</v>
      </c>
      <c r="B61" s="42">
        <v>2.7067908322760026E-6</v>
      </c>
      <c r="C61" s="16">
        <v>2622.1119333744841</v>
      </c>
      <c r="D61" s="42">
        <v>128807543411.95576</v>
      </c>
      <c r="E61" s="42">
        <v>53924349726.38047</v>
      </c>
      <c r="F61" s="40">
        <v>3.8742364278071491E-4</v>
      </c>
      <c r="G61" s="43">
        <v>129407202555.73788</v>
      </c>
      <c r="H61" s="44">
        <v>2.693802596458845E-6</v>
      </c>
      <c r="I61" s="43">
        <v>129428432140.94501</v>
      </c>
      <c r="J61" s="43">
        <v>54028868278.402328</v>
      </c>
      <c r="K61" s="16">
        <v>2625.1601281262992</v>
      </c>
      <c r="L61" s="39">
        <v>7.0216139057581213</v>
      </c>
      <c r="M61" s="41">
        <v>8.7604008215802232</v>
      </c>
      <c r="N61" s="41">
        <v>4.5366474995205133</v>
      </c>
      <c r="O61" s="40">
        <v>0.31677434528386744</v>
      </c>
      <c r="P61" s="41">
        <v>1.9310296474447544</v>
      </c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</row>
    <row r="62" spans="1:31">
      <c r="A62" s="20" t="s">
        <v>570</v>
      </c>
      <c r="B62" s="42">
        <v>1.6448959673061862E-5</v>
      </c>
      <c r="C62" s="16">
        <v>2744.3468507607745</v>
      </c>
      <c r="D62" s="42">
        <v>64235186556.225197</v>
      </c>
      <c r="E62" s="42">
        <v>28726783777.7621</v>
      </c>
      <c r="F62" s="40">
        <v>7.7538001361680375E-4</v>
      </c>
      <c r="G62" s="43">
        <v>64834509673.406624</v>
      </c>
      <c r="H62" s="44">
        <v>1.6274024983504859E-5</v>
      </c>
      <c r="I62" s="43">
        <v>65109895583.693604</v>
      </c>
      <c r="J62" s="43">
        <v>28838284213.338348</v>
      </c>
      <c r="K62" s="16">
        <v>2750.7330601273193</v>
      </c>
      <c r="L62" s="39">
        <v>4.8651840678526774</v>
      </c>
      <c r="M62" s="41">
        <v>6.1358363909654141</v>
      </c>
      <c r="N62" s="41">
        <v>3.2378780322853378</v>
      </c>
      <c r="O62" s="40">
        <v>0.30703119123617567</v>
      </c>
      <c r="P62" s="41">
        <v>1.8950177646545439</v>
      </c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</row>
    <row r="63" spans="1:31">
      <c r="A63" s="20" t="s">
        <v>158</v>
      </c>
      <c r="B63" s="42">
        <v>2.2903614734643097E-5</v>
      </c>
      <c r="C63" s="16">
        <v>2705.2375668797349</v>
      </c>
      <c r="D63" s="42">
        <v>72471122395.455505</v>
      </c>
      <c r="E63" s="42">
        <v>31569233823.231369</v>
      </c>
      <c r="F63" s="40">
        <v>6.8756382114841367E-4</v>
      </c>
      <c r="G63" s="43">
        <v>73070522015.639069</v>
      </c>
      <c r="H63" s="44">
        <v>2.2681393488175683E-5</v>
      </c>
      <c r="I63" s="43">
        <v>73596810733.458023</v>
      </c>
      <c r="J63" s="43">
        <v>31677875095.31739</v>
      </c>
      <c r="K63" s="16">
        <v>2710.8195552033735</v>
      </c>
      <c r="L63" s="39">
        <v>5.2104975078261431</v>
      </c>
      <c r="M63" s="41">
        <v>6.5368373627040732</v>
      </c>
      <c r="N63" s="41">
        <v>3.4184380673834229</v>
      </c>
      <c r="O63" s="40">
        <v>0.31179098021469964</v>
      </c>
      <c r="P63" s="41">
        <v>1.9122292795281117</v>
      </c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</row>
    <row r="64" spans="1:31">
      <c r="A64" s="20" t="s">
        <v>287</v>
      </c>
      <c r="B64" s="42">
        <v>5.9861720329180826E-5</v>
      </c>
      <c r="C64" s="16">
        <v>2909.1321576371838</v>
      </c>
      <c r="D64" s="42">
        <v>64596868275.036835</v>
      </c>
      <c r="E64" s="42">
        <v>36921556040.983543</v>
      </c>
      <c r="F64" s="40">
        <v>7.710552618605636E-4</v>
      </c>
      <c r="G64" s="43">
        <v>65196195158.879044</v>
      </c>
      <c r="H64" s="44">
        <v>5.9093244076285663E-5</v>
      </c>
      <c r="I64" s="43">
        <v>67860883763.714569</v>
      </c>
      <c r="J64" s="43">
        <v>37064063514.843803</v>
      </c>
      <c r="K64" s="16">
        <v>2915.864056276564</v>
      </c>
      <c r="L64" s="39">
        <v>4.8242090540950375</v>
      </c>
      <c r="M64" s="41">
        <v>6.3420208701619325</v>
      </c>
      <c r="N64" s="41">
        <v>3.5652737328244131</v>
      </c>
      <c r="O64" s="40">
        <v>0.26897214110282786</v>
      </c>
      <c r="P64" s="41">
        <v>1.7788314012954562</v>
      </c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</row>
    <row r="65" spans="1:44">
      <c r="A65" s="20" t="s">
        <v>495</v>
      </c>
      <c r="B65" s="42">
        <v>3.3730778063747109E-5</v>
      </c>
      <c r="C65" s="16">
        <v>2994.3377792205315</v>
      </c>
      <c r="D65" s="42">
        <v>95757218726.082199</v>
      </c>
      <c r="E65" s="42">
        <v>57197926736.485756</v>
      </c>
      <c r="F65" s="40">
        <v>5.2021361283884418E-4</v>
      </c>
      <c r="G65" s="43">
        <v>96571848879.919907</v>
      </c>
      <c r="H65" s="44">
        <v>3.355759709453605E-5</v>
      </c>
      <c r="I65" s="43">
        <v>98799195182.909241</v>
      </c>
      <c r="J65" s="43">
        <v>57346818549.90358</v>
      </c>
      <c r="K65" s="16">
        <v>2999.0120803338341</v>
      </c>
      <c r="L65" s="39">
        <v>5.7396788854180558</v>
      </c>
      <c r="M65" s="41">
        <v>7.6445918515113966</v>
      </c>
      <c r="N65" s="41">
        <v>4.3728598366927383</v>
      </c>
      <c r="O65" s="40">
        <v>0.25682943156643934</v>
      </c>
      <c r="P65" s="41">
        <v>1.7481904604774894</v>
      </c>
    </row>
    <row r="66" spans="1:44">
      <c r="C66" s="5" t="s">
        <v>470</v>
      </c>
    </row>
    <row r="69" spans="1:44">
      <c r="AR69" s="4">
        <v>1000</v>
      </c>
    </row>
    <row r="70" spans="1:44">
      <c r="D70" s="5"/>
      <c r="E70" s="6"/>
      <c r="F70" s="6"/>
      <c r="G70" s="5"/>
      <c r="H70" s="5"/>
      <c r="I70" s="5"/>
      <c r="J70" s="5"/>
      <c r="L70" s="5"/>
      <c r="M70" s="5"/>
      <c r="N70" s="5"/>
    </row>
    <row r="71" spans="1:44">
      <c r="D71" s="5"/>
      <c r="E71" s="6"/>
      <c r="F71" s="6"/>
      <c r="G71" s="5"/>
      <c r="H71" s="5"/>
      <c r="I71" s="5"/>
      <c r="J71" s="5"/>
      <c r="L71" s="5"/>
      <c r="M71" s="5"/>
      <c r="N71" s="5"/>
    </row>
    <row r="72" spans="1:44">
      <c r="D72" s="5"/>
      <c r="E72" s="6"/>
      <c r="F72" s="6"/>
      <c r="G72" s="5"/>
      <c r="H72" s="5"/>
      <c r="I72" s="5"/>
      <c r="J72" s="5"/>
      <c r="L72" s="5"/>
      <c r="M72" s="5"/>
      <c r="N72" s="5"/>
    </row>
    <row r="73" spans="1:44">
      <c r="D73" s="5"/>
      <c r="E73" s="6"/>
      <c r="F73" s="6"/>
      <c r="G73" s="5"/>
      <c r="H73" s="5"/>
      <c r="I73" s="5"/>
      <c r="J73" s="5"/>
      <c r="L73" s="5"/>
      <c r="M73" s="5"/>
      <c r="N73" s="5"/>
    </row>
    <row r="74" spans="1:44">
      <c r="D74" s="5"/>
      <c r="E74" s="6"/>
      <c r="F74" s="6"/>
      <c r="G74" s="5"/>
      <c r="H74" s="5"/>
      <c r="I74" s="5"/>
      <c r="J74" s="5"/>
      <c r="L74" s="5"/>
      <c r="M74" s="5"/>
      <c r="N74" s="5"/>
    </row>
    <row r="75" spans="1:44">
      <c r="D75" s="5"/>
      <c r="E75" s="6"/>
      <c r="F75" s="6"/>
      <c r="G75" s="5"/>
      <c r="H75" s="5"/>
      <c r="I75" s="5"/>
      <c r="J75" s="5"/>
      <c r="L75" s="5"/>
      <c r="M75" s="5"/>
      <c r="N75" s="5"/>
    </row>
    <row r="76" spans="1:44">
      <c r="D76" s="5"/>
      <c r="E76" s="6"/>
      <c r="F76" s="6"/>
      <c r="G76" s="5"/>
      <c r="H76" s="5"/>
      <c r="I76" s="5"/>
      <c r="J76" s="5"/>
      <c r="L76" s="5"/>
      <c r="M76" s="5"/>
      <c r="N76" s="5"/>
    </row>
    <row r="77" spans="1:44">
      <c r="D77" s="5"/>
      <c r="E77" s="6"/>
      <c r="F77" s="6"/>
      <c r="G77" s="5"/>
      <c r="H77" s="5"/>
      <c r="I77" s="5"/>
      <c r="J77" s="5"/>
      <c r="L77" s="5"/>
      <c r="M77" s="5"/>
      <c r="N77" s="5"/>
    </row>
    <row r="78" spans="1:44">
      <c r="D78" s="5"/>
      <c r="E78" s="6"/>
      <c r="F78" s="6"/>
      <c r="G78" s="5"/>
      <c r="H78" s="5"/>
      <c r="I78" s="5"/>
      <c r="J78" s="5"/>
      <c r="L78" s="5"/>
      <c r="M78" s="5"/>
      <c r="N78" s="5"/>
    </row>
  </sheetData>
  <phoneticPr fontId="9" type="noConversion"/>
  <printOptions gridLines="1" gridLinesSet="0"/>
  <pageMargins left="0.75" right="0.75" top="1" bottom="1" header="0.5" footer="0.5"/>
  <pageSetup scale="42" fitToWidth="2" orientation="landscape" horizontalDpi="4294967292" verticalDpi="4294967292"/>
  <headerFooter alignWithMargins="0">
    <oddHeader>&amp;A</oddHeader>
    <oddFooter>Page &amp;P</oddFooter>
  </headerFooter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3" name="Button 1">
              <controlPr defaultSize="0" print="0" autoFill="0" autoPict="0" macro="[0]!HackerandAbers03">
                <anchor moveWithCells="1">
                  <from>
                    <xdr:col>0</xdr:col>
                    <xdr:colOff>25400</xdr:colOff>
                    <xdr:row>65</xdr:row>
                    <xdr:rowOff>76200</xdr:rowOff>
                  </from>
                  <to>
                    <xdr:col>0</xdr:col>
                    <xdr:colOff>914400</xdr:colOff>
                    <xdr:row>71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/>
  <dimension ref="A1:AD66"/>
  <sheetViews>
    <sheetView topLeftCell="A7" zoomScale="106" workbookViewId="0">
      <pane xSplit="1" topLeftCell="B1" activePane="topRight" state="frozenSplit"/>
      <selection activeCell="AJ35" sqref="AJ35:BF35"/>
      <selection pane="topRight" activeCell="E63" sqref="E63"/>
    </sheetView>
  </sheetViews>
  <sheetFormatPr baseColWidth="10" defaultColWidth="8.83203125" defaultRowHeight="16"/>
  <cols>
    <col min="1" max="1" width="14" customWidth="1"/>
    <col min="2" max="2" width="17.5" bestFit="1" customWidth="1"/>
    <col min="3" max="3" width="42.1640625" customWidth="1"/>
    <col min="4" max="4" width="26.33203125" customWidth="1"/>
    <col min="5" max="7" width="10.6640625" style="59" customWidth="1"/>
    <col min="8" max="30" width="10.6640625" customWidth="1"/>
  </cols>
  <sheetData>
    <row r="1" spans="1:30">
      <c r="A1" s="1" t="s">
        <v>592</v>
      </c>
      <c r="B1" s="1"/>
      <c r="C1" s="1"/>
      <c r="D1" s="1"/>
      <c r="E1" s="55"/>
      <c r="F1" s="55"/>
      <c r="G1" s="55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>
      <c r="A2" s="15"/>
      <c r="B2" s="15"/>
      <c r="C2" s="15"/>
      <c r="D2" s="15"/>
      <c r="E2" s="56"/>
      <c r="F2" s="56"/>
      <c r="G2" s="56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</row>
    <row r="3" spans="1:30">
      <c r="A3" s="39"/>
      <c r="B3" s="39"/>
      <c r="C3" s="39"/>
      <c r="D3" s="39"/>
      <c r="E3" s="57"/>
      <c r="F3" s="57"/>
      <c r="G3" s="57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</row>
    <row r="4" spans="1:30">
      <c r="A4" s="1" t="s">
        <v>235</v>
      </c>
      <c r="B4" s="1" t="s">
        <v>68</v>
      </c>
      <c r="C4" s="52" t="s">
        <v>69</v>
      </c>
      <c r="D4" s="52" t="s">
        <v>70</v>
      </c>
      <c r="E4" s="46" t="s">
        <v>48</v>
      </c>
      <c r="F4" s="46" t="s">
        <v>49</v>
      </c>
      <c r="G4" s="46" t="s">
        <v>50</v>
      </c>
      <c r="H4" s="46" t="s">
        <v>179</v>
      </c>
      <c r="I4" s="46" t="s">
        <v>0</v>
      </c>
      <c r="J4" s="46" t="s">
        <v>2</v>
      </c>
      <c r="K4" s="46" t="s">
        <v>115</v>
      </c>
      <c r="L4" s="46" t="s">
        <v>316</v>
      </c>
      <c r="M4" s="46" t="s">
        <v>1</v>
      </c>
      <c r="N4" s="46" t="s">
        <v>3</v>
      </c>
      <c r="O4" s="46" t="s">
        <v>97</v>
      </c>
      <c r="P4" s="46" t="s">
        <v>116</v>
      </c>
      <c r="Q4" s="46" t="s">
        <v>117</v>
      </c>
      <c r="R4" s="46" t="s">
        <v>118</v>
      </c>
      <c r="S4" s="46" t="s">
        <v>119</v>
      </c>
      <c r="T4" s="46" t="s">
        <v>120</v>
      </c>
      <c r="U4" s="46" t="s">
        <v>121</v>
      </c>
      <c r="V4" s="46" t="s">
        <v>122</v>
      </c>
      <c r="W4" s="46" t="s">
        <v>123</v>
      </c>
      <c r="X4" s="46" t="s">
        <v>124</v>
      </c>
      <c r="Y4" s="46" t="s">
        <v>125</v>
      </c>
      <c r="Z4" s="46" t="s">
        <v>126</v>
      </c>
      <c r="AA4" s="46" t="s">
        <v>127</v>
      </c>
      <c r="AB4" s="46" t="s">
        <v>128</v>
      </c>
      <c r="AC4" s="46" t="s">
        <v>129</v>
      </c>
      <c r="AD4" s="46" t="s">
        <v>130</v>
      </c>
    </row>
    <row r="5" spans="1:30">
      <c r="A5" s="17"/>
      <c r="B5" s="17"/>
      <c r="C5" s="17"/>
      <c r="D5" s="17"/>
      <c r="E5" s="135"/>
      <c r="F5" s="136"/>
      <c r="G5" s="136"/>
      <c r="H5" s="136"/>
      <c r="I5" s="136"/>
      <c r="J5" s="136"/>
      <c r="K5" s="136"/>
      <c r="L5" s="136"/>
      <c r="M5" s="136"/>
      <c r="N5" s="136"/>
      <c r="O5" s="137"/>
      <c r="P5" s="137"/>
      <c r="Q5" s="137"/>
      <c r="R5" s="137"/>
      <c r="S5" s="137"/>
      <c r="T5" s="137"/>
      <c r="U5" s="137"/>
      <c r="V5" s="137"/>
      <c r="W5" s="137"/>
      <c r="X5" s="137"/>
      <c r="Y5" s="137"/>
      <c r="Z5" s="137"/>
      <c r="AA5" s="137"/>
      <c r="AB5" s="137"/>
      <c r="AC5" s="137"/>
      <c r="AD5" s="137"/>
    </row>
    <row r="6" spans="1:30">
      <c r="A6" s="17" t="s">
        <v>525</v>
      </c>
      <c r="B6" s="17" t="s">
        <v>524</v>
      </c>
      <c r="C6" s="17" t="s">
        <v>35</v>
      </c>
      <c r="D6" s="17" t="s">
        <v>259</v>
      </c>
      <c r="E6" s="138"/>
      <c r="F6" s="139"/>
      <c r="G6" s="139"/>
      <c r="H6" s="139"/>
      <c r="I6" s="139"/>
      <c r="J6" s="139"/>
      <c r="K6" s="139"/>
      <c r="L6" s="139"/>
      <c r="M6" s="139"/>
      <c r="N6" s="139"/>
      <c r="O6" s="139"/>
      <c r="P6" s="139">
        <v>8</v>
      </c>
      <c r="Q6" s="139">
        <v>13</v>
      </c>
      <c r="R6" s="139">
        <v>5</v>
      </c>
      <c r="S6" s="139">
        <v>2</v>
      </c>
      <c r="T6" s="139">
        <v>2</v>
      </c>
      <c r="U6" s="139">
        <v>1</v>
      </c>
      <c r="V6" s="139"/>
      <c r="W6" s="139"/>
      <c r="X6" s="139">
        <v>2</v>
      </c>
      <c r="Y6" s="139">
        <v>2</v>
      </c>
      <c r="Z6" s="139">
        <v>5</v>
      </c>
      <c r="AA6" s="139">
        <v>3</v>
      </c>
      <c r="AB6" s="139">
        <v>6</v>
      </c>
      <c r="AC6" s="139">
        <v>2.5</v>
      </c>
      <c r="AD6" s="139">
        <v>6</v>
      </c>
    </row>
    <row r="7" spans="1:30">
      <c r="A7" s="17" t="s">
        <v>136</v>
      </c>
      <c r="B7" s="17" t="s">
        <v>180</v>
      </c>
      <c r="C7" s="17" t="s">
        <v>35</v>
      </c>
      <c r="D7" s="17" t="s">
        <v>259</v>
      </c>
      <c r="E7" s="138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39"/>
      <c r="AD7" s="139"/>
    </row>
    <row r="8" spans="1:30">
      <c r="A8" s="17" t="s">
        <v>237</v>
      </c>
      <c r="B8" s="17" t="s">
        <v>181</v>
      </c>
      <c r="C8" s="17" t="s">
        <v>36</v>
      </c>
      <c r="D8" s="17" t="s">
        <v>594</v>
      </c>
      <c r="E8" s="138"/>
      <c r="F8" s="139"/>
      <c r="G8" s="139"/>
      <c r="H8" s="139"/>
      <c r="I8" s="139"/>
      <c r="J8" s="139"/>
      <c r="K8" s="139"/>
      <c r="L8" s="139"/>
      <c r="M8" s="139"/>
      <c r="N8" s="139"/>
      <c r="O8" s="139"/>
      <c r="P8" s="139"/>
      <c r="Q8" s="139"/>
      <c r="R8" s="139"/>
      <c r="S8" s="139"/>
      <c r="T8" s="139"/>
      <c r="U8" s="139"/>
      <c r="V8" s="139">
        <v>21</v>
      </c>
      <c r="W8" s="139"/>
      <c r="X8" s="139"/>
      <c r="Y8" s="139"/>
      <c r="Z8" s="139"/>
      <c r="AA8" s="139"/>
      <c r="AB8" s="139"/>
      <c r="AC8" s="139"/>
      <c r="AD8" s="139"/>
    </row>
    <row r="9" spans="1:30">
      <c r="A9" s="17" t="s">
        <v>238</v>
      </c>
      <c r="B9" s="17" t="s">
        <v>202</v>
      </c>
      <c r="C9" s="17" t="s">
        <v>36</v>
      </c>
      <c r="D9" s="17" t="s">
        <v>595</v>
      </c>
      <c r="E9" s="138">
        <v>16.5</v>
      </c>
      <c r="F9" s="139">
        <v>9.6</v>
      </c>
      <c r="G9" s="139">
        <v>13.75</v>
      </c>
      <c r="H9" s="139">
        <v>3.25</v>
      </c>
      <c r="I9" s="139"/>
      <c r="J9" s="139"/>
      <c r="K9" s="139"/>
      <c r="L9" s="139"/>
      <c r="M9" s="139"/>
      <c r="N9" s="139"/>
      <c r="O9" s="139"/>
      <c r="P9" s="139">
        <v>19</v>
      </c>
      <c r="Q9" s="139">
        <v>20</v>
      </c>
      <c r="R9" s="139">
        <v>22</v>
      </c>
      <c r="S9" s="139">
        <v>20</v>
      </c>
      <c r="T9" s="139">
        <v>11</v>
      </c>
      <c r="U9" s="139">
        <v>18</v>
      </c>
      <c r="V9" s="139"/>
      <c r="W9" s="139">
        <v>20</v>
      </c>
      <c r="X9" s="139">
        <v>8</v>
      </c>
      <c r="Y9" s="139"/>
      <c r="Z9" s="139">
        <v>18</v>
      </c>
      <c r="AA9" s="139"/>
      <c r="AB9" s="139"/>
      <c r="AC9" s="139"/>
      <c r="AD9" s="139"/>
    </row>
    <row r="10" spans="1:30">
      <c r="A10" s="17" t="s">
        <v>145</v>
      </c>
      <c r="B10" s="17" t="s">
        <v>203</v>
      </c>
      <c r="C10" s="17" t="s">
        <v>37</v>
      </c>
      <c r="D10" s="17" t="s">
        <v>596</v>
      </c>
      <c r="E10" s="138">
        <v>38.5</v>
      </c>
      <c r="F10" s="139">
        <v>38.4</v>
      </c>
      <c r="G10" s="139">
        <v>41.25</v>
      </c>
      <c r="H10" s="139">
        <v>9.75</v>
      </c>
      <c r="I10" s="139"/>
      <c r="J10" s="139"/>
      <c r="K10" s="139"/>
      <c r="L10" s="139"/>
      <c r="M10" s="139"/>
      <c r="N10" s="139"/>
      <c r="O10" s="139"/>
      <c r="P10" s="139"/>
      <c r="Q10" s="139"/>
      <c r="R10" s="139"/>
      <c r="S10" s="139"/>
      <c r="T10" s="139">
        <v>6</v>
      </c>
      <c r="U10" s="139">
        <v>18</v>
      </c>
      <c r="V10" s="139">
        <v>21</v>
      </c>
      <c r="W10" s="139">
        <v>15</v>
      </c>
      <c r="X10" s="139"/>
      <c r="Y10" s="139"/>
      <c r="Z10" s="139"/>
      <c r="AA10" s="139"/>
      <c r="AB10" s="139"/>
      <c r="AC10" s="139"/>
      <c r="AD10" s="139"/>
    </row>
    <row r="11" spans="1:30">
      <c r="A11" s="17" t="s">
        <v>234</v>
      </c>
      <c r="B11" s="17" t="s">
        <v>204</v>
      </c>
      <c r="C11" s="17" t="s">
        <v>38</v>
      </c>
      <c r="D11" s="17" t="s">
        <v>597</v>
      </c>
      <c r="E11" s="138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39"/>
      <c r="Q11" s="139"/>
      <c r="R11" s="139"/>
      <c r="S11" s="139"/>
      <c r="T11" s="139"/>
      <c r="U11" s="139"/>
      <c r="V11" s="139"/>
      <c r="W11" s="139"/>
      <c r="X11" s="139"/>
      <c r="Y11" s="139"/>
      <c r="Z11" s="139"/>
      <c r="AA11" s="139"/>
      <c r="AB11" s="139"/>
      <c r="AC11" s="139"/>
      <c r="AD11" s="139"/>
    </row>
    <row r="12" spans="1:30">
      <c r="A12" s="17" t="s">
        <v>240</v>
      </c>
      <c r="B12" s="17" t="s">
        <v>5</v>
      </c>
      <c r="C12" s="17" t="s">
        <v>38</v>
      </c>
      <c r="D12" s="17" t="s">
        <v>598</v>
      </c>
      <c r="E12" s="138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</row>
    <row r="13" spans="1:30">
      <c r="A13" s="17" t="s">
        <v>146</v>
      </c>
      <c r="B13" s="17" t="s">
        <v>6</v>
      </c>
      <c r="C13" s="17" t="s">
        <v>39</v>
      </c>
      <c r="D13" s="17" t="s">
        <v>55</v>
      </c>
      <c r="E13" s="138"/>
      <c r="F13" s="139"/>
      <c r="G13" s="139"/>
      <c r="H13" s="139"/>
      <c r="I13" s="139"/>
      <c r="J13" s="139">
        <v>2.1</v>
      </c>
      <c r="K13" s="139"/>
      <c r="L13" s="139"/>
      <c r="M13" s="139"/>
      <c r="N13" s="139">
        <v>0.7</v>
      </c>
      <c r="O13" s="139"/>
      <c r="P13" s="139"/>
      <c r="Q13" s="139"/>
      <c r="R13" s="139"/>
      <c r="S13" s="139"/>
      <c r="T13" s="139">
        <v>11</v>
      </c>
      <c r="U13" s="139"/>
      <c r="V13" s="139"/>
      <c r="W13" s="139">
        <v>5</v>
      </c>
      <c r="X13" s="139"/>
      <c r="Y13" s="139"/>
      <c r="Z13" s="139"/>
      <c r="AA13" s="139">
        <v>17</v>
      </c>
      <c r="AB13" s="139">
        <v>18.054000000000002</v>
      </c>
      <c r="AC13" s="139">
        <v>8</v>
      </c>
      <c r="AD13" s="139">
        <v>18</v>
      </c>
    </row>
    <row r="14" spans="1:30">
      <c r="A14" s="17" t="s">
        <v>281</v>
      </c>
      <c r="B14" s="17" t="s">
        <v>7</v>
      </c>
      <c r="C14" s="17" t="s">
        <v>40</v>
      </c>
      <c r="D14" s="17" t="s">
        <v>54</v>
      </c>
      <c r="E14" s="138"/>
      <c r="F14" s="139"/>
      <c r="G14" s="139"/>
      <c r="H14" s="139"/>
      <c r="I14" s="139"/>
      <c r="J14" s="139">
        <v>1.1000000000000001</v>
      </c>
      <c r="K14" s="139"/>
      <c r="L14" s="139"/>
      <c r="M14" s="139"/>
      <c r="N14" s="139">
        <v>0.5</v>
      </c>
      <c r="O14" s="139"/>
      <c r="P14" s="139"/>
      <c r="Q14" s="139"/>
      <c r="R14" s="139"/>
      <c r="S14" s="139"/>
      <c r="T14" s="139">
        <v>8</v>
      </c>
      <c r="U14" s="139"/>
      <c r="V14" s="139"/>
      <c r="W14" s="139">
        <v>13</v>
      </c>
      <c r="X14" s="139"/>
      <c r="Y14" s="139"/>
      <c r="Z14" s="139"/>
      <c r="AA14" s="139">
        <v>15</v>
      </c>
      <c r="AB14" s="139">
        <v>8</v>
      </c>
      <c r="AC14" s="139">
        <v>7.5</v>
      </c>
      <c r="AD14" s="139">
        <v>13</v>
      </c>
    </row>
    <row r="15" spans="1:30">
      <c r="A15" s="17" t="s">
        <v>151</v>
      </c>
      <c r="B15" s="17" t="s">
        <v>8</v>
      </c>
      <c r="C15" s="17" t="s">
        <v>41</v>
      </c>
      <c r="D15" s="17" t="s">
        <v>53</v>
      </c>
      <c r="E15" s="138"/>
      <c r="F15" s="139"/>
      <c r="G15" s="139"/>
      <c r="H15" s="139"/>
      <c r="I15" s="139"/>
      <c r="J15" s="139">
        <v>10.8</v>
      </c>
      <c r="K15" s="139"/>
      <c r="L15" s="139"/>
      <c r="M15" s="139"/>
      <c r="N15" s="139">
        <v>5.4</v>
      </c>
      <c r="O15" s="139"/>
      <c r="P15" s="139"/>
      <c r="Q15" s="139"/>
      <c r="R15" s="139"/>
      <c r="S15" s="139"/>
      <c r="T15" s="139">
        <v>3</v>
      </c>
      <c r="U15" s="139"/>
      <c r="V15" s="139"/>
      <c r="W15" s="139">
        <v>10</v>
      </c>
      <c r="X15" s="139"/>
      <c r="Y15" s="139"/>
      <c r="Z15" s="139"/>
      <c r="AA15" s="139">
        <v>7</v>
      </c>
      <c r="AB15" s="139">
        <v>8</v>
      </c>
      <c r="AC15" s="139">
        <v>3.7289115646258502</v>
      </c>
      <c r="AD15" s="139">
        <v>11</v>
      </c>
    </row>
    <row r="16" spans="1:30">
      <c r="A16" s="17" t="s">
        <v>149</v>
      </c>
      <c r="B16" s="17" t="s">
        <v>9</v>
      </c>
      <c r="C16" s="17" t="s">
        <v>42</v>
      </c>
      <c r="D16" s="17" t="s">
        <v>52</v>
      </c>
      <c r="E16" s="138">
        <v>1</v>
      </c>
      <c r="F16" s="139">
        <v>7.5</v>
      </c>
      <c r="G16" s="139">
        <v>7.5</v>
      </c>
      <c r="H16" s="139">
        <v>31.5</v>
      </c>
      <c r="I16" s="139">
        <f>0.88*15</f>
        <v>13.2</v>
      </c>
      <c r="J16" s="139">
        <v>54.5</v>
      </c>
      <c r="K16" s="139">
        <v>45.405599425699933</v>
      </c>
      <c r="L16" s="139">
        <v>67.043999999999997</v>
      </c>
      <c r="M16" s="139">
        <v>72.48</v>
      </c>
      <c r="N16" s="139">
        <v>61.7</v>
      </c>
      <c r="O16" s="139">
        <v>90</v>
      </c>
      <c r="P16" s="139"/>
      <c r="Q16" s="139"/>
      <c r="R16" s="139"/>
      <c r="S16" s="139"/>
      <c r="T16" s="139"/>
      <c r="U16" s="139"/>
      <c r="V16" s="139"/>
      <c r="W16" s="139"/>
      <c r="X16" s="139"/>
      <c r="Y16" s="139"/>
      <c r="Z16" s="139"/>
      <c r="AA16" s="139"/>
      <c r="AB16" s="139"/>
      <c r="AC16" s="139"/>
      <c r="AD16" s="139"/>
    </row>
    <row r="17" spans="1:30">
      <c r="A17" s="17" t="s">
        <v>155</v>
      </c>
      <c r="B17" s="17" t="s">
        <v>10</v>
      </c>
      <c r="C17" s="17" t="s">
        <v>43</v>
      </c>
      <c r="D17" s="17" t="s">
        <v>51</v>
      </c>
      <c r="E17" s="138"/>
      <c r="F17" s="139">
        <v>2.5</v>
      </c>
      <c r="G17" s="139">
        <v>2.5</v>
      </c>
      <c r="H17" s="139">
        <v>3.5</v>
      </c>
      <c r="I17" s="139">
        <f>0.12*15</f>
        <v>1.7999999999999998</v>
      </c>
      <c r="J17" s="139">
        <v>6.7</v>
      </c>
      <c r="K17" s="139">
        <v>5.068198133524767</v>
      </c>
      <c r="L17" s="139">
        <v>6.956000000000004</v>
      </c>
      <c r="M17" s="139">
        <v>7.52</v>
      </c>
      <c r="N17" s="139">
        <v>5.4</v>
      </c>
      <c r="O17" s="139">
        <v>10</v>
      </c>
      <c r="P17" s="139"/>
      <c r="Q17" s="139"/>
      <c r="R17" s="139"/>
      <c r="S17" s="139"/>
      <c r="T17" s="139"/>
      <c r="U17" s="139"/>
      <c r="V17" s="139"/>
      <c r="W17" s="139"/>
      <c r="X17" s="139"/>
      <c r="Y17" s="139"/>
      <c r="Z17" s="139"/>
      <c r="AA17" s="139"/>
      <c r="AB17" s="139"/>
      <c r="AC17" s="139"/>
      <c r="AD17" s="139"/>
    </row>
    <row r="18" spans="1:30">
      <c r="A18" s="17" t="s">
        <v>148</v>
      </c>
      <c r="B18" s="17" t="s">
        <v>11</v>
      </c>
      <c r="C18" s="17" t="s">
        <v>44</v>
      </c>
      <c r="D18" s="17" t="s">
        <v>599</v>
      </c>
      <c r="E18" s="138"/>
      <c r="F18" s="139">
        <v>4.5</v>
      </c>
      <c r="G18" s="139"/>
      <c r="H18" s="139">
        <v>4</v>
      </c>
      <c r="I18" s="139"/>
      <c r="J18" s="139">
        <v>14.7</v>
      </c>
      <c r="K18" s="139">
        <v>22.483847810480977</v>
      </c>
      <c r="L18" s="139">
        <v>19.152000000000001</v>
      </c>
      <c r="M18" s="139">
        <v>18.239999999999998</v>
      </c>
      <c r="N18" s="139">
        <v>16.8</v>
      </c>
      <c r="O18" s="139"/>
      <c r="P18" s="139"/>
      <c r="Q18" s="139"/>
      <c r="R18" s="139"/>
      <c r="S18" s="139"/>
      <c r="T18" s="139"/>
      <c r="U18" s="139"/>
      <c r="V18" s="139">
        <v>9</v>
      </c>
      <c r="W18" s="139">
        <v>9</v>
      </c>
      <c r="X18" s="139"/>
      <c r="Y18" s="139"/>
      <c r="Z18" s="139"/>
      <c r="AA18" s="139"/>
      <c r="AB18" s="139">
        <v>4</v>
      </c>
      <c r="AC18" s="139"/>
      <c r="AD18" s="139"/>
    </row>
    <row r="19" spans="1:30">
      <c r="A19" s="17" t="s">
        <v>280</v>
      </c>
      <c r="B19" s="17" t="s">
        <v>12</v>
      </c>
      <c r="C19" s="17" t="s">
        <v>45</v>
      </c>
      <c r="D19" s="17" t="s">
        <v>600</v>
      </c>
      <c r="E19" s="138"/>
      <c r="F19" s="139">
        <v>5.5</v>
      </c>
      <c r="G19" s="139"/>
      <c r="H19" s="139">
        <v>1</v>
      </c>
      <c r="I19" s="139"/>
      <c r="J19" s="139">
        <v>1.5</v>
      </c>
      <c r="K19" s="139">
        <v>2.4982053122756636</v>
      </c>
      <c r="L19" s="139">
        <v>1.8479999999999994</v>
      </c>
      <c r="M19" s="139">
        <v>1.76</v>
      </c>
      <c r="N19" s="139">
        <v>1.6</v>
      </c>
      <c r="O19" s="139"/>
      <c r="P19" s="139"/>
      <c r="Q19" s="139"/>
      <c r="R19" s="139"/>
      <c r="S19" s="139"/>
      <c r="T19" s="139"/>
      <c r="U19" s="139"/>
      <c r="V19" s="139">
        <v>9</v>
      </c>
      <c r="W19" s="139">
        <v>9</v>
      </c>
      <c r="X19" s="139"/>
      <c r="Y19" s="139"/>
      <c r="Z19" s="139"/>
      <c r="AA19" s="139"/>
      <c r="AB19" s="139">
        <v>2</v>
      </c>
      <c r="AC19" s="139"/>
      <c r="AD19" s="139">
        <v>4</v>
      </c>
    </row>
    <row r="20" spans="1:30" s="4" customFormat="1">
      <c r="A20" s="73" t="s">
        <v>462</v>
      </c>
      <c r="B20" s="80" t="s">
        <v>464</v>
      </c>
      <c r="C20" s="38" t="s">
        <v>467</v>
      </c>
      <c r="D20" s="79" t="s">
        <v>601</v>
      </c>
      <c r="E20" s="140"/>
      <c r="F20" s="141"/>
      <c r="G20" s="141"/>
      <c r="H20" s="141"/>
      <c r="I20" s="141"/>
      <c r="J20" s="141"/>
      <c r="K20" s="141"/>
      <c r="L20" s="141"/>
      <c r="M20" s="141"/>
      <c r="N20" s="141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41"/>
      <c r="AA20" s="141"/>
      <c r="AB20" s="141"/>
      <c r="AC20" s="141"/>
      <c r="AD20" s="141"/>
    </row>
    <row r="21" spans="1:30">
      <c r="A21" s="17" t="s">
        <v>241</v>
      </c>
      <c r="B21" s="17" t="s">
        <v>317</v>
      </c>
      <c r="C21" s="17" t="s">
        <v>46</v>
      </c>
      <c r="D21" s="17" t="s">
        <v>605</v>
      </c>
      <c r="E21" s="138">
        <v>32.25</v>
      </c>
      <c r="F21" s="139">
        <v>25.6</v>
      </c>
      <c r="G21" s="139">
        <v>28</v>
      </c>
      <c r="H21" s="139">
        <v>37.6</v>
      </c>
      <c r="I21" s="139">
        <f>85*0.91</f>
        <v>77.350000000000009</v>
      </c>
      <c r="J21" s="139">
        <v>7.4</v>
      </c>
      <c r="K21" s="139">
        <v>20.028715003589372</v>
      </c>
      <c r="L21" s="139">
        <v>2.88</v>
      </c>
      <c r="M21" s="139"/>
      <c r="N21" s="139">
        <v>6.7</v>
      </c>
      <c r="O21" s="139"/>
      <c r="P21" s="139"/>
      <c r="Q21" s="139"/>
      <c r="R21" s="139"/>
      <c r="S21" s="139"/>
      <c r="T21" s="139"/>
      <c r="U21" s="139"/>
      <c r="V21" s="139">
        <v>5</v>
      </c>
      <c r="W21" s="139">
        <v>5</v>
      </c>
      <c r="X21" s="139"/>
      <c r="Y21" s="139"/>
      <c r="Z21" s="139"/>
      <c r="AA21" s="139">
        <v>15</v>
      </c>
      <c r="AB21" s="139">
        <v>19.5</v>
      </c>
      <c r="AC21" s="139">
        <v>7.5</v>
      </c>
      <c r="AD21" s="139">
        <v>24</v>
      </c>
    </row>
    <row r="22" spans="1:30">
      <c r="A22" s="17" t="s">
        <v>282</v>
      </c>
      <c r="B22" s="17" t="s">
        <v>318</v>
      </c>
      <c r="C22" s="17" t="s">
        <v>47</v>
      </c>
      <c r="D22" s="17" t="s">
        <v>606</v>
      </c>
      <c r="E22" s="138">
        <v>10.75</v>
      </c>
      <c r="F22" s="139">
        <v>6.4</v>
      </c>
      <c r="G22" s="139">
        <v>7</v>
      </c>
      <c r="H22" s="139">
        <v>9.4</v>
      </c>
      <c r="I22" s="139">
        <f>0.09*85</f>
        <v>7.6499999999999995</v>
      </c>
      <c r="J22" s="139">
        <v>1.2</v>
      </c>
      <c r="K22" s="139"/>
      <c r="L22" s="139">
        <v>0.12</v>
      </c>
      <c r="M22" s="139"/>
      <c r="N22" s="139">
        <v>1.2</v>
      </c>
      <c r="O22" s="139"/>
      <c r="P22" s="139"/>
      <c r="Q22" s="139"/>
      <c r="R22" s="139"/>
      <c r="S22" s="139"/>
      <c r="T22" s="139"/>
      <c r="U22" s="139"/>
      <c r="V22" s="139">
        <v>9</v>
      </c>
      <c r="W22" s="139">
        <v>11</v>
      </c>
      <c r="X22" s="139"/>
      <c r="Y22" s="139"/>
      <c r="Z22" s="139"/>
      <c r="AA22" s="139">
        <v>3</v>
      </c>
      <c r="AB22" s="139">
        <v>5.4009999999999998</v>
      </c>
      <c r="AC22" s="139">
        <v>1.3583333333333334</v>
      </c>
      <c r="AD22" s="139">
        <v>2</v>
      </c>
    </row>
    <row r="23" spans="1:30">
      <c r="A23" s="17" t="s">
        <v>147</v>
      </c>
      <c r="B23" s="17" t="s">
        <v>319</v>
      </c>
      <c r="C23" s="17" t="s">
        <v>250</v>
      </c>
      <c r="D23" s="17" t="s">
        <v>602</v>
      </c>
      <c r="E23" s="138"/>
      <c r="F23" s="139"/>
      <c r="G23" s="139"/>
      <c r="H23" s="139"/>
      <c r="I23" s="139"/>
      <c r="J23" s="142"/>
      <c r="K23" s="139"/>
      <c r="L23" s="139"/>
      <c r="M23" s="139"/>
      <c r="N23" s="142"/>
      <c r="O23" s="139"/>
      <c r="P23" s="139"/>
      <c r="Q23" s="139"/>
      <c r="R23" s="139"/>
      <c r="S23" s="139"/>
      <c r="T23" s="139"/>
      <c r="U23" s="139"/>
      <c r="V23" s="139"/>
      <c r="W23" s="139">
        <v>2</v>
      </c>
      <c r="X23" s="139"/>
      <c r="Y23" s="139">
        <v>8</v>
      </c>
      <c r="Z23" s="139"/>
      <c r="AA23" s="139">
        <v>12</v>
      </c>
      <c r="AB23" s="139">
        <v>17</v>
      </c>
      <c r="AC23" s="139">
        <v>10</v>
      </c>
      <c r="AD23" s="139">
        <v>18</v>
      </c>
    </row>
    <row r="24" spans="1:30" s="4" customFormat="1">
      <c r="A24" s="73" t="s">
        <v>425</v>
      </c>
      <c r="B24" s="79" t="s">
        <v>466</v>
      </c>
      <c r="C24" s="38" t="s">
        <v>468</v>
      </c>
      <c r="D24" s="17" t="s">
        <v>603</v>
      </c>
      <c r="E24" s="140"/>
      <c r="F24" s="141"/>
      <c r="G24" s="141"/>
      <c r="H24" s="141"/>
      <c r="I24" s="141"/>
      <c r="J24" s="141"/>
      <c r="K24" s="141"/>
      <c r="L24" s="141"/>
      <c r="M24" s="141"/>
      <c r="N24" s="141"/>
      <c r="O24" s="141"/>
      <c r="P24" s="141"/>
      <c r="Q24" s="141"/>
      <c r="R24" s="141"/>
      <c r="S24" s="141"/>
      <c r="T24" s="141"/>
      <c r="U24" s="141"/>
      <c r="V24" s="141"/>
      <c r="W24" s="141"/>
      <c r="X24" s="141"/>
      <c r="Y24" s="141"/>
      <c r="Z24" s="141"/>
      <c r="AA24" s="141"/>
      <c r="AB24" s="141"/>
      <c r="AC24" s="141"/>
      <c r="AD24" s="141"/>
    </row>
    <row r="25" spans="1:30" s="4" customFormat="1">
      <c r="A25" s="73" t="s">
        <v>463</v>
      </c>
      <c r="B25" s="80" t="s">
        <v>465</v>
      </c>
      <c r="C25" s="38" t="s">
        <v>469</v>
      </c>
      <c r="D25" s="79" t="s">
        <v>604</v>
      </c>
      <c r="E25" s="140"/>
      <c r="F25" s="141"/>
      <c r="G25" s="141"/>
      <c r="H25" s="141"/>
      <c r="I25" s="141"/>
      <c r="J25" s="141"/>
      <c r="K25" s="141"/>
      <c r="L25" s="141"/>
      <c r="M25" s="141"/>
      <c r="N25" s="141"/>
      <c r="O25" s="141"/>
      <c r="P25" s="141"/>
      <c r="Q25" s="141"/>
      <c r="R25" s="141"/>
      <c r="S25" s="141"/>
      <c r="T25" s="141"/>
      <c r="U25" s="141"/>
      <c r="V25" s="141"/>
      <c r="W25" s="141"/>
      <c r="X25" s="141"/>
      <c r="Y25" s="141"/>
      <c r="Z25" s="141"/>
      <c r="AA25" s="141"/>
      <c r="AB25" s="141"/>
      <c r="AC25" s="141"/>
      <c r="AD25" s="141"/>
    </row>
    <row r="26" spans="1:30">
      <c r="A26" s="17" t="s">
        <v>157</v>
      </c>
      <c r="B26" s="17" t="s">
        <v>320</v>
      </c>
      <c r="C26" s="17" t="s">
        <v>77</v>
      </c>
      <c r="D26" s="17" t="s">
        <v>335</v>
      </c>
      <c r="E26" s="138"/>
      <c r="F26" s="139"/>
      <c r="G26" s="139"/>
      <c r="H26" s="139"/>
      <c r="I26" s="139"/>
      <c r="J26" s="139"/>
      <c r="K26" s="139"/>
      <c r="L26" s="139"/>
      <c r="M26" s="139"/>
      <c r="N26" s="139"/>
      <c r="O26" s="139"/>
      <c r="P26" s="139"/>
      <c r="Q26" s="139"/>
      <c r="R26" s="139"/>
      <c r="S26" s="139"/>
      <c r="T26" s="139"/>
      <c r="U26" s="139"/>
      <c r="V26" s="139"/>
      <c r="W26" s="139"/>
      <c r="X26" s="139">
        <v>11</v>
      </c>
      <c r="Y26" s="139">
        <v>11</v>
      </c>
      <c r="Z26" s="139">
        <v>4</v>
      </c>
      <c r="AA26" s="139"/>
      <c r="AB26" s="139"/>
      <c r="AC26" s="139">
        <v>5.5</v>
      </c>
      <c r="AD26" s="139"/>
    </row>
    <row r="27" spans="1:30">
      <c r="A27" s="17" t="s">
        <v>153</v>
      </c>
      <c r="B27" s="17" t="s">
        <v>321</v>
      </c>
      <c r="C27" s="17" t="s">
        <v>78</v>
      </c>
      <c r="D27" s="17" t="s">
        <v>336</v>
      </c>
      <c r="E27" s="138"/>
      <c r="F27" s="139"/>
      <c r="G27" s="139"/>
      <c r="H27" s="139"/>
      <c r="I27" s="139"/>
      <c r="J27" s="139"/>
      <c r="K27" s="139"/>
      <c r="L27" s="139"/>
      <c r="M27" s="139"/>
      <c r="N27" s="139"/>
      <c r="O27" s="139"/>
      <c r="P27" s="139"/>
      <c r="Q27" s="139"/>
      <c r="R27" s="139"/>
      <c r="S27" s="139"/>
      <c r="T27" s="139">
        <v>17</v>
      </c>
      <c r="U27" s="139"/>
      <c r="V27" s="139"/>
      <c r="W27" s="139"/>
      <c r="X27" s="139">
        <v>6</v>
      </c>
      <c r="Y27" s="139">
        <v>6</v>
      </c>
      <c r="Z27" s="139">
        <v>4</v>
      </c>
      <c r="AA27" s="139">
        <v>10</v>
      </c>
      <c r="AB27" s="139"/>
      <c r="AC27" s="139">
        <v>8</v>
      </c>
      <c r="AD27" s="139"/>
    </row>
    <row r="28" spans="1:30">
      <c r="A28" s="17" t="s">
        <v>242</v>
      </c>
      <c r="B28" s="17" t="s">
        <v>322</v>
      </c>
      <c r="C28" s="17" t="s">
        <v>251</v>
      </c>
      <c r="D28" s="17" t="s">
        <v>337</v>
      </c>
      <c r="E28" s="138"/>
      <c r="F28" s="139"/>
      <c r="G28" s="139"/>
      <c r="H28" s="139"/>
      <c r="I28" s="139"/>
      <c r="J28" s="139"/>
      <c r="K28" s="139"/>
      <c r="L28" s="139"/>
      <c r="M28" s="139"/>
      <c r="N28" s="139"/>
      <c r="O28" s="139"/>
      <c r="P28" s="139"/>
      <c r="Q28" s="139"/>
      <c r="R28" s="139">
        <v>12</v>
      </c>
      <c r="S28" s="139">
        <v>9</v>
      </c>
      <c r="T28" s="139">
        <v>18</v>
      </c>
      <c r="U28" s="139">
        <v>13</v>
      </c>
      <c r="V28" s="139">
        <v>2</v>
      </c>
      <c r="W28" s="139"/>
      <c r="X28" s="139">
        <v>12</v>
      </c>
      <c r="Y28" s="139">
        <v>14</v>
      </c>
      <c r="Z28" s="139">
        <v>15</v>
      </c>
      <c r="AA28" s="139">
        <v>4</v>
      </c>
      <c r="AB28" s="139"/>
      <c r="AC28" s="139">
        <v>9.112244897959183</v>
      </c>
      <c r="AD28" s="139"/>
    </row>
    <row r="29" spans="1:30">
      <c r="A29" s="17" t="s">
        <v>154</v>
      </c>
      <c r="B29" s="17" t="s">
        <v>323</v>
      </c>
      <c r="C29" s="17" t="s">
        <v>252</v>
      </c>
      <c r="D29" s="17" t="s">
        <v>338</v>
      </c>
      <c r="E29" s="138"/>
      <c r="F29" s="139"/>
      <c r="G29" s="139"/>
      <c r="H29" s="139"/>
      <c r="I29" s="139"/>
      <c r="J29" s="139"/>
      <c r="K29" s="139"/>
      <c r="L29" s="139"/>
      <c r="M29" s="139"/>
      <c r="N29" s="139"/>
      <c r="O29" s="139"/>
      <c r="P29" s="139"/>
      <c r="Q29" s="139"/>
      <c r="R29" s="139">
        <v>5</v>
      </c>
      <c r="S29" s="139">
        <v>16</v>
      </c>
      <c r="T29" s="139">
        <v>5</v>
      </c>
      <c r="U29" s="139">
        <v>25</v>
      </c>
      <c r="V29" s="139">
        <v>7</v>
      </c>
      <c r="W29" s="139"/>
      <c r="X29" s="139">
        <v>17</v>
      </c>
      <c r="Y29" s="139">
        <v>17</v>
      </c>
      <c r="Z29" s="139">
        <v>5</v>
      </c>
      <c r="AA29" s="139">
        <v>2</v>
      </c>
      <c r="AB29" s="139"/>
      <c r="AC29" s="139">
        <v>9.5</v>
      </c>
      <c r="AD29" s="139"/>
    </row>
    <row r="30" spans="1:30">
      <c r="A30" s="17" t="s">
        <v>239</v>
      </c>
      <c r="B30" s="17" t="s">
        <v>324</v>
      </c>
      <c r="C30" s="17" t="s">
        <v>79</v>
      </c>
      <c r="D30" s="17" t="s">
        <v>98</v>
      </c>
      <c r="E30" s="138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>
        <v>15</v>
      </c>
      <c r="T30" s="139">
        <v>14</v>
      </c>
      <c r="U30" s="139">
        <v>12</v>
      </c>
      <c r="V30" s="139">
        <v>9</v>
      </c>
      <c r="W30" s="139"/>
      <c r="X30" s="139"/>
      <c r="Y30" s="139"/>
      <c r="Z30" s="139"/>
      <c r="AA30" s="139"/>
      <c r="AB30" s="139"/>
      <c r="AC30" s="139"/>
      <c r="AD30" s="139"/>
    </row>
    <row r="31" spans="1:30">
      <c r="A31" s="17" t="s">
        <v>244</v>
      </c>
      <c r="B31" s="17" t="s">
        <v>325</v>
      </c>
      <c r="C31" s="17" t="s">
        <v>80</v>
      </c>
      <c r="D31" s="17" t="s">
        <v>99</v>
      </c>
      <c r="E31" s="138"/>
      <c r="F31" s="139"/>
      <c r="G31" s="139"/>
      <c r="H31" s="139"/>
      <c r="I31" s="139"/>
      <c r="J31" s="139"/>
      <c r="K31" s="139"/>
      <c r="L31" s="139"/>
      <c r="M31" s="139"/>
      <c r="N31" s="139"/>
      <c r="O31" s="139"/>
      <c r="P31" s="139"/>
      <c r="Q31" s="139"/>
      <c r="R31" s="139"/>
      <c r="S31" s="139">
        <v>10</v>
      </c>
      <c r="T31" s="139"/>
      <c r="U31" s="139">
        <v>12</v>
      </c>
      <c r="V31" s="139">
        <v>7</v>
      </c>
      <c r="W31" s="139"/>
      <c r="X31" s="139"/>
      <c r="Y31" s="139"/>
      <c r="Z31" s="139"/>
      <c r="AA31" s="139">
        <v>8</v>
      </c>
      <c r="AB31" s="139"/>
      <c r="AC31" s="139">
        <v>3.8333333333333335</v>
      </c>
      <c r="AD31" s="139"/>
    </row>
    <row r="32" spans="1:30">
      <c r="A32" s="17" t="s">
        <v>156</v>
      </c>
      <c r="B32" s="17" t="s">
        <v>326</v>
      </c>
      <c r="C32" s="17" t="s">
        <v>314</v>
      </c>
      <c r="D32" s="17" t="s">
        <v>315</v>
      </c>
      <c r="E32" s="138"/>
      <c r="F32" s="139"/>
      <c r="G32" s="139"/>
      <c r="H32" s="139"/>
      <c r="I32" s="139"/>
      <c r="J32" s="139"/>
      <c r="K32" s="139"/>
      <c r="L32" s="139"/>
      <c r="M32" s="139"/>
      <c r="N32" s="139"/>
      <c r="O32" s="139"/>
      <c r="P32" s="139"/>
      <c r="Q32" s="139"/>
      <c r="R32" s="139"/>
      <c r="S32" s="139"/>
      <c r="T32" s="139"/>
      <c r="U32" s="139"/>
      <c r="V32" s="139"/>
      <c r="W32" s="139"/>
      <c r="X32" s="139"/>
      <c r="Y32" s="139"/>
      <c r="Z32" s="139"/>
      <c r="AA32" s="139"/>
      <c r="AB32" s="139"/>
      <c r="AC32" s="139"/>
      <c r="AD32" s="139"/>
    </row>
    <row r="33" spans="1:30">
      <c r="A33" s="17" t="s">
        <v>144</v>
      </c>
      <c r="B33" s="17" t="s">
        <v>327</v>
      </c>
      <c r="C33" s="17" t="s">
        <v>76</v>
      </c>
      <c r="D33" s="17" t="s">
        <v>607</v>
      </c>
      <c r="E33" s="138"/>
      <c r="F33" s="139"/>
      <c r="G33" s="139"/>
      <c r="H33" s="139"/>
      <c r="I33" s="139"/>
      <c r="J33" s="139"/>
      <c r="K33" s="139"/>
      <c r="L33" s="139"/>
      <c r="M33" s="139"/>
      <c r="N33" s="139"/>
      <c r="O33" s="139"/>
      <c r="P33" s="139"/>
      <c r="Q33" s="139"/>
      <c r="R33" s="139"/>
      <c r="S33" s="139"/>
      <c r="T33" s="139"/>
      <c r="U33" s="139"/>
      <c r="V33" s="139"/>
      <c r="W33" s="139"/>
      <c r="X33" s="139"/>
      <c r="Y33" s="139"/>
      <c r="Z33" s="139"/>
      <c r="AA33" s="139"/>
      <c r="AB33" s="139"/>
      <c r="AC33" s="139"/>
      <c r="AD33" s="139"/>
    </row>
    <row r="34" spans="1:30">
      <c r="A34" s="17" t="s">
        <v>249</v>
      </c>
      <c r="B34" s="17" t="s">
        <v>328</v>
      </c>
      <c r="C34" s="17" t="s">
        <v>276</v>
      </c>
      <c r="D34" s="17" t="s">
        <v>56</v>
      </c>
      <c r="E34" s="138"/>
      <c r="F34" s="139"/>
      <c r="G34" s="139"/>
      <c r="H34" s="139"/>
      <c r="I34" s="139"/>
      <c r="J34" s="139"/>
      <c r="K34" s="139"/>
      <c r="L34" s="139"/>
      <c r="M34" s="139"/>
      <c r="N34" s="139"/>
      <c r="O34" s="139"/>
      <c r="P34" s="139"/>
      <c r="Q34" s="139"/>
      <c r="R34" s="139"/>
      <c r="S34" s="139"/>
      <c r="T34" s="139"/>
      <c r="U34" s="139"/>
      <c r="V34" s="139"/>
      <c r="W34" s="139"/>
      <c r="X34" s="139"/>
      <c r="Y34" s="139"/>
      <c r="Z34" s="139"/>
      <c r="AA34" s="139"/>
      <c r="AB34" s="139"/>
      <c r="AC34" s="139"/>
      <c r="AD34" s="139"/>
    </row>
    <row r="35" spans="1:30">
      <c r="A35" s="17" t="s">
        <v>233</v>
      </c>
      <c r="B35" s="17" t="s">
        <v>329</v>
      </c>
      <c r="C35" s="17" t="s">
        <v>275</v>
      </c>
      <c r="D35" s="17" t="s">
        <v>57</v>
      </c>
      <c r="E35" s="138"/>
      <c r="F35" s="139"/>
      <c r="G35" s="139"/>
      <c r="H35" s="139"/>
      <c r="I35" s="139"/>
      <c r="J35" s="139"/>
      <c r="K35" s="139"/>
      <c r="L35" s="139"/>
      <c r="M35" s="139"/>
      <c r="N35" s="139"/>
      <c r="O35" s="139"/>
      <c r="P35" s="139"/>
      <c r="Q35" s="139"/>
      <c r="R35" s="139"/>
      <c r="S35" s="139"/>
      <c r="T35" s="139"/>
      <c r="U35" s="139"/>
      <c r="V35" s="139"/>
      <c r="W35" s="139"/>
      <c r="X35" s="139"/>
      <c r="Y35" s="139"/>
      <c r="Z35" s="139"/>
      <c r="AA35" s="139"/>
      <c r="AB35" s="139"/>
      <c r="AC35" s="139"/>
      <c r="AD35" s="139"/>
    </row>
    <row r="36" spans="1:30">
      <c r="A36" s="17" t="s">
        <v>286</v>
      </c>
      <c r="B36" s="17" t="s">
        <v>330</v>
      </c>
      <c r="C36" s="17" t="s">
        <v>301</v>
      </c>
      <c r="D36" s="17" t="s">
        <v>133</v>
      </c>
      <c r="E36" s="138"/>
      <c r="F36" s="139"/>
      <c r="G36" s="139"/>
      <c r="H36" s="139"/>
      <c r="I36" s="139"/>
      <c r="J36" s="139"/>
      <c r="K36" s="139"/>
      <c r="L36" s="139"/>
      <c r="M36" s="139"/>
      <c r="N36" s="139"/>
      <c r="O36" s="139"/>
      <c r="P36" s="139">
        <v>2</v>
      </c>
      <c r="Q36" s="139">
        <v>2</v>
      </c>
      <c r="R36" s="139">
        <v>2</v>
      </c>
      <c r="S36" s="139">
        <v>2</v>
      </c>
      <c r="T36" s="139"/>
      <c r="U36" s="139"/>
      <c r="V36" s="139"/>
      <c r="W36" s="139"/>
      <c r="X36" s="139">
        <v>2</v>
      </c>
      <c r="Y36" s="139">
        <v>2</v>
      </c>
      <c r="Z36" s="139">
        <v>2</v>
      </c>
      <c r="AA36" s="139">
        <v>2</v>
      </c>
      <c r="AB36" s="139">
        <v>2</v>
      </c>
      <c r="AC36" s="139">
        <v>2</v>
      </c>
      <c r="AD36" s="139">
        <v>2</v>
      </c>
    </row>
    <row r="37" spans="1:30">
      <c r="A37" s="17" t="s">
        <v>215</v>
      </c>
      <c r="B37" s="17" t="s">
        <v>331</v>
      </c>
      <c r="C37" s="17" t="s">
        <v>302</v>
      </c>
      <c r="D37" s="17" t="s">
        <v>334</v>
      </c>
      <c r="E37" s="138"/>
      <c r="F37" s="139"/>
      <c r="G37" s="139"/>
      <c r="H37" s="139"/>
      <c r="I37" s="139"/>
      <c r="J37" s="139"/>
      <c r="K37" s="139"/>
      <c r="L37" s="139"/>
      <c r="M37" s="139"/>
      <c r="N37" s="139"/>
      <c r="O37" s="139"/>
      <c r="P37" s="139"/>
      <c r="Q37" s="139"/>
      <c r="R37" s="139"/>
      <c r="S37" s="139"/>
      <c r="T37" s="139"/>
      <c r="U37" s="139"/>
      <c r="V37" s="139"/>
      <c r="W37" s="139"/>
      <c r="X37" s="139"/>
      <c r="Y37" s="139"/>
      <c r="Z37" s="139"/>
      <c r="AA37" s="139"/>
      <c r="AB37" s="139"/>
      <c r="AC37" s="139"/>
      <c r="AD37" s="139"/>
    </row>
    <row r="38" spans="1:30">
      <c r="A38" s="17" t="s">
        <v>150</v>
      </c>
      <c r="B38" s="17" t="s">
        <v>332</v>
      </c>
      <c r="C38" s="17" t="s">
        <v>303</v>
      </c>
      <c r="D38" s="17" t="s">
        <v>131</v>
      </c>
      <c r="E38" s="138"/>
      <c r="F38" s="139"/>
      <c r="G38" s="139"/>
      <c r="H38" s="139"/>
      <c r="I38" s="139"/>
      <c r="J38" s="139"/>
      <c r="K38" s="139"/>
      <c r="L38" s="139"/>
      <c r="M38" s="139"/>
      <c r="N38" s="139"/>
      <c r="O38" s="139"/>
      <c r="P38" s="139"/>
      <c r="Q38" s="139"/>
      <c r="R38" s="139"/>
      <c r="S38" s="139"/>
      <c r="T38" s="139"/>
      <c r="U38" s="139"/>
      <c r="V38" s="139"/>
      <c r="W38" s="139"/>
      <c r="X38" s="139"/>
      <c r="Y38" s="139"/>
      <c r="Z38" s="139"/>
      <c r="AA38" s="139"/>
      <c r="AB38" s="139"/>
      <c r="AC38" s="139"/>
      <c r="AD38" s="139"/>
    </row>
    <row r="39" spans="1:30">
      <c r="A39" s="17" t="s">
        <v>228</v>
      </c>
      <c r="B39" s="17" t="s">
        <v>333</v>
      </c>
      <c r="C39" s="17" t="s">
        <v>304</v>
      </c>
      <c r="D39" s="17" t="s">
        <v>132</v>
      </c>
      <c r="E39" s="138"/>
      <c r="F39" s="139"/>
      <c r="G39" s="139"/>
      <c r="H39" s="139"/>
      <c r="I39" s="139"/>
      <c r="J39" s="139"/>
      <c r="K39" s="139"/>
      <c r="L39" s="139"/>
      <c r="M39" s="139"/>
      <c r="N39" s="139"/>
      <c r="O39" s="139"/>
      <c r="P39" s="139">
        <v>18</v>
      </c>
      <c r="Q39" s="139">
        <v>16</v>
      </c>
      <c r="R39" s="139">
        <v>11</v>
      </c>
      <c r="S39" s="139">
        <v>2</v>
      </c>
      <c r="T39" s="139"/>
      <c r="U39" s="139"/>
      <c r="V39" s="139"/>
      <c r="W39" s="139"/>
      <c r="X39" s="139">
        <v>6</v>
      </c>
      <c r="Y39" s="139">
        <v>5</v>
      </c>
      <c r="Z39" s="139">
        <v>8</v>
      </c>
      <c r="AA39" s="139"/>
      <c r="AB39" s="139"/>
      <c r="AC39" s="139">
        <v>2.6666666666666665</v>
      </c>
      <c r="AD39" s="139"/>
    </row>
    <row r="40" spans="1:30">
      <c r="A40" s="17" t="s">
        <v>229</v>
      </c>
      <c r="B40" s="17" t="s">
        <v>16</v>
      </c>
      <c r="C40" s="17" t="s">
        <v>305</v>
      </c>
      <c r="D40" s="17" t="s">
        <v>58</v>
      </c>
      <c r="E40" s="138"/>
      <c r="F40" s="139"/>
      <c r="G40" s="139"/>
      <c r="H40" s="139"/>
      <c r="I40" s="139"/>
      <c r="J40" s="139"/>
      <c r="K40" s="139"/>
      <c r="L40" s="139"/>
      <c r="M40" s="139"/>
      <c r="N40" s="139"/>
      <c r="O40" s="139"/>
      <c r="P40" s="139">
        <v>10</v>
      </c>
      <c r="Q40" s="139">
        <v>8</v>
      </c>
      <c r="R40" s="139">
        <v>8</v>
      </c>
      <c r="S40" s="139">
        <v>3</v>
      </c>
      <c r="T40" s="139"/>
      <c r="U40" s="139"/>
      <c r="V40" s="139"/>
      <c r="W40" s="139"/>
      <c r="X40" s="139">
        <v>3</v>
      </c>
      <c r="Y40" s="139">
        <v>4</v>
      </c>
      <c r="Z40" s="139">
        <v>8</v>
      </c>
      <c r="AA40" s="139"/>
      <c r="AB40" s="139"/>
      <c r="AC40" s="139">
        <v>2</v>
      </c>
      <c r="AD40" s="139"/>
    </row>
    <row r="41" spans="1:30">
      <c r="A41" s="17" t="s">
        <v>159</v>
      </c>
      <c r="B41" s="17" t="s">
        <v>17</v>
      </c>
      <c r="C41" s="17" t="s">
        <v>71</v>
      </c>
      <c r="D41" s="17" t="s">
        <v>59</v>
      </c>
      <c r="E41" s="138"/>
      <c r="F41" s="139"/>
      <c r="G41" s="139"/>
      <c r="H41" s="139"/>
      <c r="I41" s="139"/>
      <c r="J41" s="139"/>
      <c r="K41" s="139"/>
      <c r="L41" s="139"/>
      <c r="M41" s="139"/>
      <c r="N41" s="139"/>
      <c r="O41" s="139"/>
      <c r="P41" s="139"/>
      <c r="Q41" s="139"/>
      <c r="R41" s="139"/>
      <c r="S41" s="139"/>
      <c r="T41" s="139"/>
      <c r="U41" s="139"/>
      <c r="V41" s="139"/>
      <c r="W41" s="139"/>
      <c r="X41" s="139"/>
      <c r="Y41" s="139"/>
      <c r="Z41" s="139"/>
      <c r="AA41" s="139"/>
      <c r="AB41" s="139"/>
      <c r="AC41" s="139"/>
      <c r="AD41" s="139"/>
    </row>
    <row r="42" spans="1:30">
      <c r="A42" s="17" t="s">
        <v>142</v>
      </c>
      <c r="B42" s="17" t="s">
        <v>18</v>
      </c>
      <c r="C42" s="17" t="s">
        <v>71</v>
      </c>
      <c r="D42" s="17" t="s">
        <v>61</v>
      </c>
      <c r="E42" s="138"/>
      <c r="F42" s="139"/>
      <c r="G42" s="139"/>
      <c r="H42" s="139"/>
      <c r="I42" s="139"/>
      <c r="J42" s="139"/>
      <c r="K42" s="139"/>
      <c r="L42" s="139"/>
      <c r="M42" s="139"/>
      <c r="N42" s="139"/>
      <c r="O42" s="139"/>
      <c r="P42" s="139"/>
      <c r="Q42" s="139"/>
      <c r="R42" s="139"/>
      <c r="S42" s="139"/>
      <c r="T42" s="139">
        <v>4</v>
      </c>
      <c r="U42" s="139"/>
      <c r="V42" s="139"/>
      <c r="W42" s="139"/>
      <c r="X42" s="139"/>
      <c r="Y42" s="139"/>
      <c r="Z42" s="139"/>
      <c r="AA42" s="139"/>
      <c r="AB42" s="139">
        <v>8</v>
      </c>
      <c r="AC42" s="139"/>
      <c r="AD42" s="139"/>
    </row>
    <row r="43" spans="1:30">
      <c r="A43" s="17" t="s">
        <v>285</v>
      </c>
      <c r="B43" s="17" t="s">
        <v>19</v>
      </c>
      <c r="C43" s="17" t="s">
        <v>71</v>
      </c>
      <c r="D43" s="17" t="s">
        <v>60</v>
      </c>
      <c r="E43" s="138"/>
      <c r="F43" s="139"/>
      <c r="G43" s="139"/>
      <c r="H43" s="139"/>
      <c r="I43" s="139"/>
      <c r="J43" s="139"/>
      <c r="K43" s="139"/>
      <c r="L43" s="139"/>
      <c r="M43" s="139"/>
      <c r="N43" s="139"/>
      <c r="O43" s="139"/>
      <c r="P43" s="139"/>
      <c r="Q43" s="139"/>
      <c r="R43" s="139"/>
      <c r="S43" s="139"/>
      <c r="T43" s="139"/>
      <c r="U43" s="139"/>
      <c r="V43" s="139"/>
      <c r="W43" s="139"/>
      <c r="X43" s="139"/>
      <c r="Y43" s="139"/>
      <c r="Z43" s="139">
        <v>5</v>
      </c>
      <c r="AA43" s="139"/>
      <c r="AB43" s="139"/>
      <c r="AC43" s="139"/>
      <c r="AD43" s="139"/>
    </row>
    <row r="44" spans="1:30">
      <c r="A44" s="17" t="s">
        <v>141</v>
      </c>
      <c r="B44" s="17" t="s">
        <v>20</v>
      </c>
      <c r="C44" s="17" t="s">
        <v>306</v>
      </c>
      <c r="D44" s="17" t="s">
        <v>62</v>
      </c>
      <c r="E44" s="138"/>
      <c r="F44" s="139"/>
      <c r="G44" s="139"/>
      <c r="H44" s="139"/>
      <c r="I44" s="139"/>
      <c r="J44" s="139"/>
      <c r="K44" s="139"/>
      <c r="L44" s="139"/>
      <c r="M44" s="139"/>
      <c r="N44" s="139"/>
      <c r="O44" s="139"/>
      <c r="P44" s="139"/>
      <c r="Q44" s="139"/>
      <c r="R44" s="139">
        <v>32</v>
      </c>
      <c r="S44" s="139">
        <v>18</v>
      </c>
      <c r="T44" s="139"/>
      <c r="U44" s="139"/>
      <c r="V44" s="139"/>
      <c r="W44" s="139"/>
      <c r="X44" s="139"/>
      <c r="Y44" s="139"/>
      <c r="Z44" s="139">
        <v>23</v>
      </c>
      <c r="AA44" s="139"/>
      <c r="AB44" s="139"/>
      <c r="AC44" s="139"/>
      <c r="AD44" s="139"/>
    </row>
    <row r="45" spans="1:30">
      <c r="A45" s="17" t="s">
        <v>236</v>
      </c>
      <c r="B45" s="17" t="s">
        <v>21</v>
      </c>
      <c r="C45" s="17" t="s">
        <v>72</v>
      </c>
      <c r="D45" s="17" t="s">
        <v>100</v>
      </c>
      <c r="E45" s="138"/>
      <c r="F45" s="139"/>
      <c r="G45" s="139"/>
      <c r="H45" s="139"/>
      <c r="I45" s="139"/>
      <c r="J45" s="139"/>
      <c r="K45" s="139"/>
      <c r="L45" s="139"/>
      <c r="M45" s="139"/>
      <c r="N45" s="139"/>
      <c r="O45" s="139"/>
      <c r="P45" s="139"/>
      <c r="Q45" s="139"/>
      <c r="R45" s="139"/>
      <c r="S45" s="139"/>
      <c r="T45" s="139"/>
      <c r="U45" s="139"/>
      <c r="V45" s="139"/>
      <c r="W45" s="139"/>
      <c r="X45" s="139">
        <v>30</v>
      </c>
      <c r="Y45" s="139">
        <v>28</v>
      </c>
      <c r="Z45" s="139"/>
      <c r="AA45" s="139"/>
      <c r="AB45" s="139"/>
      <c r="AC45" s="139">
        <v>14</v>
      </c>
      <c r="AD45" s="139"/>
    </row>
    <row r="46" spans="1:30">
      <c r="A46" s="17" t="s">
        <v>283</v>
      </c>
      <c r="B46" s="17" t="s">
        <v>22</v>
      </c>
      <c r="C46" s="17" t="s">
        <v>312</v>
      </c>
      <c r="D46" s="17" t="s">
        <v>101</v>
      </c>
      <c r="E46" s="138"/>
      <c r="F46" s="139"/>
      <c r="G46" s="139"/>
      <c r="H46" s="139"/>
      <c r="I46" s="139"/>
      <c r="J46" s="139"/>
      <c r="K46" s="139"/>
      <c r="L46" s="139"/>
      <c r="M46" s="139"/>
      <c r="N46" s="139"/>
      <c r="O46" s="139"/>
      <c r="P46" s="139"/>
      <c r="Q46" s="139">
        <v>14</v>
      </c>
      <c r="R46" s="139"/>
      <c r="S46" s="139"/>
      <c r="T46" s="139"/>
      <c r="U46" s="139"/>
      <c r="V46" s="139"/>
      <c r="W46" s="139"/>
      <c r="X46" s="139"/>
      <c r="Y46" s="139"/>
      <c r="Z46" s="139"/>
      <c r="AA46" s="139"/>
      <c r="AB46" s="139"/>
      <c r="AC46" s="139"/>
      <c r="AD46" s="139"/>
    </row>
    <row r="47" spans="1:30">
      <c r="A47" s="17" t="s">
        <v>284</v>
      </c>
      <c r="B47" s="17" t="s">
        <v>23</v>
      </c>
      <c r="C47" s="17" t="s">
        <v>75</v>
      </c>
      <c r="D47" s="17" t="s">
        <v>102</v>
      </c>
      <c r="E47" s="138"/>
      <c r="F47" s="139"/>
      <c r="G47" s="139"/>
      <c r="H47" s="139"/>
      <c r="I47" s="139"/>
      <c r="J47" s="139"/>
      <c r="K47" s="139"/>
      <c r="L47" s="139"/>
      <c r="M47" s="139"/>
      <c r="N47" s="139"/>
      <c r="O47" s="139"/>
      <c r="P47" s="139"/>
      <c r="Q47" s="139">
        <v>13</v>
      </c>
      <c r="R47" s="139"/>
      <c r="S47" s="139"/>
      <c r="T47" s="139"/>
      <c r="U47" s="139"/>
      <c r="V47" s="139"/>
      <c r="W47" s="139"/>
      <c r="X47" s="139"/>
      <c r="Y47" s="139"/>
      <c r="Z47" s="139"/>
      <c r="AA47" s="139"/>
      <c r="AB47" s="139"/>
      <c r="AC47" s="139"/>
      <c r="AD47" s="139"/>
    </row>
    <row r="48" spans="1:30">
      <c r="A48" s="17" t="s">
        <v>288</v>
      </c>
      <c r="B48" s="17" t="s">
        <v>24</v>
      </c>
      <c r="C48" s="17" t="s">
        <v>308</v>
      </c>
      <c r="D48" s="17" t="s">
        <v>310</v>
      </c>
      <c r="E48" s="138"/>
      <c r="F48" s="139"/>
      <c r="G48" s="139"/>
      <c r="H48" s="139"/>
      <c r="I48" s="139"/>
      <c r="J48" s="139"/>
      <c r="K48" s="139"/>
      <c r="L48" s="139"/>
      <c r="M48" s="139"/>
      <c r="N48" s="139"/>
      <c r="O48" s="139"/>
      <c r="P48" s="139">
        <v>25</v>
      </c>
      <c r="Q48" s="139"/>
      <c r="R48" s="139"/>
      <c r="S48" s="139"/>
      <c r="T48" s="139"/>
      <c r="U48" s="139"/>
      <c r="V48" s="139"/>
      <c r="W48" s="139"/>
      <c r="X48" s="139"/>
      <c r="Y48" s="139"/>
      <c r="Z48" s="139"/>
      <c r="AA48" s="139"/>
      <c r="AB48" s="139"/>
      <c r="AC48" s="139"/>
      <c r="AD48" s="139"/>
    </row>
    <row r="49" spans="1:30">
      <c r="A49" s="17" t="s">
        <v>289</v>
      </c>
      <c r="B49" s="17" t="s">
        <v>25</v>
      </c>
      <c r="C49" s="17" t="s">
        <v>307</v>
      </c>
      <c r="D49" s="17" t="s">
        <v>309</v>
      </c>
      <c r="E49" s="138"/>
      <c r="F49" s="139"/>
      <c r="G49" s="139"/>
      <c r="H49" s="139"/>
      <c r="I49" s="139"/>
      <c r="J49" s="139"/>
      <c r="K49" s="139"/>
      <c r="L49" s="139"/>
      <c r="M49" s="139"/>
      <c r="N49" s="139"/>
      <c r="O49" s="139"/>
      <c r="P49" s="139"/>
      <c r="Q49" s="139"/>
      <c r="R49" s="139"/>
      <c r="S49" s="139"/>
      <c r="T49" s="139"/>
      <c r="U49" s="139"/>
      <c r="V49" s="139"/>
      <c r="W49" s="139"/>
      <c r="X49" s="139"/>
      <c r="Y49" s="139"/>
      <c r="Z49" s="139"/>
      <c r="AA49" s="139"/>
      <c r="AB49" s="139"/>
      <c r="AC49" s="139"/>
      <c r="AD49" s="139"/>
    </row>
    <row r="50" spans="1:30">
      <c r="A50" s="17" t="s">
        <v>160</v>
      </c>
      <c r="B50" s="17" t="s">
        <v>26</v>
      </c>
      <c r="C50" s="17" t="s">
        <v>311</v>
      </c>
      <c r="D50" s="17" t="s">
        <v>103</v>
      </c>
      <c r="E50" s="138"/>
      <c r="F50" s="139"/>
      <c r="G50" s="139"/>
      <c r="H50" s="139"/>
      <c r="I50" s="139"/>
      <c r="J50" s="139"/>
      <c r="K50" s="139"/>
      <c r="L50" s="139"/>
      <c r="M50" s="139"/>
      <c r="N50" s="139"/>
      <c r="O50" s="139"/>
      <c r="P50" s="139"/>
      <c r="Q50" s="139"/>
      <c r="R50" s="139"/>
      <c r="S50" s="139"/>
      <c r="T50" s="139"/>
      <c r="U50" s="139"/>
      <c r="V50" s="139"/>
      <c r="W50" s="139"/>
      <c r="X50" s="139"/>
      <c r="Y50" s="139"/>
      <c r="Z50" s="139"/>
      <c r="AA50" s="139"/>
      <c r="AB50" s="139"/>
      <c r="AC50" s="139"/>
      <c r="AD50" s="139"/>
    </row>
    <row r="51" spans="1:30">
      <c r="A51" s="17" t="s">
        <v>139</v>
      </c>
      <c r="B51" s="17" t="s">
        <v>104</v>
      </c>
      <c r="C51" s="17" t="s">
        <v>313</v>
      </c>
      <c r="D51" s="51" t="s">
        <v>105</v>
      </c>
      <c r="E51" s="138"/>
      <c r="F51" s="139"/>
      <c r="G51" s="139"/>
      <c r="H51" s="139"/>
      <c r="I51" s="139"/>
      <c r="J51" s="139"/>
      <c r="K51" s="139"/>
      <c r="L51" s="139"/>
      <c r="M51" s="139"/>
      <c r="N51" s="139"/>
      <c r="O51" s="139"/>
      <c r="P51" s="139"/>
      <c r="Q51" s="139"/>
      <c r="R51" s="139"/>
      <c r="S51" s="139"/>
      <c r="T51" s="139"/>
      <c r="U51" s="139"/>
      <c r="V51" s="139"/>
      <c r="W51" s="139"/>
      <c r="X51" s="139"/>
      <c r="Y51" s="139"/>
      <c r="Z51" s="139"/>
      <c r="AA51" s="139"/>
      <c r="AB51" s="139"/>
      <c r="AC51" s="139"/>
      <c r="AD51" s="139"/>
    </row>
    <row r="52" spans="1:30">
      <c r="A52" s="17" t="s">
        <v>290</v>
      </c>
      <c r="B52" s="17" t="s">
        <v>27</v>
      </c>
      <c r="C52" s="17" t="s">
        <v>73</v>
      </c>
      <c r="D52" s="17" t="s">
        <v>74</v>
      </c>
      <c r="E52" s="138"/>
      <c r="F52" s="139"/>
      <c r="G52" s="139"/>
      <c r="H52" s="139"/>
      <c r="I52" s="139"/>
      <c r="J52" s="139"/>
      <c r="K52" s="139"/>
      <c r="L52" s="139"/>
      <c r="M52" s="139"/>
      <c r="N52" s="139"/>
      <c r="O52" s="139"/>
      <c r="P52" s="139"/>
      <c r="Q52" s="139"/>
      <c r="R52" s="139"/>
      <c r="S52" s="139"/>
      <c r="T52" s="139"/>
      <c r="U52" s="139"/>
      <c r="V52" s="139"/>
      <c r="W52" s="139"/>
      <c r="X52" s="139"/>
      <c r="Y52" s="139"/>
      <c r="Z52" s="139"/>
      <c r="AA52" s="139"/>
      <c r="AB52" s="139"/>
      <c r="AC52" s="139"/>
      <c r="AD52" s="139"/>
    </row>
    <row r="53" spans="1:30">
      <c r="A53" s="17" t="s">
        <v>291</v>
      </c>
      <c r="B53" s="17" t="s">
        <v>28</v>
      </c>
      <c r="C53" s="17" t="s">
        <v>253</v>
      </c>
      <c r="D53" s="17" t="s">
        <v>63</v>
      </c>
      <c r="E53" s="138"/>
      <c r="F53" s="139"/>
      <c r="G53" s="139"/>
      <c r="H53" s="139"/>
      <c r="I53" s="139"/>
      <c r="J53" s="139"/>
      <c r="K53" s="139"/>
      <c r="L53" s="139"/>
      <c r="M53" s="139"/>
      <c r="N53" s="139"/>
      <c r="O53" s="139"/>
      <c r="P53" s="139"/>
      <c r="Q53" s="139"/>
      <c r="R53" s="139"/>
      <c r="S53" s="139"/>
      <c r="T53" s="139"/>
      <c r="U53" s="139"/>
      <c r="V53" s="139"/>
      <c r="W53" s="139"/>
      <c r="X53" s="139"/>
      <c r="Y53" s="139"/>
      <c r="Z53" s="139"/>
      <c r="AA53" s="139"/>
      <c r="AB53" s="139"/>
      <c r="AC53" s="139"/>
      <c r="AD53" s="139"/>
    </row>
    <row r="54" spans="1:30">
      <c r="A54" s="17" t="s">
        <v>292</v>
      </c>
      <c r="B54" s="17" t="s">
        <v>29</v>
      </c>
      <c r="C54" s="17" t="s">
        <v>253</v>
      </c>
      <c r="D54" s="17" t="s">
        <v>64</v>
      </c>
      <c r="E54" s="138"/>
      <c r="F54" s="139"/>
      <c r="G54" s="139"/>
      <c r="H54" s="139"/>
      <c r="I54" s="139"/>
      <c r="J54" s="139"/>
      <c r="K54" s="139"/>
      <c r="L54" s="139"/>
      <c r="M54" s="139"/>
      <c r="N54" s="139"/>
      <c r="O54" s="139"/>
      <c r="P54" s="139"/>
      <c r="Q54" s="139"/>
      <c r="R54" s="139"/>
      <c r="S54" s="139"/>
      <c r="T54" s="139"/>
      <c r="U54" s="139"/>
      <c r="V54" s="139"/>
      <c r="W54" s="139"/>
      <c r="X54" s="139"/>
      <c r="Y54" s="139"/>
      <c r="Z54" s="139"/>
      <c r="AA54" s="139"/>
      <c r="AB54" s="139"/>
      <c r="AC54" s="139"/>
      <c r="AD54" s="139"/>
    </row>
    <row r="55" spans="1:30">
      <c r="A55" s="17" t="s">
        <v>293</v>
      </c>
      <c r="B55" s="17" t="s">
        <v>30</v>
      </c>
      <c r="C55" s="17" t="s">
        <v>254</v>
      </c>
      <c r="D55" s="17" t="s">
        <v>65</v>
      </c>
      <c r="E55" s="138"/>
      <c r="F55" s="139"/>
      <c r="G55" s="139"/>
      <c r="H55" s="139"/>
      <c r="I55" s="139"/>
      <c r="J55" s="139"/>
      <c r="K55" s="139">
        <v>4.5</v>
      </c>
      <c r="L55" s="139">
        <v>1</v>
      </c>
      <c r="M55" s="139"/>
      <c r="N55" s="139"/>
      <c r="O55" s="139"/>
      <c r="P55" s="139">
        <v>2</v>
      </c>
      <c r="Q55" s="139">
        <v>3</v>
      </c>
      <c r="R55" s="139">
        <v>3</v>
      </c>
      <c r="S55" s="139">
        <v>3</v>
      </c>
      <c r="T55" s="139">
        <v>1</v>
      </c>
      <c r="U55" s="139"/>
      <c r="V55" s="139"/>
      <c r="W55" s="139"/>
      <c r="X55" s="142"/>
      <c r="Y55" s="142"/>
      <c r="Z55" s="142"/>
      <c r="AA55" s="142"/>
      <c r="AB55" s="142"/>
      <c r="AC55" s="142"/>
      <c r="AD55" s="142"/>
    </row>
    <row r="56" spans="1:30">
      <c r="A56" s="17" t="s">
        <v>294</v>
      </c>
      <c r="B56" s="17" t="s">
        <v>31</v>
      </c>
      <c r="C56" s="17" t="s">
        <v>255</v>
      </c>
      <c r="D56" s="17" t="s">
        <v>66</v>
      </c>
      <c r="E56" s="138"/>
      <c r="F56" s="139"/>
      <c r="G56" s="139"/>
      <c r="H56" s="139"/>
      <c r="I56" s="139"/>
      <c r="J56" s="139"/>
      <c r="K56" s="139"/>
      <c r="L56" s="139"/>
      <c r="M56" s="139"/>
      <c r="N56" s="139"/>
      <c r="O56" s="139"/>
      <c r="P56" s="139"/>
      <c r="Q56" s="139"/>
      <c r="R56" s="139"/>
      <c r="S56" s="139"/>
      <c r="T56" s="139"/>
      <c r="U56" s="139"/>
      <c r="V56" s="139"/>
      <c r="W56" s="139"/>
      <c r="X56" s="139"/>
      <c r="Y56" s="139"/>
      <c r="Z56" s="139"/>
      <c r="AA56" s="139"/>
      <c r="AB56" s="139"/>
      <c r="AC56" s="139"/>
      <c r="AD56" s="139"/>
    </row>
    <row r="57" spans="1:30">
      <c r="A57" s="17" t="s">
        <v>295</v>
      </c>
      <c r="B57" s="17" t="s">
        <v>32</v>
      </c>
      <c r="C57" s="17" t="s">
        <v>256</v>
      </c>
      <c r="D57" s="17" t="s">
        <v>67</v>
      </c>
      <c r="E57" s="138">
        <v>1</v>
      </c>
      <c r="F57" s="139"/>
      <c r="G57" s="139"/>
      <c r="H57" s="139"/>
      <c r="I57" s="139"/>
      <c r="J57" s="139"/>
      <c r="K57" s="139"/>
      <c r="L57" s="139">
        <v>1</v>
      </c>
      <c r="M57" s="139"/>
      <c r="N57" s="139"/>
      <c r="O57" s="139"/>
      <c r="P57" s="139">
        <v>4</v>
      </c>
      <c r="Q57" s="139">
        <v>6</v>
      </c>
      <c r="R57" s="139"/>
      <c r="S57" s="139"/>
      <c r="T57" s="139"/>
      <c r="U57" s="139">
        <v>1</v>
      </c>
      <c r="V57" s="139">
        <v>1</v>
      </c>
      <c r="W57" s="139">
        <v>1</v>
      </c>
      <c r="X57" s="139"/>
      <c r="Y57" s="139"/>
      <c r="Z57" s="139"/>
      <c r="AA57" s="139"/>
      <c r="AB57" s="139"/>
      <c r="AC57" s="139"/>
      <c r="AD57" s="139"/>
    </row>
    <row r="58" spans="1:30" s="59" customFormat="1">
      <c r="A58" s="103" t="s">
        <v>572</v>
      </c>
      <c r="B58" s="110" t="s">
        <v>435</v>
      </c>
      <c r="C58" s="110" t="s">
        <v>576</v>
      </c>
      <c r="D58" s="110" t="s">
        <v>578</v>
      </c>
      <c r="E58" s="143"/>
      <c r="F58" s="144"/>
      <c r="G58" s="144"/>
      <c r="H58" s="144"/>
      <c r="I58" s="144"/>
      <c r="J58" s="144"/>
      <c r="K58" s="144"/>
      <c r="L58" s="144"/>
      <c r="M58" s="144"/>
      <c r="N58" s="144"/>
      <c r="O58" s="144"/>
      <c r="P58" s="144"/>
      <c r="Q58" s="144"/>
      <c r="R58" s="144"/>
      <c r="S58" s="144"/>
      <c r="T58" s="144"/>
      <c r="U58" s="144"/>
      <c r="V58" s="144"/>
      <c r="W58" s="144"/>
      <c r="X58" s="144"/>
      <c r="Y58" s="144"/>
      <c r="Z58" s="144"/>
      <c r="AA58" s="144"/>
      <c r="AB58" s="144"/>
      <c r="AC58" s="144"/>
      <c r="AD58" s="144"/>
    </row>
    <row r="59" spans="1:30" s="59" customFormat="1">
      <c r="A59" s="103" t="s">
        <v>573</v>
      </c>
      <c r="B59" s="110" t="s">
        <v>534</v>
      </c>
      <c r="C59" s="110" t="s">
        <v>568</v>
      </c>
      <c r="D59" s="110" t="s">
        <v>579</v>
      </c>
      <c r="E59" s="143"/>
      <c r="F59" s="144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4"/>
      <c r="X59" s="139">
        <v>3</v>
      </c>
      <c r="Y59" s="139">
        <v>3</v>
      </c>
      <c r="Z59" s="139">
        <v>3</v>
      </c>
      <c r="AA59" s="139">
        <v>2</v>
      </c>
      <c r="AB59" s="139">
        <v>2</v>
      </c>
      <c r="AC59" s="139">
        <v>2.8</v>
      </c>
      <c r="AD59" s="139">
        <v>2</v>
      </c>
    </row>
    <row r="60" spans="1:30" s="59" customFormat="1">
      <c r="A60" s="103" t="s">
        <v>574</v>
      </c>
      <c r="B60" s="110" t="s">
        <v>575</v>
      </c>
      <c r="C60" s="110" t="s">
        <v>577</v>
      </c>
      <c r="D60" s="110" t="s">
        <v>580</v>
      </c>
      <c r="E60" s="143"/>
      <c r="F60" s="144"/>
      <c r="G60" s="144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4"/>
      <c r="U60" s="144"/>
      <c r="V60" s="144"/>
      <c r="W60" s="144"/>
      <c r="X60" s="144"/>
      <c r="Y60" s="144"/>
      <c r="Z60" s="144"/>
      <c r="AA60" s="144"/>
      <c r="AB60" s="144"/>
      <c r="AC60" s="144"/>
      <c r="AD60" s="144"/>
    </row>
    <row r="61" spans="1:30" s="59" customFormat="1">
      <c r="A61" s="103" t="s">
        <v>569</v>
      </c>
      <c r="B61" s="110" t="s">
        <v>584</v>
      </c>
      <c r="C61" s="110" t="s">
        <v>586</v>
      </c>
      <c r="D61" s="110" t="s">
        <v>608</v>
      </c>
      <c r="E61" s="143"/>
      <c r="F61" s="144"/>
      <c r="G61" s="144"/>
      <c r="H61" s="144"/>
      <c r="I61" s="144"/>
      <c r="J61" s="144"/>
      <c r="K61" s="144"/>
      <c r="L61" s="144"/>
      <c r="M61" s="144"/>
      <c r="N61" s="144"/>
      <c r="O61" s="144"/>
      <c r="P61" s="144"/>
      <c r="Q61" s="144"/>
      <c r="R61" s="144"/>
      <c r="S61" s="144"/>
      <c r="T61" s="144"/>
      <c r="U61" s="144"/>
      <c r="V61" s="144"/>
      <c r="W61" s="144"/>
      <c r="X61" s="144"/>
      <c r="Y61" s="144"/>
      <c r="Z61" s="144"/>
      <c r="AA61" s="144"/>
      <c r="AB61" s="144"/>
      <c r="AC61" s="144"/>
      <c r="AD61" s="144"/>
    </row>
    <row r="62" spans="1:30" s="59" customFormat="1">
      <c r="A62" s="103" t="s">
        <v>570</v>
      </c>
      <c r="B62" s="110" t="s">
        <v>585</v>
      </c>
      <c r="C62" s="110" t="s">
        <v>587</v>
      </c>
      <c r="D62" s="110" t="s">
        <v>609</v>
      </c>
      <c r="E62" s="143"/>
      <c r="F62" s="144"/>
      <c r="G62" s="144"/>
      <c r="H62" s="144"/>
      <c r="I62" s="144"/>
      <c r="J62" s="144"/>
      <c r="K62" s="144"/>
      <c r="L62" s="144"/>
      <c r="M62" s="144"/>
      <c r="N62" s="144"/>
      <c r="O62" s="144"/>
      <c r="P62" s="144"/>
      <c r="Q62" s="144"/>
      <c r="R62" s="144"/>
      <c r="S62" s="144"/>
      <c r="T62" s="144"/>
      <c r="U62" s="144"/>
      <c r="V62" s="144"/>
      <c r="W62" s="144"/>
      <c r="X62" s="144"/>
      <c r="Y62" s="144"/>
      <c r="Z62" s="144"/>
      <c r="AA62" s="144"/>
      <c r="AB62" s="144"/>
      <c r="AC62" s="144"/>
      <c r="AD62" s="144"/>
    </row>
    <row r="63" spans="1:30">
      <c r="A63" s="17" t="s">
        <v>158</v>
      </c>
      <c r="B63" s="17" t="s">
        <v>33</v>
      </c>
      <c r="C63" s="17" t="s">
        <v>257</v>
      </c>
      <c r="D63" s="17" t="s">
        <v>258</v>
      </c>
      <c r="E63" s="138"/>
      <c r="F63" s="139"/>
      <c r="G63" s="139"/>
      <c r="H63" s="139"/>
      <c r="I63" s="139"/>
      <c r="J63" s="139"/>
      <c r="K63" s="139"/>
      <c r="L63" s="139"/>
      <c r="M63" s="139"/>
      <c r="N63" s="139"/>
      <c r="O63" s="139"/>
      <c r="P63" s="139">
        <v>12</v>
      </c>
      <c r="Q63" s="139">
        <v>5</v>
      </c>
      <c r="R63" s="139"/>
      <c r="S63" s="139"/>
      <c r="T63" s="139"/>
      <c r="U63" s="139"/>
      <c r="V63" s="139"/>
      <c r="W63" s="139"/>
      <c r="X63" s="139"/>
      <c r="Y63" s="139"/>
      <c r="Z63" s="139"/>
      <c r="AA63" s="139"/>
      <c r="AB63" s="139"/>
      <c r="AC63" s="139"/>
      <c r="AD63" s="139"/>
    </row>
    <row r="64" spans="1:30">
      <c r="A64" s="17" t="s">
        <v>287</v>
      </c>
      <c r="B64" s="17" t="s">
        <v>34</v>
      </c>
      <c r="C64" s="17" t="s">
        <v>257</v>
      </c>
      <c r="D64" s="17" t="s">
        <v>258</v>
      </c>
      <c r="E64" s="138"/>
      <c r="F64" s="139"/>
      <c r="G64" s="139"/>
      <c r="H64" s="139"/>
      <c r="I64" s="139"/>
      <c r="J64" s="139"/>
      <c r="K64" s="139"/>
      <c r="L64" s="139"/>
      <c r="M64" s="139"/>
      <c r="N64" s="139"/>
      <c r="O64" s="139"/>
      <c r="P64" s="139"/>
      <c r="Q64" s="139"/>
      <c r="R64" s="139"/>
      <c r="S64" s="139"/>
      <c r="T64" s="139"/>
      <c r="U64" s="139"/>
      <c r="V64" s="139"/>
      <c r="W64" s="139"/>
      <c r="X64" s="139"/>
      <c r="Y64" s="139"/>
      <c r="Z64" s="139"/>
      <c r="AA64" s="139"/>
      <c r="AB64" s="139"/>
      <c r="AC64" s="139"/>
      <c r="AD64" s="139"/>
    </row>
    <row r="65" spans="1:30">
      <c r="A65" s="17" t="s">
        <v>495</v>
      </c>
      <c r="B65" s="17" t="s">
        <v>491</v>
      </c>
      <c r="C65" s="17" t="s">
        <v>496</v>
      </c>
      <c r="D65" s="17" t="s">
        <v>258</v>
      </c>
      <c r="E65" s="145"/>
      <c r="F65" s="146"/>
      <c r="G65" s="146"/>
      <c r="H65" s="146"/>
      <c r="I65" s="146"/>
      <c r="J65" s="146"/>
      <c r="K65" s="146"/>
      <c r="L65" s="146"/>
      <c r="M65" s="146"/>
      <c r="N65" s="146"/>
      <c r="O65" s="146"/>
      <c r="P65" s="146"/>
      <c r="Q65" s="146"/>
      <c r="R65" s="146"/>
      <c r="S65" s="146"/>
      <c r="T65" s="146"/>
      <c r="U65" s="146"/>
      <c r="V65" s="146"/>
      <c r="W65" s="146"/>
      <c r="X65" s="146"/>
      <c r="Y65" s="146"/>
      <c r="Z65" s="146"/>
      <c r="AA65" s="146"/>
      <c r="AB65" s="146"/>
      <c r="AC65" s="146"/>
      <c r="AD65" s="146"/>
    </row>
    <row r="66" spans="1:30">
      <c r="A66" s="48" t="s">
        <v>96</v>
      </c>
      <c r="B66" s="48"/>
      <c r="C66" s="48"/>
      <c r="D66" s="48"/>
      <c r="E66" s="47">
        <f>SUM(E5:E65)</f>
        <v>100</v>
      </c>
      <c r="F66" s="47">
        <f>SUM(F5:F65)</f>
        <v>100</v>
      </c>
      <c r="G66" s="47">
        <f>SUM(G5:G65)</f>
        <v>100</v>
      </c>
      <c r="H66" s="47">
        <f t="shared" ref="H66:AD66" si="0">SUM(H5:H65)</f>
        <v>100</v>
      </c>
      <c r="I66" s="47">
        <f>SUM(I5:I65)</f>
        <v>100.00000000000001</v>
      </c>
      <c r="J66" s="47">
        <f t="shared" si="0"/>
        <v>100.00000000000001</v>
      </c>
      <c r="K66" s="47">
        <f t="shared" si="0"/>
        <v>99.984565685570701</v>
      </c>
      <c r="L66" s="47">
        <f t="shared" si="0"/>
        <v>100</v>
      </c>
      <c r="M66" s="47">
        <f t="shared" si="0"/>
        <v>100</v>
      </c>
      <c r="N66" s="47">
        <f t="shared" si="0"/>
        <v>100</v>
      </c>
      <c r="O66" s="47">
        <f t="shared" si="0"/>
        <v>100</v>
      </c>
      <c r="P66" s="47">
        <f t="shared" si="0"/>
        <v>100</v>
      </c>
      <c r="Q66" s="47">
        <f t="shared" si="0"/>
        <v>100</v>
      </c>
      <c r="R66" s="47">
        <f t="shared" si="0"/>
        <v>100</v>
      </c>
      <c r="S66" s="47">
        <f t="shared" si="0"/>
        <v>100</v>
      </c>
      <c r="T66" s="47">
        <f t="shared" si="0"/>
        <v>100</v>
      </c>
      <c r="U66" s="47">
        <f t="shared" si="0"/>
        <v>100</v>
      </c>
      <c r="V66" s="47">
        <f t="shared" si="0"/>
        <v>100</v>
      </c>
      <c r="W66" s="47">
        <f t="shared" si="0"/>
        <v>100</v>
      </c>
      <c r="X66" s="47">
        <f t="shared" si="0"/>
        <v>100</v>
      </c>
      <c r="Y66" s="47">
        <f t="shared" si="0"/>
        <v>100</v>
      </c>
      <c r="Z66" s="47">
        <f t="shared" si="0"/>
        <v>100</v>
      </c>
      <c r="AA66" s="47">
        <f t="shared" si="0"/>
        <v>100</v>
      </c>
      <c r="AB66" s="47">
        <f t="shared" si="0"/>
        <v>99.954999999999998</v>
      </c>
      <c r="AC66" s="47">
        <f t="shared" si="0"/>
        <v>99.999489795918365</v>
      </c>
      <c r="AD66" s="47">
        <f t="shared" si="0"/>
        <v>100</v>
      </c>
    </row>
  </sheetData>
  <phoneticPr fontId="9" type="noConversion"/>
  <pageMargins left="0.75" right="0.75" top="1" bottom="1" header="0.5" footer="0.5"/>
  <pageSetup orientation="portrait" horizontalDpi="1200" verticalDpi="1200"/>
  <headerFooter alignWithMargins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0" r:id="rId3" name="Button 2">
              <controlPr defaultSize="0" print="0" autoFill="0" autoPict="0" macro="[0]!HackerandAbers03">
                <anchor moveWithCells="1">
                  <from>
                    <xdr:col>0</xdr:col>
                    <xdr:colOff>139700</xdr:colOff>
                    <xdr:row>66</xdr:row>
                    <xdr:rowOff>63500</xdr:rowOff>
                  </from>
                  <to>
                    <xdr:col>0</xdr:col>
                    <xdr:colOff>1016000</xdr:colOff>
                    <xdr:row>72</xdr:row>
                    <xdr:rowOff>76200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344</vt:i4>
      </vt:variant>
    </vt:vector>
  </HeadingPairs>
  <TitlesOfParts>
    <vt:vector size="348" baseType="lpstr">
      <vt:lpstr>database</vt:lpstr>
      <vt:lpstr>rocks</vt:lpstr>
      <vt:lpstr>minerals</vt:lpstr>
      <vt:lpstr>rock mineral modes</vt:lpstr>
      <vt:lpstr>minerals!kA</vt:lpstr>
      <vt:lpstr>minerals!kac</vt:lpstr>
      <vt:lpstr>minerals!kalm</vt:lpstr>
      <vt:lpstr>minerals!kan</vt:lpstr>
      <vt:lpstr>minerals!kann</vt:lpstr>
      <vt:lpstr>minerals!kanth</vt:lpstr>
      <vt:lpstr>minerals!kaqz</vt:lpstr>
      <vt:lpstr>minerals!kar</vt:lpstr>
      <vt:lpstr>minerals!katg</vt:lpstr>
      <vt:lpstr>minerals!kbqz</vt:lpstr>
      <vt:lpstr>minerals!kbr</vt:lpstr>
      <vt:lpstr>minerals!kcc</vt:lpstr>
      <vt:lpstr>minerals!kchum</vt:lpstr>
      <vt:lpstr>minerals!kclin</vt:lpstr>
      <vt:lpstr>minerals!kcoe</vt:lpstr>
      <vt:lpstr>minerals!kczo</vt:lpstr>
      <vt:lpstr>minerals!kdaph</vt:lpstr>
      <vt:lpstr>minerals!kdi</vt:lpstr>
      <vt:lpstr>minerals!ken</vt:lpstr>
      <vt:lpstr>minerals!kep</vt:lpstr>
      <vt:lpstr>minerals!kfa</vt:lpstr>
      <vt:lpstr>minerals!kfgl</vt:lpstr>
      <vt:lpstr>minerals!kfo</vt:lpstr>
      <vt:lpstr>minerals!kfs</vt:lpstr>
      <vt:lpstr>minerals!kgl</vt:lpstr>
      <vt:lpstr>minerals!kgrs</vt:lpstr>
      <vt:lpstr>minerals!khab</vt:lpstr>
      <vt:lpstr>minerals!khb</vt:lpstr>
      <vt:lpstr>minerals!khd</vt:lpstr>
      <vt:lpstr>minerals!kHerc</vt:lpstr>
      <vt:lpstr>minerals!kjd</vt:lpstr>
      <vt:lpstr>minerals!kky</vt:lpstr>
      <vt:lpstr>minerals!klab</vt:lpstr>
      <vt:lpstr>minerals!klaw</vt:lpstr>
      <vt:lpstr>minerals!klm</vt:lpstr>
      <vt:lpstr>minerals!kMagn</vt:lpstr>
      <vt:lpstr>minerals!kms</vt:lpstr>
      <vt:lpstr>kor</vt:lpstr>
      <vt:lpstr>minerals!kparg</vt:lpstr>
      <vt:lpstr>minerals!kphl</vt:lpstr>
      <vt:lpstr>minerals!kpm</vt:lpstr>
      <vt:lpstr>minerals!kpr</vt:lpstr>
      <vt:lpstr>minerals!kprp</vt:lpstr>
      <vt:lpstr>minerals!ksan</vt:lpstr>
      <vt:lpstr>ksil</vt:lpstr>
      <vt:lpstr>minerals!kSpl</vt:lpstr>
      <vt:lpstr>minerals!kta</vt:lpstr>
      <vt:lpstr>minerals!ktr</vt:lpstr>
      <vt:lpstr>minerals!kts</vt:lpstr>
      <vt:lpstr>minerals!kwr</vt:lpstr>
      <vt:lpstr>kzo</vt:lpstr>
      <vt:lpstr>mA</vt:lpstr>
      <vt:lpstr>mac</vt:lpstr>
      <vt:lpstr>malm</vt:lpstr>
      <vt:lpstr>man</vt:lpstr>
      <vt:lpstr>mann</vt:lpstr>
      <vt:lpstr>manth</vt:lpstr>
      <vt:lpstr>maqz</vt:lpstr>
      <vt:lpstr>mar</vt:lpstr>
      <vt:lpstr>matg</vt:lpstr>
      <vt:lpstr>mbqz</vt:lpstr>
      <vt:lpstr>mbr</vt:lpstr>
      <vt:lpstr>mcc</vt:lpstr>
      <vt:lpstr>mchum</vt:lpstr>
      <vt:lpstr>mclin</vt:lpstr>
      <vt:lpstr>mcoe</vt:lpstr>
      <vt:lpstr>mczo</vt:lpstr>
      <vt:lpstr>mdaph</vt:lpstr>
      <vt:lpstr>mdi</vt:lpstr>
      <vt:lpstr>men</vt:lpstr>
      <vt:lpstr>mep</vt:lpstr>
      <vt:lpstr>mfa</vt:lpstr>
      <vt:lpstr>mfgl</vt:lpstr>
      <vt:lpstr>mfo</vt:lpstr>
      <vt:lpstr>mfs</vt:lpstr>
      <vt:lpstr>mgl</vt:lpstr>
      <vt:lpstr>mgrs</vt:lpstr>
      <vt:lpstr>mhab</vt:lpstr>
      <vt:lpstr>mhb</vt:lpstr>
      <vt:lpstr>mhd</vt:lpstr>
      <vt:lpstr>mherc</vt:lpstr>
      <vt:lpstr>mjd</vt:lpstr>
      <vt:lpstr>mky</vt:lpstr>
      <vt:lpstr>mlab</vt:lpstr>
      <vt:lpstr>mlaw</vt:lpstr>
      <vt:lpstr>mlm</vt:lpstr>
      <vt:lpstr>mmagn</vt:lpstr>
      <vt:lpstr>mms</vt:lpstr>
      <vt:lpstr>mor</vt:lpstr>
      <vt:lpstr>mparg</vt:lpstr>
      <vt:lpstr>mphl</vt:lpstr>
      <vt:lpstr>mpm</vt:lpstr>
      <vt:lpstr>mpr</vt:lpstr>
      <vt:lpstr>mprp</vt:lpstr>
      <vt:lpstr>msan</vt:lpstr>
      <vt:lpstr>msil</vt:lpstr>
      <vt:lpstr>mspl</vt:lpstr>
      <vt:lpstr>mta</vt:lpstr>
      <vt:lpstr>mtr</vt:lpstr>
      <vt:lpstr>mts</vt:lpstr>
      <vt:lpstr>mwr</vt:lpstr>
      <vt:lpstr>mzo</vt:lpstr>
      <vt:lpstr>nA</vt:lpstr>
      <vt:lpstr>nalm</vt:lpstr>
      <vt:lpstr>nan</vt:lpstr>
      <vt:lpstr>nann</vt:lpstr>
      <vt:lpstr>nanth</vt:lpstr>
      <vt:lpstr>naqz</vt:lpstr>
      <vt:lpstr>nar</vt:lpstr>
      <vt:lpstr>natg</vt:lpstr>
      <vt:lpstr>nbqz</vt:lpstr>
      <vt:lpstr>nbr</vt:lpstr>
      <vt:lpstr>ncc</vt:lpstr>
      <vt:lpstr>nchum</vt:lpstr>
      <vt:lpstr>nclin</vt:lpstr>
      <vt:lpstr>ncoe</vt:lpstr>
      <vt:lpstr>nczo</vt:lpstr>
      <vt:lpstr>ndaph</vt:lpstr>
      <vt:lpstr>ndi</vt:lpstr>
      <vt:lpstr>nen</vt:lpstr>
      <vt:lpstr>nep</vt:lpstr>
      <vt:lpstr>nfa</vt:lpstr>
      <vt:lpstr>nfact</vt:lpstr>
      <vt:lpstr>nfgl</vt:lpstr>
      <vt:lpstr>nfo</vt:lpstr>
      <vt:lpstr>nfs</vt:lpstr>
      <vt:lpstr>ngl</vt:lpstr>
      <vt:lpstr>ngrs</vt:lpstr>
      <vt:lpstr>nhab</vt:lpstr>
      <vt:lpstr>nhb</vt:lpstr>
      <vt:lpstr>nhd</vt:lpstr>
      <vt:lpstr>nHerc</vt:lpstr>
      <vt:lpstr>njd</vt:lpstr>
      <vt:lpstr>nky</vt:lpstr>
      <vt:lpstr>nlab</vt:lpstr>
      <vt:lpstr>nlaw</vt:lpstr>
      <vt:lpstr>nlm</vt:lpstr>
      <vt:lpstr>nMagn</vt:lpstr>
      <vt:lpstr>nms</vt:lpstr>
      <vt:lpstr>nOr</vt:lpstr>
      <vt:lpstr>nparg</vt:lpstr>
      <vt:lpstr>nphl</vt:lpstr>
      <vt:lpstr>npm</vt:lpstr>
      <vt:lpstr>npr</vt:lpstr>
      <vt:lpstr>nprp</vt:lpstr>
      <vt:lpstr>nqz</vt:lpstr>
      <vt:lpstr>nsan</vt:lpstr>
      <vt:lpstr>nSil</vt:lpstr>
      <vt:lpstr>nSpl</vt:lpstr>
      <vt:lpstr>nsum</vt:lpstr>
      <vt:lpstr>nta</vt:lpstr>
      <vt:lpstr>ntr</vt:lpstr>
      <vt:lpstr>nts</vt:lpstr>
      <vt:lpstr>nwr</vt:lpstr>
      <vt:lpstr>nzo</vt:lpstr>
      <vt:lpstr>oxideO</vt:lpstr>
      <vt:lpstr>rocks!Print_Area</vt:lpstr>
      <vt:lpstr>minerals!rA</vt:lpstr>
      <vt:lpstr>minerals!rac</vt:lpstr>
      <vt:lpstr>minerals!ralm</vt:lpstr>
      <vt:lpstr>minerals!ran</vt:lpstr>
      <vt:lpstr>minerals!rann</vt:lpstr>
      <vt:lpstr>minerals!ranth</vt:lpstr>
      <vt:lpstr>minerals!raqz</vt:lpstr>
      <vt:lpstr>minerals!rar</vt:lpstr>
      <vt:lpstr>minerals!ratg</vt:lpstr>
      <vt:lpstr>minerals!rbqz</vt:lpstr>
      <vt:lpstr>minerals!rbr</vt:lpstr>
      <vt:lpstr>minerals!rcc</vt:lpstr>
      <vt:lpstr>minerals!rchum</vt:lpstr>
      <vt:lpstr>minerals!rclin</vt:lpstr>
      <vt:lpstr>minerals!rcoe</vt:lpstr>
      <vt:lpstr>minerals!rczo</vt:lpstr>
      <vt:lpstr>minerals!rdaph</vt:lpstr>
      <vt:lpstr>minerals!rdi</vt:lpstr>
      <vt:lpstr>minerals!ren</vt:lpstr>
      <vt:lpstr>minerals!rep</vt:lpstr>
      <vt:lpstr>minerals!rfa</vt:lpstr>
      <vt:lpstr>minerals!rfgl</vt:lpstr>
      <vt:lpstr>minerals!rfo</vt:lpstr>
      <vt:lpstr>minerals!rfs</vt:lpstr>
      <vt:lpstr>minerals!rgl</vt:lpstr>
      <vt:lpstr>minerals!rgrs</vt:lpstr>
      <vt:lpstr>minerals!rhab</vt:lpstr>
      <vt:lpstr>minerals!rhb</vt:lpstr>
      <vt:lpstr>minerals!rhd</vt:lpstr>
      <vt:lpstr>minerals!rHerc</vt:lpstr>
      <vt:lpstr>minerals!rjd</vt:lpstr>
      <vt:lpstr>minerals!rky</vt:lpstr>
      <vt:lpstr>minerals!rlab</vt:lpstr>
      <vt:lpstr>minerals!rlaw</vt:lpstr>
      <vt:lpstr>minerals!rlm</vt:lpstr>
      <vt:lpstr>minerals!rMagn</vt:lpstr>
      <vt:lpstr>minerals!rms</vt:lpstr>
      <vt:lpstr>minerals!rOr</vt:lpstr>
      <vt:lpstr>minerals!rparg</vt:lpstr>
      <vt:lpstr>minerals!rphl</vt:lpstr>
      <vt:lpstr>minerals!rpm</vt:lpstr>
      <vt:lpstr>minerals!rpr</vt:lpstr>
      <vt:lpstr>minerals!rprp</vt:lpstr>
      <vt:lpstr>rReuss</vt:lpstr>
      <vt:lpstr>minerals!rsan</vt:lpstr>
      <vt:lpstr>minerals!rSil</vt:lpstr>
      <vt:lpstr>minerals!rSpl</vt:lpstr>
      <vt:lpstr>minerals!rta</vt:lpstr>
      <vt:lpstr>minerals!rtr</vt:lpstr>
      <vt:lpstr>minerals!rts</vt:lpstr>
      <vt:lpstr>rVoigt</vt:lpstr>
      <vt:lpstr>rVRH</vt:lpstr>
      <vt:lpstr>minerals!rwr</vt:lpstr>
      <vt:lpstr>minerals!rzo</vt:lpstr>
      <vt:lpstr>sum</vt:lpstr>
      <vt:lpstr>minerals!uA</vt:lpstr>
      <vt:lpstr>minerals!uac</vt:lpstr>
      <vt:lpstr>minerals!ualm</vt:lpstr>
      <vt:lpstr>minerals!uan</vt:lpstr>
      <vt:lpstr>minerals!uann</vt:lpstr>
      <vt:lpstr>minerals!uanth</vt:lpstr>
      <vt:lpstr>minerals!uaqz</vt:lpstr>
      <vt:lpstr>minerals!uar</vt:lpstr>
      <vt:lpstr>minerals!uatg</vt:lpstr>
      <vt:lpstr>minerals!ubqz</vt:lpstr>
      <vt:lpstr>minerals!ubr</vt:lpstr>
      <vt:lpstr>minerals!ucc</vt:lpstr>
      <vt:lpstr>minerals!uchum</vt:lpstr>
      <vt:lpstr>minerals!uclin</vt:lpstr>
      <vt:lpstr>minerals!ucoe</vt:lpstr>
      <vt:lpstr>minerals!uczo</vt:lpstr>
      <vt:lpstr>minerals!udaph</vt:lpstr>
      <vt:lpstr>minerals!udi</vt:lpstr>
      <vt:lpstr>minerals!uen</vt:lpstr>
      <vt:lpstr>minerals!uep</vt:lpstr>
      <vt:lpstr>minerals!ufa</vt:lpstr>
      <vt:lpstr>minerals!ufgl</vt:lpstr>
      <vt:lpstr>minerals!ufo</vt:lpstr>
      <vt:lpstr>minerals!ufs</vt:lpstr>
      <vt:lpstr>minerals!ugl</vt:lpstr>
      <vt:lpstr>minerals!ugrs</vt:lpstr>
      <vt:lpstr>minerals!uhab</vt:lpstr>
      <vt:lpstr>minerals!uhb</vt:lpstr>
      <vt:lpstr>minerals!uhd</vt:lpstr>
      <vt:lpstr>minerals!uHerc</vt:lpstr>
      <vt:lpstr>minerals!ujd</vt:lpstr>
      <vt:lpstr>minerals!uky</vt:lpstr>
      <vt:lpstr>minerals!ulab</vt:lpstr>
      <vt:lpstr>minerals!ulaw</vt:lpstr>
      <vt:lpstr>minerals!ulm</vt:lpstr>
      <vt:lpstr>minerals!uMagn</vt:lpstr>
      <vt:lpstr>minerals!ums</vt:lpstr>
      <vt:lpstr>uor</vt:lpstr>
      <vt:lpstr>minerals!uparg</vt:lpstr>
      <vt:lpstr>minerals!uphl</vt:lpstr>
      <vt:lpstr>minerals!upm</vt:lpstr>
      <vt:lpstr>minerals!upr</vt:lpstr>
      <vt:lpstr>minerals!uprp</vt:lpstr>
      <vt:lpstr>minerals!uqz</vt:lpstr>
      <vt:lpstr>minerals!usan</vt:lpstr>
      <vt:lpstr>usil</vt:lpstr>
      <vt:lpstr>minerals!uSpl</vt:lpstr>
      <vt:lpstr>minerals!uta</vt:lpstr>
      <vt:lpstr>minerals!utr</vt:lpstr>
      <vt:lpstr>minerals!uts</vt:lpstr>
      <vt:lpstr>minerals!uwr</vt:lpstr>
      <vt:lpstr>minerals!uzo</vt:lpstr>
      <vt:lpstr>volA</vt:lpstr>
      <vt:lpstr>volalm</vt:lpstr>
      <vt:lpstr>volan</vt:lpstr>
      <vt:lpstr>volann</vt:lpstr>
      <vt:lpstr>volanth</vt:lpstr>
      <vt:lpstr>volaqz</vt:lpstr>
      <vt:lpstr>volar</vt:lpstr>
      <vt:lpstr>volatg</vt:lpstr>
      <vt:lpstr>volbqz</vt:lpstr>
      <vt:lpstr>volbr</vt:lpstr>
      <vt:lpstr>volcc</vt:lpstr>
      <vt:lpstr>volchum</vt:lpstr>
      <vt:lpstr>volclin</vt:lpstr>
      <vt:lpstr>volcoe</vt:lpstr>
      <vt:lpstr>volczo</vt:lpstr>
      <vt:lpstr>voldaph</vt:lpstr>
      <vt:lpstr>voldi</vt:lpstr>
      <vt:lpstr>volen</vt:lpstr>
      <vt:lpstr>volep</vt:lpstr>
      <vt:lpstr>volfa</vt:lpstr>
      <vt:lpstr>volfact</vt:lpstr>
      <vt:lpstr>volfgl</vt:lpstr>
      <vt:lpstr>volfo</vt:lpstr>
      <vt:lpstr>volfs</vt:lpstr>
      <vt:lpstr>volgl</vt:lpstr>
      <vt:lpstr>volgrs</vt:lpstr>
      <vt:lpstr>volhab</vt:lpstr>
      <vt:lpstr>volhb</vt:lpstr>
      <vt:lpstr>volhd</vt:lpstr>
      <vt:lpstr>volherc</vt:lpstr>
      <vt:lpstr>voljd</vt:lpstr>
      <vt:lpstr>volky</vt:lpstr>
      <vt:lpstr>vollab</vt:lpstr>
      <vt:lpstr>vollaw</vt:lpstr>
      <vt:lpstr>vollm</vt:lpstr>
      <vt:lpstr>volmagn</vt:lpstr>
      <vt:lpstr>volms</vt:lpstr>
      <vt:lpstr>volor</vt:lpstr>
      <vt:lpstr>volparg</vt:lpstr>
      <vt:lpstr>volphl</vt:lpstr>
      <vt:lpstr>volpm</vt:lpstr>
      <vt:lpstr>volpr</vt:lpstr>
      <vt:lpstr>volprp</vt:lpstr>
      <vt:lpstr>volsan</vt:lpstr>
      <vt:lpstr>volsil</vt:lpstr>
      <vt:lpstr>volspl</vt:lpstr>
      <vt:lpstr>volta</vt:lpstr>
      <vt:lpstr>voltr</vt:lpstr>
      <vt:lpstr>volts</vt:lpstr>
      <vt:lpstr>volwr</vt:lpstr>
      <vt:lpstr>volzo</vt:lpstr>
      <vt:lpstr>vpReuss</vt:lpstr>
      <vt:lpstr>vpVoigt</vt:lpstr>
      <vt:lpstr>wA</vt:lpstr>
      <vt:lpstr>wac</vt:lpstr>
      <vt:lpstr>wann</vt:lpstr>
      <vt:lpstr>wanth</vt:lpstr>
      <vt:lpstr>watg</vt:lpstr>
      <vt:lpstr>wbr</vt:lpstr>
      <vt:lpstr>wchum</vt:lpstr>
      <vt:lpstr>wclin</vt:lpstr>
      <vt:lpstr>wczo</vt:lpstr>
      <vt:lpstr>wdaph</vt:lpstr>
      <vt:lpstr>wep</vt:lpstr>
      <vt:lpstr>wfact</vt:lpstr>
      <vt:lpstr>wfgl</vt:lpstr>
      <vt:lpstr>wgl</vt:lpstr>
      <vt:lpstr>whb</vt:lpstr>
      <vt:lpstr>wlaw</vt:lpstr>
      <vt:lpstr>wlm</vt:lpstr>
      <vt:lpstr>wms</vt:lpstr>
      <vt:lpstr>wparg</vt:lpstr>
      <vt:lpstr>wphl</vt:lpstr>
      <vt:lpstr>wpm</vt:lpstr>
      <vt:lpstr>wpr</vt:lpstr>
      <vt:lpstr>wta</vt:lpstr>
      <vt:lpstr>wtr</vt:lpstr>
      <vt:lpstr>wts</vt:lpstr>
      <vt:lpstr>wwr</vt:lpstr>
      <vt:lpstr>wzo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</dc:creator>
  <cp:keywords/>
  <dc:description/>
  <cp:lastModifiedBy>Microsoft Office User</cp:lastModifiedBy>
  <cp:lastPrinted>2003-05-29T16:00:13Z</cp:lastPrinted>
  <dcterms:created xsi:type="dcterms:W3CDTF">1999-04-17T16:03:07Z</dcterms:created>
  <dcterms:modified xsi:type="dcterms:W3CDTF">2024-05-18T14:05:52Z</dcterms:modified>
  <cp:category/>
</cp:coreProperties>
</file>