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19425" windowHeight="10425" tabRatio="801"/>
  </bookViews>
  <sheets>
    <sheet name="Notes  (1)" sheetId="9" r:id="rId1"/>
    <sheet name="Jill James (2)" sheetId="1" r:id="rId2"/>
    <sheet name="Mayo (3)" sheetId="2" r:id="rId3"/>
    <sheet name="App Answers (4)" sheetId="8" r:id="rId4"/>
    <sheet name="DD - essential and toxic (5) " sheetId="13" r:id="rId5"/>
    <sheet name="Symptom Form (6)" sheetId="6" r:id="rId6"/>
    <sheet name="ADI-R (7)" sheetId="10" r:id="rId7"/>
    <sheet name="Mom diet (8)" sheetId="12" r:id="rId8"/>
    <sheet name="Medical History (9)" sheetId="5" r:id="rId9"/>
    <sheet name="ABC (10)" sheetId="4" r:id="rId10"/>
    <sheet name="Mom Urine (11)" sheetId="11" r:id="rId11"/>
    <sheet name="Mom Age (12)" sheetId="3" r:id="rId12"/>
    <sheet name="Child Age (13)" sheetId="7" r:id="rId13"/>
    <sheet name="Sheet1" sheetId="14" r:id="rId14"/>
  </sheets>
  <definedNames>
    <definedName name="Reference_Values" localSheetId="2">'Mayo (3)'!$K$3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33" i="5" l="1"/>
  <c r="H79" i="8" l="1"/>
  <c r="G69" i="8"/>
  <c r="H69" i="8" s="1"/>
  <c r="H173" i="2" l="1"/>
  <c r="H172" i="2"/>
  <c r="G174" i="2"/>
  <c r="G173" i="2"/>
  <c r="G172" i="2"/>
  <c r="L79" i="2"/>
  <c r="L78" i="2"/>
  <c r="L77" i="2"/>
  <c r="L76" i="2"/>
  <c r="L73" i="2"/>
  <c r="L71" i="2"/>
  <c r="L70" i="2"/>
  <c r="L69" i="2"/>
  <c r="L68" i="2"/>
  <c r="L74" i="2" s="1"/>
  <c r="L66" i="2"/>
  <c r="L65" i="2"/>
  <c r="AP81" i="13" l="1"/>
  <c r="AN81" i="13"/>
  <c r="AM81" i="13"/>
  <c r="AL81" i="13"/>
  <c r="AK81" i="13"/>
  <c r="AJ81" i="13"/>
  <c r="AI81" i="13"/>
  <c r="AG81" i="13"/>
  <c r="AF81" i="13"/>
  <c r="AE81" i="13"/>
  <c r="AD81" i="13"/>
  <c r="AC81" i="13"/>
  <c r="AB81" i="13"/>
  <c r="AA81" i="13"/>
  <c r="Z81" i="13"/>
  <c r="Y81" i="13"/>
  <c r="X81" i="13"/>
  <c r="W81" i="13"/>
  <c r="U81" i="13"/>
  <c r="T81" i="13"/>
  <c r="R81" i="13"/>
  <c r="N81" i="13"/>
  <c r="M81" i="13"/>
  <c r="L81" i="13"/>
  <c r="J81" i="13"/>
  <c r="I81" i="13"/>
  <c r="H81" i="13"/>
  <c r="F81" i="13"/>
  <c r="E81" i="13"/>
  <c r="C81" i="13"/>
  <c r="AP79" i="13"/>
  <c r="AN79" i="13"/>
  <c r="AM79" i="13"/>
  <c r="AL79" i="13"/>
  <c r="AK79" i="13"/>
  <c r="AJ79" i="13"/>
  <c r="AI79" i="13"/>
  <c r="AG79" i="13"/>
  <c r="AF79" i="13"/>
  <c r="AE79" i="13"/>
  <c r="AD79" i="13"/>
  <c r="AC79" i="13"/>
  <c r="AB79" i="13"/>
  <c r="AA79" i="13"/>
  <c r="Z79" i="13"/>
  <c r="Y79" i="13"/>
  <c r="X79" i="13"/>
  <c r="W79" i="13"/>
  <c r="U79" i="13"/>
  <c r="T79" i="13"/>
  <c r="R79" i="13"/>
  <c r="N79" i="13"/>
  <c r="M79" i="13"/>
  <c r="L79" i="13"/>
  <c r="J79" i="13"/>
  <c r="I79" i="13"/>
  <c r="H79" i="13"/>
  <c r="F79" i="13"/>
  <c r="E79" i="13"/>
  <c r="C79" i="13"/>
  <c r="AP78" i="13"/>
  <c r="AN78" i="13"/>
  <c r="AM78" i="13"/>
  <c r="AL78" i="13"/>
  <c r="AK78" i="13"/>
  <c r="AJ78" i="13"/>
  <c r="AI78" i="13"/>
  <c r="AG78" i="13"/>
  <c r="AF78" i="13"/>
  <c r="AE78" i="13"/>
  <c r="AD78" i="13"/>
  <c r="AC78" i="13"/>
  <c r="AB78" i="13"/>
  <c r="AA78" i="13"/>
  <c r="Z78" i="13"/>
  <c r="Y78" i="13"/>
  <c r="X78" i="13"/>
  <c r="W78" i="13"/>
  <c r="U78" i="13"/>
  <c r="T78" i="13"/>
  <c r="R78" i="13"/>
  <c r="N78" i="13"/>
  <c r="M78" i="13"/>
  <c r="L78" i="13"/>
  <c r="J78" i="13"/>
  <c r="I78" i="13"/>
  <c r="H78" i="13"/>
  <c r="F78" i="13"/>
  <c r="E78" i="13"/>
  <c r="C78" i="13"/>
  <c r="AP77" i="13"/>
  <c r="AN77" i="13"/>
  <c r="AM77" i="13"/>
  <c r="AL77" i="13"/>
  <c r="AK77" i="13"/>
  <c r="AJ77" i="13"/>
  <c r="AI77" i="13"/>
  <c r="AG77" i="13"/>
  <c r="AF77" i="13"/>
  <c r="AE77" i="13"/>
  <c r="AD77" i="13"/>
  <c r="AC77" i="13"/>
  <c r="AB77" i="13"/>
  <c r="AA77" i="13"/>
  <c r="Z77" i="13"/>
  <c r="Y77" i="13"/>
  <c r="X77" i="13"/>
  <c r="W77" i="13"/>
  <c r="U77" i="13"/>
  <c r="T77" i="13"/>
  <c r="R77" i="13"/>
  <c r="N77" i="13"/>
  <c r="M77" i="13"/>
  <c r="L77" i="13"/>
  <c r="J77" i="13"/>
  <c r="I77" i="13"/>
  <c r="H77" i="13"/>
  <c r="F77" i="13"/>
  <c r="E77" i="13"/>
  <c r="C77" i="13"/>
  <c r="AP76" i="13"/>
  <c r="AN76" i="13"/>
  <c r="AM76" i="13"/>
  <c r="AL76" i="13"/>
  <c r="AK76" i="13"/>
  <c r="AJ76" i="13"/>
  <c r="AI76" i="13"/>
  <c r="AG76" i="13"/>
  <c r="AF76" i="13"/>
  <c r="AE76" i="13"/>
  <c r="AD76" i="13"/>
  <c r="AC76" i="13"/>
  <c r="AB76" i="13"/>
  <c r="AA76" i="13"/>
  <c r="Z76" i="13"/>
  <c r="Y76" i="13"/>
  <c r="X76" i="13"/>
  <c r="W76" i="13"/>
  <c r="U76" i="13"/>
  <c r="T76" i="13"/>
  <c r="R76" i="13"/>
  <c r="N76" i="13"/>
  <c r="M76" i="13"/>
  <c r="L76" i="13"/>
  <c r="J76" i="13"/>
  <c r="I76" i="13"/>
  <c r="H76" i="13"/>
  <c r="F76" i="13"/>
  <c r="E76" i="13"/>
  <c r="C76" i="13"/>
  <c r="AP74" i="13"/>
  <c r="AN74" i="13"/>
  <c r="AM74" i="13"/>
  <c r="AL74" i="13"/>
  <c r="AK74" i="13"/>
  <c r="AJ74" i="13"/>
  <c r="AI74" i="13"/>
  <c r="AH74" i="13"/>
  <c r="AG74" i="13"/>
  <c r="AF74" i="13"/>
  <c r="AE74" i="13"/>
  <c r="AD74" i="13"/>
  <c r="AC74" i="13"/>
  <c r="AB74" i="13"/>
  <c r="AA74" i="13"/>
  <c r="Z74" i="13"/>
  <c r="Y74" i="13"/>
  <c r="X74" i="13"/>
  <c r="W74" i="13"/>
  <c r="V74" i="13"/>
  <c r="U74" i="13"/>
  <c r="T74" i="13"/>
  <c r="S74" i="13"/>
  <c r="R74" i="13"/>
  <c r="Q74" i="13"/>
  <c r="P74" i="13"/>
  <c r="O74" i="13"/>
  <c r="N74" i="13"/>
  <c r="M74" i="13"/>
  <c r="L74" i="13"/>
  <c r="K74" i="13"/>
  <c r="J74" i="13"/>
  <c r="I74" i="13"/>
  <c r="H74" i="13"/>
  <c r="G74" i="13"/>
  <c r="F74" i="13"/>
  <c r="E74" i="13"/>
  <c r="D74" i="13"/>
  <c r="C74" i="13"/>
  <c r="AP73" i="13"/>
  <c r="AN73" i="13"/>
  <c r="AM73" i="13"/>
  <c r="AL73" i="13"/>
  <c r="AK73" i="13"/>
  <c r="AJ73" i="13"/>
  <c r="AI73" i="13"/>
  <c r="AH73" i="13"/>
  <c r="AG73" i="13"/>
  <c r="AF73" i="13"/>
  <c r="AE73" i="13"/>
  <c r="AD73" i="13"/>
  <c r="AC73" i="13"/>
  <c r="AB73" i="13"/>
  <c r="AA73" i="13"/>
  <c r="Z73" i="13"/>
  <c r="Y73" i="13"/>
  <c r="X73" i="13"/>
  <c r="W73" i="13"/>
  <c r="V73" i="13"/>
  <c r="U73" i="13"/>
  <c r="T73" i="13"/>
  <c r="S73" i="13"/>
  <c r="R73" i="13"/>
  <c r="Q73" i="13"/>
  <c r="P73" i="13"/>
  <c r="O73" i="13"/>
  <c r="N73" i="13"/>
  <c r="M73" i="13"/>
  <c r="L73" i="13"/>
  <c r="K73" i="13"/>
  <c r="J73" i="13"/>
  <c r="I73" i="13"/>
  <c r="H73" i="13"/>
  <c r="G73" i="13"/>
  <c r="F73" i="13"/>
  <c r="E73" i="13"/>
  <c r="D73" i="13"/>
  <c r="C73" i="13"/>
  <c r="AP68" i="13"/>
  <c r="AP70" i="13" s="1"/>
  <c r="AN68" i="13"/>
  <c r="AN70" i="13" s="1"/>
  <c r="AM68" i="13"/>
  <c r="AM70" i="13" s="1"/>
  <c r="AL68" i="13"/>
  <c r="AL70" i="13" s="1"/>
  <c r="AK68" i="13"/>
  <c r="AK70" i="13" s="1"/>
  <c r="AJ68" i="13"/>
  <c r="AJ70" i="13" s="1"/>
  <c r="AI68" i="13"/>
  <c r="AI70" i="13" s="1"/>
  <c r="AH68" i="13"/>
  <c r="AH70" i="13" s="1"/>
  <c r="AG68" i="13"/>
  <c r="AG70" i="13" s="1"/>
  <c r="AF68" i="13"/>
  <c r="AF70" i="13" s="1"/>
  <c r="AE68" i="13"/>
  <c r="AE70" i="13" s="1"/>
  <c r="AD68" i="13"/>
  <c r="AD70" i="13" s="1"/>
  <c r="AC68" i="13"/>
  <c r="AC70" i="13" s="1"/>
  <c r="AB68" i="13"/>
  <c r="AB70" i="13" s="1"/>
  <c r="AA68" i="13"/>
  <c r="AA70" i="13" s="1"/>
  <c r="Z68" i="13"/>
  <c r="Z70" i="13" s="1"/>
  <c r="Y68" i="13"/>
  <c r="Y70" i="13" s="1"/>
  <c r="X68" i="13"/>
  <c r="X70" i="13" s="1"/>
  <c r="W68" i="13"/>
  <c r="W70" i="13" s="1"/>
  <c r="V68" i="13"/>
  <c r="V70" i="13" s="1"/>
  <c r="U68" i="13"/>
  <c r="U70" i="13" s="1"/>
  <c r="T68" i="13"/>
  <c r="T70" i="13" s="1"/>
  <c r="S68" i="13"/>
  <c r="S70" i="13" s="1"/>
  <c r="R68" i="13"/>
  <c r="R70" i="13" s="1"/>
  <c r="Q68" i="13"/>
  <c r="Q70" i="13" s="1"/>
  <c r="P68" i="13"/>
  <c r="P70" i="13" s="1"/>
  <c r="O68" i="13"/>
  <c r="O70" i="13" s="1"/>
  <c r="N68" i="13"/>
  <c r="N70" i="13" s="1"/>
  <c r="M68" i="13"/>
  <c r="M70" i="13" s="1"/>
  <c r="L68" i="13"/>
  <c r="L70" i="13" s="1"/>
  <c r="K68" i="13"/>
  <c r="K70" i="13" s="1"/>
  <c r="J68" i="13"/>
  <c r="J70" i="13" s="1"/>
  <c r="I68" i="13"/>
  <c r="I70" i="13" s="1"/>
  <c r="H68" i="13"/>
  <c r="H70" i="13" s="1"/>
  <c r="G68" i="13"/>
  <c r="G70" i="13" s="1"/>
  <c r="F68" i="13"/>
  <c r="F70" i="13" s="1"/>
  <c r="E68" i="13"/>
  <c r="E70" i="13" s="1"/>
  <c r="D68" i="13"/>
  <c r="D70" i="13" s="1"/>
  <c r="C68" i="13"/>
  <c r="C70" i="13" s="1"/>
  <c r="AP67" i="13"/>
  <c r="AP69" i="13" s="1"/>
  <c r="AN67" i="13"/>
  <c r="AN69" i="13" s="1"/>
  <c r="AM67" i="13"/>
  <c r="AM69" i="13" s="1"/>
  <c r="AL67" i="13"/>
  <c r="AL69" i="13" s="1"/>
  <c r="AK67" i="13"/>
  <c r="AK69" i="13" s="1"/>
  <c r="AJ67" i="13"/>
  <c r="AJ69" i="13" s="1"/>
  <c r="AI67" i="13"/>
  <c r="AI69" i="13" s="1"/>
  <c r="AH67" i="13"/>
  <c r="AH69" i="13" s="1"/>
  <c r="AG67" i="13"/>
  <c r="AG69" i="13" s="1"/>
  <c r="AF67" i="13"/>
  <c r="AF69" i="13" s="1"/>
  <c r="AE67" i="13"/>
  <c r="AE69" i="13" s="1"/>
  <c r="AD67" i="13"/>
  <c r="AD69" i="13" s="1"/>
  <c r="AC67" i="13"/>
  <c r="AC69" i="13" s="1"/>
  <c r="AB67" i="13"/>
  <c r="AB69" i="13" s="1"/>
  <c r="AA67" i="13"/>
  <c r="AA69" i="13" s="1"/>
  <c r="Z67" i="13"/>
  <c r="Z69" i="13" s="1"/>
  <c r="Y67" i="13"/>
  <c r="Y69" i="13" s="1"/>
  <c r="X67" i="13"/>
  <c r="X69" i="13" s="1"/>
  <c r="W67" i="13"/>
  <c r="W69" i="13" s="1"/>
  <c r="V67" i="13"/>
  <c r="V69" i="13" s="1"/>
  <c r="U67" i="13"/>
  <c r="U69" i="13" s="1"/>
  <c r="T67" i="13"/>
  <c r="T69" i="13" s="1"/>
  <c r="S67" i="13"/>
  <c r="S69" i="13" s="1"/>
  <c r="R67" i="13"/>
  <c r="R69" i="13" s="1"/>
  <c r="Q67" i="13"/>
  <c r="Q69" i="13" s="1"/>
  <c r="P67" i="13"/>
  <c r="P69" i="13" s="1"/>
  <c r="O67" i="13"/>
  <c r="O69" i="13" s="1"/>
  <c r="N67" i="13"/>
  <c r="N69" i="13" s="1"/>
  <c r="M67" i="13"/>
  <c r="M69" i="13" s="1"/>
  <c r="L67" i="13"/>
  <c r="L69" i="13" s="1"/>
  <c r="K67" i="13"/>
  <c r="K69" i="13" s="1"/>
  <c r="J67" i="13"/>
  <c r="J69" i="13" s="1"/>
  <c r="I67" i="13"/>
  <c r="I69" i="13" s="1"/>
  <c r="H67" i="13"/>
  <c r="H69" i="13" s="1"/>
  <c r="G67" i="13"/>
  <c r="G69" i="13" s="1"/>
  <c r="F67" i="13"/>
  <c r="F69" i="13" s="1"/>
  <c r="E67" i="13"/>
  <c r="E69" i="13" s="1"/>
  <c r="D67" i="13"/>
  <c r="D69" i="13" s="1"/>
  <c r="C67" i="13"/>
  <c r="C69" i="13" s="1"/>
  <c r="AP66" i="13"/>
  <c r="AN66" i="13"/>
  <c r="AM66" i="13"/>
  <c r="AL66" i="13"/>
  <c r="AK66" i="13"/>
  <c r="AJ66" i="13"/>
  <c r="AI66" i="13"/>
  <c r="AH66" i="13"/>
  <c r="AG66" i="13"/>
  <c r="AF66" i="13"/>
  <c r="AE66" i="13"/>
  <c r="AD66" i="13"/>
  <c r="AC66" i="13"/>
  <c r="AB66" i="13"/>
  <c r="AA66" i="13"/>
  <c r="Z66" i="13"/>
  <c r="Y66" i="13"/>
  <c r="X66" i="13"/>
  <c r="W66" i="13"/>
  <c r="V66" i="13"/>
  <c r="U66" i="13"/>
  <c r="T66" i="13"/>
  <c r="S66" i="13"/>
  <c r="R66" i="13"/>
  <c r="Q66" i="13"/>
  <c r="P66" i="13"/>
  <c r="O66" i="13"/>
  <c r="N66" i="13"/>
  <c r="M66" i="13"/>
  <c r="L66" i="13"/>
  <c r="K66" i="13"/>
  <c r="J66" i="13"/>
  <c r="I66" i="13"/>
  <c r="H66" i="13"/>
  <c r="G66" i="13"/>
  <c r="F66" i="13"/>
  <c r="E66" i="13"/>
  <c r="D66" i="13"/>
  <c r="C66" i="13"/>
  <c r="L82" i="13" l="1"/>
  <c r="T82" i="13"/>
  <c r="Y82" i="13"/>
  <c r="AC82" i="13"/>
  <c r="AL82" i="13"/>
  <c r="AG82" i="13"/>
  <c r="F82" i="13"/>
  <c r="M82" i="13"/>
  <c r="Z82" i="13"/>
  <c r="AI82" i="13"/>
  <c r="C82" i="13"/>
  <c r="N82" i="13"/>
  <c r="AA82" i="13"/>
  <c r="AJ82" i="13"/>
  <c r="E82" i="13"/>
  <c r="R82" i="13"/>
  <c r="AB82" i="13"/>
  <c r="AK82" i="13"/>
  <c r="H82" i="13"/>
  <c r="U82" i="13"/>
  <c r="AM82" i="13"/>
  <c r="AD82" i="13"/>
  <c r="I82" i="13"/>
  <c r="W82" i="13"/>
  <c r="AE82" i="13"/>
  <c r="AN82" i="13"/>
  <c r="J82" i="13"/>
  <c r="X82" i="13"/>
  <c r="AF82" i="13"/>
  <c r="AP82" i="13"/>
  <c r="EJ72" i="12"/>
  <c r="EI72" i="12"/>
  <c r="EH72" i="12"/>
  <c r="EG72" i="12"/>
  <c r="EF72" i="12"/>
  <c r="EE72" i="12"/>
  <c r="ED72" i="12"/>
  <c r="EC72" i="12"/>
  <c r="EB72" i="12"/>
  <c r="EA72" i="12"/>
  <c r="DZ72" i="12"/>
  <c r="DY72" i="12"/>
  <c r="DX72" i="12"/>
  <c r="DW72" i="12"/>
  <c r="DV72" i="12"/>
  <c r="DU72" i="12"/>
  <c r="DT72" i="12"/>
  <c r="DS72" i="12"/>
  <c r="DR72" i="12"/>
  <c r="DQ72" i="12"/>
  <c r="DP72" i="12"/>
  <c r="DO72" i="12"/>
  <c r="DN72" i="12"/>
  <c r="DM72" i="12"/>
  <c r="DL72" i="12"/>
  <c r="DK72" i="12"/>
  <c r="DJ72" i="12"/>
  <c r="DI72" i="12"/>
  <c r="DH72" i="12"/>
  <c r="DG72" i="12"/>
  <c r="DF72" i="12"/>
  <c r="DE72" i="12"/>
  <c r="DD72" i="12"/>
  <c r="DC72" i="12"/>
  <c r="DB72" i="12"/>
  <c r="DA72" i="12"/>
  <c r="CZ72" i="12"/>
  <c r="CY72" i="12"/>
  <c r="CX72" i="12"/>
  <c r="CW72" i="12"/>
  <c r="CV72" i="12"/>
  <c r="CU72" i="12"/>
  <c r="CT72" i="12"/>
  <c r="CS72" i="12"/>
  <c r="CR72" i="12"/>
  <c r="CQ72" i="12"/>
  <c r="CP72" i="12"/>
  <c r="CO72" i="12"/>
  <c r="CN72" i="12"/>
  <c r="CM72" i="12"/>
  <c r="CL72" i="12"/>
  <c r="CK72" i="12"/>
  <c r="CJ72" i="12"/>
  <c r="CI72" i="12"/>
  <c r="CH72" i="12"/>
  <c r="CG72" i="12"/>
  <c r="CF72" i="12"/>
  <c r="CE72" i="12"/>
  <c r="CD72" i="12"/>
  <c r="CC72" i="12"/>
  <c r="CB72" i="12"/>
  <c r="CA72" i="12"/>
  <c r="BZ72" i="12"/>
  <c r="BY72" i="12"/>
  <c r="BX72" i="12"/>
  <c r="BW72" i="12"/>
  <c r="BV72" i="12"/>
  <c r="BU72" i="12"/>
  <c r="BT72" i="12"/>
  <c r="BS72" i="12"/>
  <c r="BR72" i="12"/>
  <c r="BQ72" i="12"/>
  <c r="BP72" i="12"/>
  <c r="BO72" i="12"/>
  <c r="BN72" i="12"/>
  <c r="BM72" i="12"/>
  <c r="BL72" i="12"/>
  <c r="BK72" i="12"/>
  <c r="BJ72" i="12"/>
  <c r="BI72" i="12"/>
  <c r="BH72" i="12"/>
  <c r="BG72" i="12"/>
  <c r="BF72" i="12"/>
  <c r="BE72" i="12"/>
  <c r="BD72" i="12"/>
  <c r="BC72" i="12"/>
  <c r="BB72" i="12"/>
  <c r="BA72" i="12"/>
  <c r="AZ72" i="12"/>
  <c r="AY72" i="12"/>
  <c r="AX72" i="12"/>
  <c r="AW72" i="12"/>
  <c r="AV72" i="12"/>
  <c r="AU72" i="12"/>
  <c r="AT72" i="12"/>
  <c r="AS72" i="12"/>
  <c r="AR72" i="12"/>
  <c r="AQ72" i="12"/>
  <c r="AP72" i="12"/>
  <c r="AO72" i="12"/>
  <c r="AN72" i="12"/>
  <c r="AM72" i="12"/>
  <c r="AL72" i="12"/>
  <c r="AK72" i="12"/>
  <c r="AJ72" i="12"/>
  <c r="AI72" i="12"/>
  <c r="AH72" i="12"/>
  <c r="AG72" i="12"/>
  <c r="AF72" i="12"/>
  <c r="AE72" i="12"/>
  <c r="AD72" i="12"/>
  <c r="AC72" i="12"/>
  <c r="AB72" i="12"/>
  <c r="AA72" i="12"/>
  <c r="Z72" i="12"/>
  <c r="Y72" i="12"/>
  <c r="X72" i="12"/>
  <c r="W72" i="12"/>
  <c r="V72" i="12"/>
  <c r="U72" i="12"/>
  <c r="T72" i="12"/>
  <c r="S72" i="12"/>
  <c r="R72" i="12"/>
  <c r="Q72" i="12"/>
  <c r="P72" i="12"/>
  <c r="O72" i="12"/>
  <c r="N72" i="12"/>
  <c r="M72" i="12"/>
  <c r="L72" i="12"/>
  <c r="K72" i="12"/>
  <c r="J72" i="12"/>
  <c r="I72" i="12"/>
  <c r="H72" i="12"/>
  <c r="G72" i="12"/>
  <c r="F72" i="12"/>
  <c r="E72" i="12"/>
  <c r="D72" i="12"/>
  <c r="C72" i="12"/>
  <c r="EJ69" i="12"/>
  <c r="EI69" i="12"/>
  <c r="EH69" i="12"/>
  <c r="EG69" i="12"/>
  <c r="EF69" i="12"/>
  <c r="EE69" i="12"/>
  <c r="ED69" i="12"/>
  <c r="EC69" i="12"/>
  <c r="EB69" i="12"/>
  <c r="EA69" i="12"/>
  <c r="DZ69" i="12"/>
  <c r="DY69" i="12"/>
  <c r="DX69" i="12"/>
  <c r="DW69" i="12"/>
  <c r="DV69" i="12"/>
  <c r="DU69" i="12"/>
  <c r="DT69" i="12"/>
  <c r="DS69" i="12"/>
  <c r="DR69" i="12"/>
  <c r="DQ69" i="12"/>
  <c r="DP69" i="12"/>
  <c r="DO69" i="12"/>
  <c r="DN69" i="12"/>
  <c r="DM69" i="12"/>
  <c r="DL69" i="12"/>
  <c r="DK69" i="12"/>
  <c r="DJ69" i="12"/>
  <c r="DI69" i="12"/>
  <c r="DH69" i="12"/>
  <c r="DG69" i="12"/>
  <c r="DF69" i="12"/>
  <c r="DE69" i="12"/>
  <c r="DD69" i="12"/>
  <c r="DC69" i="12"/>
  <c r="DB69" i="12"/>
  <c r="DA69" i="12"/>
  <c r="CZ69" i="12"/>
  <c r="CY69" i="12"/>
  <c r="CX69" i="12"/>
  <c r="CW69" i="12"/>
  <c r="CV69" i="12"/>
  <c r="CU69" i="12"/>
  <c r="CT69" i="12"/>
  <c r="CS69" i="12"/>
  <c r="CR69" i="12"/>
  <c r="CQ69" i="12"/>
  <c r="CP69" i="12"/>
  <c r="CO69" i="12"/>
  <c r="CN69" i="12"/>
  <c r="CM69" i="12"/>
  <c r="CL69" i="12"/>
  <c r="CK69" i="12"/>
  <c r="CJ69" i="12"/>
  <c r="CI69" i="12"/>
  <c r="CH69" i="12"/>
  <c r="CG69" i="12"/>
  <c r="CF69" i="12"/>
  <c r="CE69" i="12"/>
  <c r="CD69" i="12"/>
  <c r="CC69" i="12"/>
  <c r="CB69" i="12"/>
  <c r="CA69" i="12"/>
  <c r="BZ69" i="12"/>
  <c r="BY69" i="12"/>
  <c r="BX69" i="12"/>
  <c r="BW69" i="12"/>
  <c r="BV69" i="12"/>
  <c r="BU69" i="12"/>
  <c r="BT69" i="12"/>
  <c r="BS69" i="12"/>
  <c r="BR69" i="12"/>
  <c r="BQ69" i="12"/>
  <c r="BP69" i="12"/>
  <c r="BO69" i="12"/>
  <c r="BN69" i="12"/>
  <c r="BM69" i="12"/>
  <c r="BL69" i="12"/>
  <c r="BK69" i="12"/>
  <c r="BJ69" i="12"/>
  <c r="BI69" i="12"/>
  <c r="BH69" i="12"/>
  <c r="BG69" i="12"/>
  <c r="BF69" i="12"/>
  <c r="BE69" i="12"/>
  <c r="BD69" i="12"/>
  <c r="BC69" i="12"/>
  <c r="BB69" i="12"/>
  <c r="BA69" i="12"/>
  <c r="AZ69" i="12"/>
  <c r="AY69" i="12"/>
  <c r="AX69" i="12"/>
  <c r="AW69" i="12"/>
  <c r="AV69" i="12"/>
  <c r="AU69" i="12"/>
  <c r="AT69" i="12"/>
  <c r="AS69" i="12"/>
  <c r="AR69" i="12"/>
  <c r="AQ69" i="12"/>
  <c r="AP69" i="12"/>
  <c r="AO69" i="12"/>
  <c r="AN69" i="12"/>
  <c r="AM69" i="12"/>
  <c r="AL69" i="12"/>
  <c r="AK69" i="12"/>
  <c r="AJ69" i="12"/>
  <c r="AI69" i="12"/>
  <c r="AH69" i="12"/>
  <c r="AG69" i="12"/>
  <c r="AF69" i="12"/>
  <c r="AE69" i="12"/>
  <c r="AD69" i="12"/>
  <c r="AC69" i="12"/>
  <c r="AB69" i="12"/>
  <c r="AA69" i="12"/>
  <c r="Z69" i="12"/>
  <c r="Y69" i="12"/>
  <c r="X69" i="12"/>
  <c r="W69" i="12"/>
  <c r="V69" i="12"/>
  <c r="U69" i="12"/>
  <c r="T69" i="12"/>
  <c r="S69" i="12"/>
  <c r="R69" i="12"/>
  <c r="Q69" i="12"/>
  <c r="P69" i="12"/>
  <c r="O69" i="12"/>
  <c r="N69" i="12"/>
  <c r="M69" i="12"/>
  <c r="L69" i="12"/>
  <c r="K69" i="12"/>
  <c r="J69" i="12"/>
  <c r="I69" i="12"/>
  <c r="H69" i="12"/>
  <c r="G69" i="12"/>
  <c r="F69" i="12"/>
  <c r="E69" i="12"/>
  <c r="D69" i="12"/>
  <c r="C69" i="12"/>
  <c r="EJ68" i="12"/>
  <c r="EI68" i="12"/>
  <c r="EH68" i="12"/>
  <c r="EG68" i="12"/>
  <c r="EF68" i="12"/>
  <c r="EE68" i="12"/>
  <c r="ED68" i="12"/>
  <c r="EC68" i="12"/>
  <c r="EB68" i="12"/>
  <c r="EA68" i="12"/>
  <c r="DZ68" i="12"/>
  <c r="DY68" i="12"/>
  <c r="DX68" i="12"/>
  <c r="DW68" i="12"/>
  <c r="DV68" i="12"/>
  <c r="DU68" i="12"/>
  <c r="DT68" i="12"/>
  <c r="DS68" i="12"/>
  <c r="DR68" i="12"/>
  <c r="DQ68" i="12"/>
  <c r="DP68" i="12"/>
  <c r="DO68" i="12"/>
  <c r="DN68" i="12"/>
  <c r="DM68" i="12"/>
  <c r="DL68" i="12"/>
  <c r="DK68" i="12"/>
  <c r="DJ68" i="12"/>
  <c r="DI68" i="12"/>
  <c r="DH68" i="12"/>
  <c r="DG68" i="12"/>
  <c r="DF68" i="12"/>
  <c r="DE68" i="12"/>
  <c r="DD68" i="12"/>
  <c r="DC68" i="12"/>
  <c r="DB68" i="12"/>
  <c r="DA68" i="12"/>
  <c r="CZ68" i="12"/>
  <c r="CY68" i="12"/>
  <c r="CX68" i="12"/>
  <c r="CW68" i="12"/>
  <c r="CV68" i="12"/>
  <c r="CU68" i="12"/>
  <c r="CT68" i="12"/>
  <c r="CS68" i="12"/>
  <c r="CR68" i="12"/>
  <c r="CQ68" i="12"/>
  <c r="CP68" i="12"/>
  <c r="CO68" i="12"/>
  <c r="CN68" i="12"/>
  <c r="CM68" i="12"/>
  <c r="CL68" i="12"/>
  <c r="CK68" i="12"/>
  <c r="CJ68" i="12"/>
  <c r="CI68" i="12"/>
  <c r="CH68" i="12"/>
  <c r="CG68" i="12"/>
  <c r="CF68" i="12"/>
  <c r="CE68" i="12"/>
  <c r="CD68" i="12"/>
  <c r="CC68" i="12"/>
  <c r="CB68" i="12"/>
  <c r="CA68" i="12"/>
  <c r="BZ68" i="12"/>
  <c r="BY68" i="12"/>
  <c r="BX68" i="12"/>
  <c r="BW68" i="12"/>
  <c r="BV68" i="12"/>
  <c r="BU68" i="12"/>
  <c r="BT68" i="12"/>
  <c r="BS68" i="12"/>
  <c r="BR68" i="12"/>
  <c r="BQ68" i="12"/>
  <c r="BP68" i="12"/>
  <c r="BO68" i="12"/>
  <c r="BN68" i="12"/>
  <c r="BM68" i="12"/>
  <c r="BL68" i="12"/>
  <c r="BK68" i="12"/>
  <c r="BJ68" i="12"/>
  <c r="BI68" i="12"/>
  <c r="BH68" i="12"/>
  <c r="BG68" i="12"/>
  <c r="BF68" i="12"/>
  <c r="BE68" i="12"/>
  <c r="BD68" i="12"/>
  <c r="BC68" i="12"/>
  <c r="BB68" i="12"/>
  <c r="BA68" i="12"/>
  <c r="AZ68" i="12"/>
  <c r="AY68" i="12"/>
  <c r="AX68"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T68" i="12"/>
  <c r="S68" i="12"/>
  <c r="R68" i="12"/>
  <c r="Q68" i="12"/>
  <c r="P68" i="12"/>
  <c r="O68" i="12"/>
  <c r="N68" i="12"/>
  <c r="M68" i="12"/>
  <c r="L68" i="12"/>
  <c r="K68" i="12"/>
  <c r="J68" i="12"/>
  <c r="I68" i="12"/>
  <c r="H68" i="12"/>
  <c r="G68" i="12"/>
  <c r="F68" i="12"/>
  <c r="E68" i="12"/>
  <c r="D68" i="12"/>
  <c r="C68" i="12"/>
  <c r="EJ67" i="12"/>
  <c r="EI67" i="12"/>
  <c r="EH67" i="12"/>
  <c r="EG67" i="12"/>
  <c r="EF67" i="12"/>
  <c r="EE67" i="12"/>
  <c r="ED67" i="12"/>
  <c r="EC67" i="12"/>
  <c r="EB67" i="12"/>
  <c r="EA67" i="12"/>
  <c r="DZ67" i="12"/>
  <c r="DY67" i="12"/>
  <c r="DX67" i="12"/>
  <c r="DW67" i="12"/>
  <c r="DV67" i="12"/>
  <c r="DU67" i="12"/>
  <c r="DT67" i="12"/>
  <c r="DS67" i="12"/>
  <c r="DR67" i="12"/>
  <c r="DQ67" i="12"/>
  <c r="DP67" i="12"/>
  <c r="DO67" i="12"/>
  <c r="DN67" i="12"/>
  <c r="DM67" i="12"/>
  <c r="DL67" i="12"/>
  <c r="DK67" i="12"/>
  <c r="DJ67" i="12"/>
  <c r="DI67" i="12"/>
  <c r="DH67" i="12"/>
  <c r="DG67" i="12"/>
  <c r="DF67" i="12"/>
  <c r="DE67" i="12"/>
  <c r="DD67" i="12"/>
  <c r="DC67" i="12"/>
  <c r="DB67" i="12"/>
  <c r="DA67" i="12"/>
  <c r="CZ67" i="12"/>
  <c r="CY67" i="12"/>
  <c r="CX67" i="12"/>
  <c r="CW67" i="12"/>
  <c r="CV67" i="12"/>
  <c r="CU67" i="12"/>
  <c r="CT67" i="12"/>
  <c r="CS67" i="12"/>
  <c r="CR67" i="12"/>
  <c r="CQ67" i="12"/>
  <c r="CP67" i="12"/>
  <c r="CO67" i="12"/>
  <c r="CN67" i="12"/>
  <c r="CM67" i="12"/>
  <c r="CL67" i="12"/>
  <c r="CK67" i="12"/>
  <c r="CJ67" i="12"/>
  <c r="CI67" i="12"/>
  <c r="CH67" i="12"/>
  <c r="CG67" i="12"/>
  <c r="CF67" i="12"/>
  <c r="CE67" i="12"/>
  <c r="CD67" i="12"/>
  <c r="CC67" i="12"/>
  <c r="CB67" i="12"/>
  <c r="CA67" i="12"/>
  <c r="BZ67" i="12"/>
  <c r="BY67" i="12"/>
  <c r="BX67" i="12"/>
  <c r="BW67" i="12"/>
  <c r="BV67" i="12"/>
  <c r="BU67" i="12"/>
  <c r="BT67" i="12"/>
  <c r="BS67" i="12"/>
  <c r="BR67" i="12"/>
  <c r="BQ67" i="12"/>
  <c r="BP67" i="12"/>
  <c r="BO67" i="12"/>
  <c r="BN67" i="12"/>
  <c r="BM67" i="12"/>
  <c r="BL67" i="12"/>
  <c r="BK67" i="12"/>
  <c r="BJ67" i="12"/>
  <c r="BI67" i="12"/>
  <c r="BH67" i="12"/>
  <c r="BG67" i="12"/>
  <c r="BF67" i="12"/>
  <c r="BE67" i="12"/>
  <c r="BD67" i="12"/>
  <c r="BC67" i="12"/>
  <c r="BB67" i="12"/>
  <c r="BA67" i="12"/>
  <c r="AZ67" i="12"/>
  <c r="AY67" i="12"/>
  <c r="AX67" i="12"/>
  <c r="AW67" i="12"/>
  <c r="AV67" i="12"/>
  <c r="AU67" i="12"/>
  <c r="AT67" i="12"/>
  <c r="AS67" i="12"/>
  <c r="AR67" i="12"/>
  <c r="AQ67" i="12"/>
  <c r="AP67" i="12"/>
  <c r="AO67" i="12"/>
  <c r="AN67" i="12"/>
  <c r="AM67" i="12"/>
  <c r="AL67" i="12"/>
  <c r="AK67" i="12"/>
  <c r="AJ67" i="12"/>
  <c r="AI67" i="12"/>
  <c r="AH67" i="12"/>
  <c r="AG67" i="12"/>
  <c r="AF67" i="12"/>
  <c r="AE67" i="12"/>
  <c r="AD67" i="12"/>
  <c r="AC67" i="12"/>
  <c r="AB67" i="12"/>
  <c r="AA67" i="12"/>
  <c r="Z67" i="12"/>
  <c r="Y67" i="12"/>
  <c r="X67" i="12"/>
  <c r="W67" i="12"/>
  <c r="V67" i="12"/>
  <c r="U67" i="12"/>
  <c r="T67" i="12"/>
  <c r="S67" i="12"/>
  <c r="R67" i="12"/>
  <c r="Q67" i="12"/>
  <c r="P67" i="12"/>
  <c r="O67" i="12"/>
  <c r="N67" i="12"/>
  <c r="M67" i="12"/>
  <c r="L67" i="12"/>
  <c r="K67" i="12"/>
  <c r="J67" i="12"/>
  <c r="I67" i="12"/>
  <c r="H67" i="12"/>
  <c r="G67" i="12"/>
  <c r="F67" i="12"/>
  <c r="E67" i="12"/>
  <c r="D67" i="12"/>
  <c r="C67" i="12"/>
  <c r="EJ66" i="12"/>
  <c r="EI66" i="12"/>
  <c r="EH66" i="12"/>
  <c r="EG66" i="12"/>
  <c r="EF66" i="12"/>
  <c r="EE66" i="12"/>
  <c r="ED66" i="12"/>
  <c r="ED71" i="12" s="1"/>
  <c r="EC66" i="12"/>
  <c r="EB66" i="12"/>
  <c r="EA66" i="12"/>
  <c r="DZ66" i="12"/>
  <c r="DY66" i="12"/>
  <c r="DX66" i="12"/>
  <c r="DW66" i="12"/>
  <c r="DV66" i="12"/>
  <c r="DV71" i="12" s="1"/>
  <c r="DU66" i="12"/>
  <c r="DT66" i="12"/>
  <c r="DS66" i="12"/>
  <c r="DR66" i="12"/>
  <c r="DQ66" i="12"/>
  <c r="DP66" i="12"/>
  <c r="DO66" i="12"/>
  <c r="DN66" i="12"/>
  <c r="DN71" i="12" s="1"/>
  <c r="DM66" i="12"/>
  <c r="DL66" i="12"/>
  <c r="DK66" i="12"/>
  <c r="DJ66" i="12"/>
  <c r="DI66" i="12"/>
  <c r="DH66" i="12"/>
  <c r="DG66" i="12"/>
  <c r="DF66" i="12"/>
  <c r="DF71" i="12" s="1"/>
  <c r="DE66" i="12"/>
  <c r="DD66" i="12"/>
  <c r="DC66" i="12"/>
  <c r="DB66" i="12"/>
  <c r="DA66" i="12"/>
  <c r="CZ66" i="12"/>
  <c r="CY66" i="12"/>
  <c r="CX66" i="12"/>
  <c r="CX71" i="12" s="1"/>
  <c r="CW66" i="12"/>
  <c r="CV66" i="12"/>
  <c r="CU66" i="12"/>
  <c r="CT66" i="12"/>
  <c r="CS66" i="12"/>
  <c r="CR66" i="12"/>
  <c r="CQ66" i="12"/>
  <c r="CP66" i="12"/>
  <c r="CP71" i="12" s="1"/>
  <c r="CO66" i="12"/>
  <c r="CN66" i="12"/>
  <c r="CM66" i="12"/>
  <c r="CL66" i="12"/>
  <c r="CK66" i="12"/>
  <c r="CJ66" i="12"/>
  <c r="CI66" i="12"/>
  <c r="CH66" i="12"/>
  <c r="CH71" i="12" s="1"/>
  <c r="CG66" i="12"/>
  <c r="CF66" i="12"/>
  <c r="CE66" i="12"/>
  <c r="CD66" i="12"/>
  <c r="CC66" i="12"/>
  <c r="CB66" i="12"/>
  <c r="CA66" i="12"/>
  <c r="BZ66" i="12"/>
  <c r="BZ71" i="12" s="1"/>
  <c r="BY66" i="12"/>
  <c r="BX66" i="12"/>
  <c r="BW66" i="12"/>
  <c r="BV66" i="12"/>
  <c r="BU66" i="12"/>
  <c r="BT66" i="12"/>
  <c r="BS66" i="12"/>
  <c r="BR66" i="12"/>
  <c r="BR71" i="12" s="1"/>
  <c r="BQ66" i="12"/>
  <c r="BP66" i="12"/>
  <c r="BO66" i="12"/>
  <c r="BN66" i="12"/>
  <c r="BM66" i="12"/>
  <c r="BL66" i="12"/>
  <c r="BK66" i="12"/>
  <c r="BJ66" i="12"/>
  <c r="BJ71" i="12" s="1"/>
  <c r="BI66" i="12"/>
  <c r="BH66" i="12"/>
  <c r="BG66" i="12"/>
  <c r="BF66" i="12"/>
  <c r="BE66" i="12"/>
  <c r="BD66" i="12"/>
  <c r="BC66" i="12"/>
  <c r="BB66" i="12"/>
  <c r="BB71" i="12" s="1"/>
  <c r="BA66" i="12"/>
  <c r="AZ66" i="12"/>
  <c r="AY66" i="12"/>
  <c r="AX66" i="12"/>
  <c r="AW66" i="12"/>
  <c r="AV66" i="12"/>
  <c r="AU66" i="12"/>
  <c r="AT66" i="12"/>
  <c r="AT71" i="12" s="1"/>
  <c r="AS66" i="12"/>
  <c r="AR66" i="12"/>
  <c r="AQ66" i="12"/>
  <c r="AP66" i="12"/>
  <c r="AO66" i="12"/>
  <c r="AN66" i="12"/>
  <c r="AM66" i="12"/>
  <c r="AL66" i="12"/>
  <c r="AL71" i="12" s="1"/>
  <c r="AK66" i="12"/>
  <c r="AJ66" i="12"/>
  <c r="AI66" i="12"/>
  <c r="AH66" i="12"/>
  <c r="AG66" i="12"/>
  <c r="AF66" i="12"/>
  <c r="AE66" i="12"/>
  <c r="AD66" i="12"/>
  <c r="AD71" i="12" s="1"/>
  <c r="AC66" i="12"/>
  <c r="AB66" i="12"/>
  <c r="AA66" i="12"/>
  <c r="Z66" i="12"/>
  <c r="Y66" i="12"/>
  <c r="X66" i="12"/>
  <c r="W66" i="12"/>
  <c r="V66" i="12"/>
  <c r="V71" i="12" s="1"/>
  <c r="U66" i="12"/>
  <c r="T66" i="12"/>
  <c r="S66" i="12"/>
  <c r="R66" i="12"/>
  <c r="Q66" i="12"/>
  <c r="P66" i="12"/>
  <c r="O66" i="12"/>
  <c r="N66" i="12"/>
  <c r="N71" i="12" s="1"/>
  <c r="M66" i="12"/>
  <c r="L66" i="12"/>
  <c r="K66" i="12"/>
  <c r="J66" i="12"/>
  <c r="I66" i="12"/>
  <c r="H66" i="12"/>
  <c r="G66" i="12"/>
  <c r="F66" i="12"/>
  <c r="F71" i="12" s="1"/>
  <c r="E66" i="12"/>
  <c r="D66" i="12"/>
  <c r="C66" i="12"/>
  <c r="G71" i="12" l="1"/>
  <c r="O71" i="12"/>
  <c r="W71" i="12"/>
  <c r="AE71" i="12"/>
  <c r="AM71" i="12"/>
  <c r="AU71" i="12"/>
  <c r="BC71" i="12"/>
  <c r="BK71" i="12"/>
  <c r="BS71" i="12"/>
  <c r="CA71" i="12"/>
  <c r="CI71" i="12"/>
  <c r="CQ71" i="12"/>
  <c r="CY71" i="12"/>
  <c r="DG71" i="12"/>
  <c r="DO71" i="12"/>
  <c r="DW71" i="12"/>
  <c r="EE71" i="12"/>
  <c r="D71" i="12"/>
  <c r="L71" i="12"/>
  <c r="T71" i="12"/>
  <c r="AB71" i="12"/>
  <c r="AJ71" i="12"/>
  <c r="AR71" i="12"/>
  <c r="AZ71" i="12"/>
  <c r="BH71" i="12"/>
  <c r="BP71" i="12"/>
  <c r="BX71" i="12"/>
  <c r="CF71" i="12"/>
  <c r="CN71" i="12"/>
  <c r="CV71" i="12"/>
  <c r="DD71" i="12"/>
  <c r="DL71" i="12"/>
  <c r="DT71" i="12"/>
  <c r="EB71" i="12"/>
  <c r="E71" i="12"/>
  <c r="M71" i="12"/>
  <c r="U71" i="12"/>
  <c r="AC71" i="12"/>
  <c r="AK71" i="12"/>
  <c r="AS71" i="12"/>
  <c r="BA71" i="12"/>
  <c r="BI71" i="12"/>
  <c r="BQ71" i="12"/>
  <c r="BY71" i="12"/>
  <c r="CG71" i="12"/>
  <c r="CO71" i="12"/>
  <c r="CW71" i="12"/>
  <c r="DE71" i="12"/>
  <c r="DM71" i="12"/>
  <c r="DU71" i="12"/>
  <c r="EC71" i="12"/>
  <c r="H71" i="12"/>
  <c r="P71" i="12"/>
  <c r="X71" i="12"/>
  <c r="AF71" i="12"/>
  <c r="AN71" i="12"/>
  <c r="AV71" i="12"/>
  <c r="BD71" i="12"/>
  <c r="BL71" i="12"/>
  <c r="BT71" i="12"/>
  <c r="CB71" i="12"/>
  <c r="CJ71" i="12"/>
  <c r="CR71" i="12"/>
  <c r="CZ71" i="12"/>
  <c r="DH71" i="12"/>
  <c r="DP71" i="12"/>
  <c r="DX71" i="12"/>
  <c r="EF71" i="12"/>
  <c r="I71" i="12"/>
  <c r="Q71" i="12"/>
  <c r="Y71" i="12"/>
  <c r="AG71" i="12"/>
  <c r="AO71" i="12"/>
  <c r="AW71" i="12"/>
  <c r="BE71" i="12"/>
  <c r="BM71" i="12"/>
  <c r="BU71" i="12"/>
  <c r="CC71" i="12"/>
  <c r="CK71" i="12"/>
  <c r="CS71" i="12"/>
  <c r="DA71" i="12"/>
  <c r="DI71" i="12"/>
  <c r="DQ71" i="12"/>
  <c r="DY71" i="12"/>
  <c r="EG71" i="12"/>
  <c r="EJ71" i="12"/>
  <c r="J71" i="12"/>
  <c r="R71" i="12"/>
  <c r="Z71" i="12"/>
  <c r="AH71" i="12"/>
  <c r="AP71" i="12"/>
  <c r="AX71" i="12"/>
  <c r="BF71" i="12"/>
  <c r="BN71" i="12"/>
  <c r="BV71" i="12"/>
  <c r="CD71" i="12"/>
  <c r="CL71" i="12"/>
  <c r="CT71" i="12"/>
  <c r="DB71" i="12"/>
  <c r="DJ71" i="12"/>
  <c r="DR71" i="12"/>
  <c r="DZ71" i="12"/>
  <c r="EH71" i="12"/>
  <c r="C71" i="12"/>
  <c r="K71" i="12"/>
  <c r="S71" i="12"/>
  <c r="AA71" i="12"/>
  <c r="AI71" i="12"/>
  <c r="AQ71" i="12"/>
  <c r="AY71" i="12"/>
  <c r="BG71" i="12"/>
  <c r="BO71" i="12"/>
  <c r="BW71" i="12"/>
  <c r="CE71" i="12"/>
  <c r="CM71" i="12"/>
  <c r="CU71" i="12"/>
  <c r="DC71" i="12"/>
  <c r="DK71" i="12"/>
  <c r="DS71" i="12"/>
  <c r="EA71" i="12"/>
  <c r="EI71" i="12"/>
  <c r="AP81" i="11" l="1"/>
  <c r="AN81" i="11"/>
  <c r="AM81" i="11"/>
  <c r="AL81" i="11"/>
  <c r="AK81" i="11"/>
  <c r="AJ81" i="11"/>
  <c r="AI81" i="11"/>
  <c r="AG81" i="11"/>
  <c r="AF81" i="11"/>
  <c r="AE81" i="11"/>
  <c r="AD81" i="11"/>
  <c r="AC81" i="11"/>
  <c r="AB81" i="11"/>
  <c r="AA81" i="11"/>
  <c r="Z81" i="11"/>
  <c r="Y81" i="11"/>
  <c r="X81" i="11"/>
  <c r="W81" i="11"/>
  <c r="U81" i="11"/>
  <c r="T81" i="11"/>
  <c r="R81" i="11"/>
  <c r="N81" i="11"/>
  <c r="M81" i="11"/>
  <c r="L81" i="11"/>
  <c r="J81" i="11"/>
  <c r="I81" i="11"/>
  <c r="H81" i="11"/>
  <c r="F81" i="11"/>
  <c r="E81" i="11"/>
  <c r="C81" i="11"/>
  <c r="AP79" i="11"/>
  <c r="AN79" i="11"/>
  <c r="AM79" i="11"/>
  <c r="AL79" i="11"/>
  <c r="AK79" i="11"/>
  <c r="AJ79" i="11"/>
  <c r="AI79" i="11"/>
  <c r="AG79" i="11"/>
  <c r="AF79" i="11"/>
  <c r="AE79" i="11"/>
  <c r="AD79" i="11"/>
  <c r="AC79" i="11"/>
  <c r="AB79" i="11"/>
  <c r="AA79" i="11"/>
  <c r="Z79" i="11"/>
  <c r="Y79" i="11"/>
  <c r="X79" i="11"/>
  <c r="W79" i="11"/>
  <c r="U79" i="11"/>
  <c r="T79" i="11"/>
  <c r="R79" i="11"/>
  <c r="N79" i="11"/>
  <c r="M79" i="11"/>
  <c r="L79" i="11"/>
  <c r="J79" i="11"/>
  <c r="I79" i="11"/>
  <c r="H79" i="11"/>
  <c r="F79" i="11"/>
  <c r="E79" i="11"/>
  <c r="C79" i="11"/>
  <c r="AP78" i="11"/>
  <c r="AN78" i="11"/>
  <c r="AM78" i="11"/>
  <c r="AL78" i="11"/>
  <c r="AK78" i="11"/>
  <c r="AJ78" i="11"/>
  <c r="AI78" i="11"/>
  <c r="AG78" i="11"/>
  <c r="AF78" i="11"/>
  <c r="AE78" i="11"/>
  <c r="AD78" i="11"/>
  <c r="AC78" i="11"/>
  <c r="AB78" i="11"/>
  <c r="AA78" i="11"/>
  <c r="Z78" i="11"/>
  <c r="Y78" i="11"/>
  <c r="X78" i="11"/>
  <c r="W78" i="11"/>
  <c r="U78" i="11"/>
  <c r="T78" i="11"/>
  <c r="R78" i="11"/>
  <c r="N78" i="11"/>
  <c r="M78" i="11"/>
  <c r="L78" i="11"/>
  <c r="J78" i="11"/>
  <c r="I78" i="11"/>
  <c r="H78" i="11"/>
  <c r="F78" i="11"/>
  <c r="E78" i="11"/>
  <c r="C78" i="11"/>
  <c r="AP77" i="11"/>
  <c r="AN77" i="11"/>
  <c r="AM77" i="11"/>
  <c r="AL77" i="11"/>
  <c r="AK77" i="11"/>
  <c r="AJ77" i="11"/>
  <c r="AI77" i="11"/>
  <c r="AG77" i="11"/>
  <c r="AF77" i="11"/>
  <c r="AE77" i="11"/>
  <c r="AD77" i="11"/>
  <c r="AC77" i="11"/>
  <c r="AB77" i="11"/>
  <c r="AA77" i="11"/>
  <c r="Z77" i="11"/>
  <c r="Y77" i="11"/>
  <c r="X77" i="11"/>
  <c r="W77" i="11"/>
  <c r="U77" i="11"/>
  <c r="T77" i="11"/>
  <c r="R77" i="11"/>
  <c r="N77" i="11"/>
  <c r="M77" i="11"/>
  <c r="L77" i="11"/>
  <c r="J77" i="11"/>
  <c r="I77" i="11"/>
  <c r="H77" i="11"/>
  <c r="F77" i="11"/>
  <c r="E77" i="11"/>
  <c r="C77" i="11"/>
  <c r="AP76" i="11"/>
  <c r="AN76" i="11"/>
  <c r="AM76" i="11"/>
  <c r="AL76" i="11"/>
  <c r="AK76" i="11"/>
  <c r="AJ76" i="11"/>
  <c r="AI76" i="11"/>
  <c r="AG76" i="11"/>
  <c r="AF76" i="11"/>
  <c r="AE76" i="11"/>
  <c r="AD76" i="11"/>
  <c r="AC76" i="11"/>
  <c r="AB76" i="11"/>
  <c r="AA76" i="11"/>
  <c r="Z76" i="11"/>
  <c r="Y76" i="11"/>
  <c r="X76" i="11"/>
  <c r="W76" i="11"/>
  <c r="U76" i="11"/>
  <c r="T76" i="11"/>
  <c r="R76" i="11"/>
  <c r="N76" i="11"/>
  <c r="M76" i="11"/>
  <c r="L76" i="11"/>
  <c r="J76" i="11"/>
  <c r="I76" i="11"/>
  <c r="H76" i="11"/>
  <c r="F76" i="11"/>
  <c r="E76" i="11"/>
  <c r="C76" i="11"/>
  <c r="AP74" i="11"/>
  <c r="AN74" i="11"/>
  <c r="AM74" i="11"/>
  <c r="AL74" i="11"/>
  <c r="AK74" i="11"/>
  <c r="AJ74" i="11"/>
  <c r="AI74" i="11"/>
  <c r="AH74" i="11"/>
  <c r="AG74" i="11"/>
  <c r="AF74" i="11"/>
  <c r="AE74" i="11"/>
  <c r="AD74" i="11"/>
  <c r="AC74" i="11"/>
  <c r="AB74" i="11"/>
  <c r="AA74" i="11"/>
  <c r="Z74" i="11"/>
  <c r="Y74" i="11"/>
  <c r="X74" i="11"/>
  <c r="W74" i="11"/>
  <c r="V74" i="11"/>
  <c r="U74" i="11"/>
  <c r="T74" i="11"/>
  <c r="S74" i="11"/>
  <c r="R74" i="11"/>
  <c r="Q74" i="11"/>
  <c r="P74" i="11"/>
  <c r="O74" i="11"/>
  <c r="N74" i="11"/>
  <c r="M74" i="11"/>
  <c r="L74" i="11"/>
  <c r="K74" i="11"/>
  <c r="J74" i="11"/>
  <c r="I74" i="11"/>
  <c r="H74" i="11"/>
  <c r="G74" i="11"/>
  <c r="F74" i="11"/>
  <c r="E74" i="11"/>
  <c r="D74" i="11"/>
  <c r="C74" i="11"/>
  <c r="AP73" i="11"/>
  <c r="AN73" i="11"/>
  <c r="AM73" i="11"/>
  <c r="AL73" i="11"/>
  <c r="AK73" i="11"/>
  <c r="AJ73" i="11"/>
  <c r="AI73" i="11"/>
  <c r="AH73" i="11"/>
  <c r="AG73" i="11"/>
  <c r="AF73" i="11"/>
  <c r="AE73" i="11"/>
  <c r="AD73" i="11"/>
  <c r="AC73" i="11"/>
  <c r="AB73" i="11"/>
  <c r="AA73" i="11"/>
  <c r="Z73" i="11"/>
  <c r="Y73" i="11"/>
  <c r="X73" i="11"/>
  <c r="W73" i="11"/>
  <c r="V73" i="11"/>
  <c r="U73" i="11"/>
  <c r="T73" i="11"/>
  <c r="S73" i="11"/>
  <c r="R73" i="11"/>
  <c r="Q73" i="11"/>
  <c r="P73" i="11"/>
  <c r="O73" i="11"/>
  <c r="N73" i="11"/>
  <c r="M73" i="11"/>
  <c r="L73" i="11"/>
  <c r="K73" i="11"/>
  <c r="J73" i="11"/>
  <c r="I73" i="11"/>
  <c r="H73" i="11"/>
  <c r="G73" i="11"/>
  <c r="F73" i="11"/>
  <c r="E73" i="11"/>
  <c r="D73" i="11"/>
  <c r="C73" i="11"/>
  <c r="AP68" i="11"/>
  <c r="AP70" i="11" s="1"/>
  <c r="AN68" i="11"/>
  <c r="AN70" i="11" s="1"/>
  <c r="AM68" i="11"/>
  <c r="AM70" i="11" s="1"/>
  <c r="AL68" i="11"/>
  <c r="AL70" i="11" s="1"/>
  <c r="AK68" i="11"/>
  <c r="AK70" i="11" s="1"/>
  <c r="AJ68" i="11"/>
  <c r="AJ70" i="11" s="1"/>
  <c r="AI68" i="11"/>
  <c r="AI70" i="11" s="1"/>
  <c r="AH68" i="11"/>
  <c r="AH70" i="11" s="1"/>
  <c r="AG68" i="11"/>
  <c r="AG70" i="11" s="1"/>
  <c r="AF68" i="11"/>
  <c r="AF70" i="11" s="1"/>
  <c r="AE68" i="11"/>
  <c r="AE70" i="11" s="1"/>
  <c r="AD68" i="11"/>
  <c r="AD70" i="11" s="1"/>
  <c r="AC68" i="11"/>
  <c r="AC70" i="11" s="1"/>
  <c r="AB68" i="11"/>
  <c r="AB70" i="11" s="1"/>
  <c r="AA68" i="11"/>
  <c r="AA70" i="11" s="1"/>
  <c r="Z68" i="11"/>
  <c r="Z70" i="11" s="1"/>
  <c r="Y68" i="11"/>
  <c r="Y70" i="11" s="1"/>
  <c r="X68" i="11"/>
  <c r="X70" i="11" s="1"/>
  <c r="W68" i="11"/>
  <c r="W70" i="11" s="1"/>
  <c r="V68" i="11"/>
  <c r="V70" i="11" s="1"/>
  <c r="U68" i="11"/>
  <c r="U70" i="11" s="1"/>
  <c r="T68" i="11"/>
  <c r="T70" i="11" s="1"/>
  <c r="S68" i="11"/>
  <c r="S70" i="11" s="1"/>
  <c r="R68" i="11"/>
  <c r="R70" i="11" s="1"/>
  <c r="Q68" i="11"/>
  <c r="Q70" i="11" s="1"/>
  <c r="P68" i="11"/>
  <c r="P70" i="11" s="1"/>
  <c r="O68" i="11"/>
  <c r="O70" i="11" s="1"/>
  <c r="N68" i="11"/>
  <c r="N70" i="11" s="1"/>
  <c r="M68" i="11"/>
  <c r="M70" i="11" s="1"/>
  <c r="L68" i="11"/>
  <c r="L70" i="11" s="1"/>
  <c r="K68" i="11"/>
  <c r="K70" i="11" s="1"/>
  <c r="J68" i="11"/>
  <c r="J70" i="11" s="1"/>
  <c r="I68" i="11"/>
  <c r="I70" i="11" s="1"/>
  <c r="H68" i="11"/>
  <c r="H70" i="11" s="1"/>
  <c r="G68" i="11"/>
  <c r="G70" i="11" s="1"/>
  <c r="F68" i="11"/>
  <c r="F70" i="11" s="1"/>
  <c r="E68" i="11"/>
  <c r="E70" i="11" s="1"/>
  <c r="D68" i="11"/>
  <c r="D70" i="11" s="1"/>
  <c r="C68" i="11"/>
  <c r="C70" i="11" s="1"/>
  <c r="AP67" i="11"/>
  <c r="AP69" i="11" s="1"/>
  <c r="AN67" i="11"/>
  <c r="AN69" i="11" s="1"/>
  <c r="AM67" i="11"/>
  <c r="AM69" i="11" s="1"/>
  <c r="AL67" i="11"/>
  <c r="AL69" i="11" s="1"/>
  <c r="AK67" i="11"/>
  <c r="AK69" i="11" s="1"/>
  <c r="AJ67" i="11"/>
  <c r="AJ69" i="11" s="1"/>
  <c r="AI67" i="11"/>
  <c r="AI69" i="11" s="1"/>
  <c r="AH67" i="11"/>
  <c r="AH69" i="11" s="1"/>
  <c r="AG67" i="11"/>
  <c r="AG69" i="11" s="1"/>
  <c r="AF67" i="11"/>
  <c r="AF69" i="11" s="1"/>
  <c r="AE67" i="11"/>
  <c r="AE69" i="11" s="1"/>
  <c r="AD67" i="11"/>
  <c r="AD69" i="11" s="1"/>
  <c r="AC67" i="11"/>
  <c r="AC69" i="11" s="1"/>
  <c r="AB67" i="11"/>
  <c r="AB69" i="11" s="1"/>
  <c r="AA67" i="11"/>
  <c r="AA69" i="11" s="1"/>
  <c r="Z67" i="11"/>
  <c r="Z69" i="11" s="1"/>
  <c r="Y67" i="11"/>
  <c r="Y69" i="11" s="1"/>
  <c r="X67" i="11"/>
  <c r="X69" i="11" s="1"/>
  <c r="W67" i="11"/>
  <c r="W69" i="11" s="1"/>
  <c r="V67" i="11"/>
  <c r="V69" i="11" s="1"/>
  <c r="U67" i="11"/>
  <c r="U69" i="11" s="1"/>
  <c r="T67" i="11"/>
  <c r="T69" i="11" s="1"/>
  <c r="S67" i="11"/>
  <c r="S69" i="11" s="1"/>
  <c r="R67" i="11"/>
  <c r="R69" i="11" s="1"/>
  <c r="Q67" i="11"/>
  <c r="Q69" i="11" s="1"/>
  <c r="P67" i="11"/>
  <c r="P69" i="11" s="1"/>
  <c r="O67" i="11"/>
  <c r="O69" i="11" s="1"/>
  <c r="N67" i="11"/>
  <c r="N69" i="11" s="1"/>
  <c r="M67" i="11"/>
  <c r="M69" i="11" s="1"/>
  <c r="L67" i="11"/>
  <c r="L69" i="11" s="1"/>
  <c r="K67" i="11"/>
  <c r="K69" i="11" s="1"/>
  <c r="J67" i="11"/>
  <c r="J69" i="11" s="1"/>
  <c r="I67" i="11"/>
  <c r="I69" i="11" s="1"/>
  <c r="H67" i="11"/>
  <c r="H69" i="11" s="1"/>
  <c r="G67" i="11"/>
  <c r="G69" i="11" s="1"/>
  <c r="F67" i="11"/>
  <c r="F69" i="11" s="1"/>
  <c r="E67" i="11"/>
  <c r="E69" i="11" s="1"/>
  <c r="D67" i="11"/>
  <c r="D69" i="11" s="1"/>
  <c r="C67" i="11"/>
  <c r="C69" i="11" s="1"/>
  <c r="AP66" i="11"/>
  <c r="AN66" i="11"/>
  <c r="AM66" i="11"/>
  <c r="AL66" i="11"/>
  <c r="AK66" i="11"/>
  <c r="AJ66" i="11"/>
  <c r="AI66" i="11"/>
  <c r="AH66" i="11"/>
  <c r="AG66" i="11"/>
  <c r="AF66" i="11"/>
  <c r="AE66" i="11"/>
  <c r="AD66" i="11"/>
  <c r="AC66" i="11"/>
  <c r="AB66" i="11"/>
  <c r="AA66" i="11"/>
  <c r="Z66" i="11"/>
  <c r="Y66" i="11"/>
  <c r="X66" i="11"/>
  <c r="W66" i="11"/>
  <c r="V66" i="11"/>
  <c r="U66" i="11"/>
  <c r="T66" i="11"/>
  <c r="S66" i="11"/>
  <c r="R66" i="11"/>
  <c r="Q66" i="11"/>
  <c r="P66" i="11"/>
  <c r="O66" i="11"/>
  <c r="N66" i="11"/>
  <c r="M66" i="11"/>
  <c r="L66" i="11"/>
  <c r="K66" i="11"/>
  <c r="J66" i="11"/>
  <c r="I66" i="11"/>
  <c r="H66" i="11"/>
  <c r="G66" i="11"/>
  <c r="F66" i="11"/>
  <c r="E66" i="11"/>
  <c r="D66" i="11"/>
  <c r="C66" i="11"/>
  <c r="AF82" i="11" l="1"/>
  <c r="AP82" i="11"/>
  <c r="L82" i="11"/>
  <c r="Y82" i="11"/>
  <c r="AG82" i="11"/>
  <c r="J82" i="11"/>
  <c r="X82" i="11"/>
  <c r="E82" i="11"/>
  <c r="R82" i="11"/>
  <c r="AB82" i="11"/>
  <c r="AK82" i="11"/>
  <c r="N82" i="11"/>
  <c r="F82" i="11"/>
  <c r="T82" i="11"/>
  <c r="AC82" i="11"/>
  <c r="AL82" i="11"/>
  <c r="AJ82" i="11"/>
  <c r="H82" i="11"/>
  <c r="U82" i="11"/>
  <c r="AD82" i="11"/>
  <c r="AM82" i="11"/>
  <c r="AA82" i="11"/>
  <c r="I82" i="11"/>
  <c r="W82" i="11"/>
  <c r="AE82" i="11"/>
  <c r="AN82" i="11"/>
  <c r="C82" i="11"/>
  <c r="M82" i="11"/>
  <c r="Z82" i="11"/>
  <c r="AI82" i="11"/>
  <c r="C70" i="1"/>
  <c r="D70" i="1"/>
  <c r="F70" i="1"/>
  <c r="G70" i="1"/>
  <c r="H70" i="1"/>
  <c r="I70" i="1"/>
  <c r="J70" i="1"/>
  <c r="K70" i="1"/>
  <c r="L70" i="1"/>
  <c r="M70" i="1"/>
  <c r="P70" i="1"/>
  <c r="Q70" i="1"/>
  <c r="S70" i="1"/>
  <c r="T70" i="1"/>
  <c r="C71" i="1"/>
  <c r="D71" i="1"/>
  <c r="F71" i="1"/>
  <c r="G71" i="1"/>
  <c r="H71" i="1"/>
  <c r="I71" i="1"/>
  <c r="J71" i="1"/>
  <c r="K71" i="1"/>
  <c r="L71" i="1"/>
  <c r="M71" i="1"/>
  <c r="P71" i="1"/>
  <c r="Q71" i="1"/>
  <c r="S71" i="1"/>
  <c r="T71" i="1"/>
  <c r="B71" i="1"/>
  <c r="B70" i="1"/>
  <c r="C65" i="1"/>
  <c r="D65" i="1"/>
  <c r="F65" i="1"/>
  <c r="G65" i="1"/>
  <c r="H65" i="1"/>
  <c r="I65" i="1"/>
  <c r="J65" i="1"/>
  <c r="K65" i="1"/>
  <c r="L65" i="1"/>
  <c r="M65" i="1"/>
  <c r="P65" i="1"/>
  <c r="Q65" i="1"/>
  <c r="S65" i="1"/>
  <c r="T65" i="1"/>
  <c r="C66" i="1"/>
  <c r="D66" i="1"/>
  <c r="F66" i="1"/>
  <c r="G66" i="1"/>
  <c r="H66" i="1"/>
  <c r="I66" i="1"/>
  <c r="J66" i="1"/>
  <c r="K66" i="1"/>
  <c r="L66" i="1"/>
  <c r="M66" i="1"/>
  <c r="P66" i="1"/>
  <c r="Q66" i="1"/>
  <c r="S66" i="1"/>
  <c r="T66" i="1"/>
  <c r="B65" i="1"/>
  <c r="B66" i="1"/>
  <c r="J79" i="2" l="1"/>
  <c r="J78" i="2"/>
  <c r="I79" i="2"/>
  <c r="I78" i="2"/>
  <c r="F79" i="2"/>
  <c r="F78" i="2"/>
  <c r="E79" i="2"/>
  <c r="E78" i="2"/>
  <c r="D79" i="2"/>
  <c r="D78" i="2"/>
  <c r="C79" i="2"/>
  <c r="C78" i="2"/>
  <c r="B79" i="2"/>
  <c r="B78" i="2"/>
  <c r="C76" i="2"/>
  <c r="D76" i="2"/>
  <c r="E76" i="2"/>
  <c r="F76" i="2"/>
  <c r="I76" i="2"/>
  <c r="J76" i="2"/>
  <c r="C77" i="2"/>
  <c r="D77" i="2"/>
  <c r="E77" i="2"/>
  <c r="F77" i="2"/>
  <c r="I77" i="2"/>
  <c r="J77" i="2"/>
  <c r="B77" i="2"/>
  <c r="B76" i="2"/>
  <c r="H140" i="2"/>
  <c r="H139" i="2"/>
  <c r="H141" i="2"/>
  <c r="G141" i="2"/>
  <c r="G140" i="2"/>
  <c r="G139" i="2"/>
  <c r="C65" i="2"/>
  <c r="D65" i="2"/>
  <c r="E65" i="2"/>
  <c r="F65" i="2"/>
  <c r="G65" i="2"/>
  <c r="H65" i="2"/>
  <c r="I65" i="2"/>
  <c r="J65" i="2"/>
  <c r="C66" i="2"/>
  <c r="D66" i="2"/>
  <c r="E66" i="2"/>
  <c r="F66" i="2"/>
  <c r="G66" i="2"/>
  <c r="H66" i="2"/>
  <c r="I66" i="2"/>
  <c r="J66" i="2"/>
  <c r="B66" i="2"/>
  <c r="B65" i="2"/>
  <c r="C70" i="2"/>
  <c r="D70" i="2"/>
  <c r="E70" i="2"/>
  <c r="F70" i="2"/>
  <c r="G70" i="2"/>
  <c r="H70" i="2"/>
  <c r="I70" i="2"/>
  <c r="J70" i="2"/>
  <c r="C71" i="2"/>
  <c r="D71" i="2"/>
  <c r="E71" i="2"/>
  <c r="F71" i="2"/>
  <c r="G71" i="2"/>
  <c r="H71" i="2"/>
  <c r="I71" i="2"/>
  <c r="J71" i="2"/>
  <c r="C69" i="2"/>
  <c r="D69" i="2"/>
  <c r="E69" i="2"/>
  <c r="F69" i="2"/>
  <c r="G69" i="2"/>
  <c r="H69" i="2"/>
  <c r="I69" i="2"/>
  <c r="J69" i="2"/>
  <c r="B69" i="2"/>
  <c r="B71" i="2"/>
  <c r="B70" i="2"/>
  <c r="C65" i="6" l="1"/>
  <c r="D65" i="6"/>
  <c r="E65" i="6"/>
  <c r="F65" i="6"/>
  <c r="G65" i="6"/>
  <c r="H65" i="6"/>
  <c r="I65" i="6"/>
  <c r="J65" i="6"/>
  <c r="K65" i="6"/>
  <c r="L65" i="6"/>
  <c r="M65" i="6"/>
  <c r="N65" i="6"/>
  <c r="O65" i="6"/>
  <c r="P65" i="6"/>
  <c r="Q65" i="6"/>
  <c r="R65" i="6"/>
  <c r="S65" i="6"/>
  <c r="T65" i="6"/>
  <c r="U65" i="6"/>
  <c r="V65" i="6"/>
  <c r="Z65" i="6"/>
  <c r="C66" i="6"/>
  <c r="D66" i="6"/>
  <c r="E66" i="6"/>
  <c r="F66" i="6"/>
  <c r="G66" i="6"/>
  <c r="H66" i="6"/>
  <c r="I66" i="6"/>
  <c r="J66" i="6"/>
  <c r="K66" i="6"/>
  <c r="L66" i="6"/>
  <c r="M66" i="6"/>
  <c r="N66" i="6"/>
  <c r="O66" i="6"/>
  <c r="P66" i="6"/>
  <c r="Q66" i="6"/>
  <c r="R66" i="6"/>
  <c r="S66" i="6"/>
  <c r="T66" i="6"/>
  <c r="U66" i="6"/>
  <c r="V66" i="6"/>
  <c r="Z66" i="6"/>
  <c r="B66" i="6"/>
  <c r="B65" i="6"/>
  <c r="C72" i="6"/>
  <c r="D72" i="6"/>
  <c r="E72" i="6"/>
  <c r="F72" i="6"/>
  <c r="G72" i="6"/>
  <c r="H72" i="6"/>
  <c r="I72" i="6"/>
  <c r="J72" i="6"/>
  <c r="K72" i="6"/>
  <c r="L72" i="6"/>
  <c r="M72" i="6"/>
  <c r="N72" i="6"/>
  <c r="O72" i="6"/>
  <c r="P72" i="6"/>
  <c r="Q72" i="6"/>
  <c r="R72" i="6"/>
  <c r="S72" i="6"/>
  <c r="T72" i="6"/>
  <c r="U72" i="6"/>
  <c r="V72" i="6"/>
  <c r="C73" i="6"/>
  <c r="D73" i="6"/>
  <c r="E73" i="6"/>
  <c r="F73" i="6"/>
  <c r="G73" i="6"/>
  <c r="H73" i="6"/>
  <c r="I73" i="6"/>
  <c r="J73" i="6"/>
  <c r="K73" i="6"/>
  <c r="L73" i="6"/>
  <c r="M73" i="6"/>
  <c r="N73" i="6"/>
  <c r="O73" i="6"/>
  <c r="P73" i="6"/>
  <c r="Q73" i="6"/>
  <c r="R73" i="6"/>
  <c r="S73" i="6"/>
  <c r="T73" i="6"/>
  <c r="U73" i="6"/>
  <c r="V73" i="6"/>
  <c r="B73" i="6"/>
  <c r="B72" i="6"/>
  <c r="AY119" i="5" l="1"/>
  <c r="AY120" i="5"/>
  <c r="AY118" i="5"/>
  <c r="AN157" i="5"/>
  <c r="AN156" i="5"/>
  <c r="AN155" i="5"/>
  <c r="AN35" i="5"/>
  <c r="AN123" i="5"/>
  <c r="AN122" i="5"/>
  <c r="AN121" i="5"/>
  <c r="AN4" i="5"/>
  <c r="AN5" i="5"/>
  <c r="AN6" i="5"/>
  <c r="AN7" i="5"/>
  <c r="AN8" i="5"/>
  <c r="AN9" i="5"/>
  <c r="AN10" i="5"/>
  <c r="AN11" i="5"/>
  <c r="AN12" i="5"/>
  <c r="AN13" i="5"/>
  <c r="AN14" i="5"/>
  <c r="AN15" i="5"/>
  <c r="AN16" i="5"/>
  <c r="AN17" i="5"/>
  <c r="AN18" i="5"/>
  <c r="AN19" i="5"/>
  <c r="AN20" i="5"/>
  <c r="AN21" i="5"/>
  <c r="AN22" i="5"/>
  <c r="AN23" i="5"/>
  <c r="AN24" i="5"/>
  <c r="AN25" i="5"/>
  <c r="AN26" i="5"/>
  <c r="AN27" i="5"/>
  <c r="AN28" i="5"/>
  <c r="AN29" i="5"/>
  <c r="AN30" i="5"/>
  <c r="AN31" i="5"/>
  <c r="AN32" i="5"/>
  <c r="AN33" i="5"/>
  <c r="AN34" i="5"/>
  <c r="AN36" i="5"/>
  <c r="AN37" i="5"/>
  <c r="AN38" i="5"/>
  <c r="AN39" i="5"/>
  <c r="AN40" i="5"/>
  <c r="AN41" i="5"/>
  <c r="AN42" i="5"/>
  <c r="AN43" i="5"/>
  <c r="AN44" i="5"/>
  <c r="AN45" i="5"/>
  <c r="AN46" i="5"/>
  <c r="AN47" i="5"/>
  <c r="AN48" i="5"/>
  <c r="AN49" i="5"/>
  <c r="AN51" i="5"/>
  <c r="AN52" i="5"/>
  <c r="AN53" i="5"/>
  <c r="AN54" i="5"/>
  <c r="AN55" i="5"/>
  <c r="AN56" i="5"/>
  <c r="AN57" i="5"/>
  <c r="AN58" i="5"/>
  <c r="AN59" i="5"/>
  <c r="AN60" i="5"/>
  <c r="AN61" i="5"/>
  <c r="AN62" i="5"/>
  <c r="AN63" i="5"/>
  <c r="AN3" i="5"/>
  <c r="V152" i="5"/>
  <c r="V120" i="5"/>
  <c r="W69" i="5"/>
  <c r="W70" i="5"/>
  <c r="W71" i="5"/>
  <c r="W73" i="5"/>
  <c r="W74" i="5"/>
  <c r="M156" i="5"/>
  <c r="M155" i="5"/>
  <c r="M158" i="5" s="1"/>
  <c r="M122" i="5"/>
  <c r="M121" i="5"/>
  <c r="M120" i="5"/>
  <c r="O156" i="5"/>
  <c r="O155" i="5"/>
  <c r="O157" i="5"/>
  <c r="O122" i="5"/>
  <c r="O121" i="5"/>
  <c r="O120" i="5"/>
  <c r="F73" i="5"/>
  <c r="G73" i="5"/>
  <c r="I73" i="5"/>
  <c r="J73" i="5"/>
  <c r="K73" i="5"/>
  <c r="L73" i="5"/>
  <c r="M73" i="5"/>
  <c r="N73" i="5"/>
  <c r="O73" i="5"/>
  <c r="P73" i="5"/>
  <c r="Q73" i="5"/>
  <c r="R73" i="5"/>
  <c r="S73" i="5"/>
  <c r="T73" i="5"/>
  <c r="U73" i="5"/>
  <c r="V73" i="5"/>
  <c r="X73" i="5"/>
  <c r="Y73" i="5"/>
  <c r="Z73" i="5"/>
  <c r="AA73" i="5"/>
  <c r="AB73" i="5"/>
  <c r="AC73" i="5"/>
  <c r="AD73" i="5"/>
  <c r="AF73" i="5"/>
  <c r="AG73" i="5"/>
  <c r="AH73" i="5"/>
  <c r="AI73" i="5"/>
  <c r="AJ73" i="5"/>
  <c r="AK73" i="5"/>
  <c r="AL73" i="5"/>
  <c r="AM73" i="5"/>
  <c r="AO73" i="5"/>
  <c r="AP73" i="5"/>
  <c r="AQ73" i="5"/>
  <c r="AR73" i="5"/>
  <c r="AS73" i="5"/>
  <c r="AT73" i="5"/>
  <c r="AU73" i="5"/>
  <c r="AV73" i="5"/>
  <c r="AW73" i="5"/>
  <c r="AY73" i="5"/>
  <c r="AZ73" i="5"/>
  <c r="BA73" i="5"/>
  <c r="BB73" i="5"/>
  <c r="BC73" i="5"/>
  <c r="BD73" i="5"/>
  <c r="BE73" i="5"/>
  <c r="BF73" i="5"/>
  <c r="BG73" i="5"/>
  <c r="BH73" i="5"/>
  <c r="BI73" i="5"/>
  <c r="BJ73" i="5"/>
  <c r="BK73" i="5"/>
  <c r="BL73" i="5"/>
  <c r="BM73" i="5"/>
  <c r="BN73" i="5"/>
  <c r="BP73" i="5"/>
  <c r="BQ73" i="5"/>
  <c r="F74" i="5"/>
  <c r="G74" i="5"/>
  <c r="I74" i="5"/>
  <c r="J74" i="5"/>
  <c r="K74" i="5"/>
  <c r="L74" i="5"/>
  <c r="M74" i="5"/>
  <c r="N74" i="5"/>
  <c r="O74" i="5"/>
  <c r="P74" i="5"/>
  <c r="Q74" i="5"/>
  <c r="R74" i="5"/>
  <c r="S74" i="5"/>
  <c r="T74" i="5"/>
  <c r="U74" i="5"/>
  <c r="V74" i="5"/>
  <c r="X74" i="5"/>
  <c r="Y74" i="5"/>
  <c r="Z74" i="5"/>
  <c r="AA74" i="5"/>
  <c r="AB74" i="5"/>
  <c r="AC74" i="5"/>
  <c r="AD74" i="5"/>
  <c r="AF74" i="5"/>
  <c r="AG74" i="5"/>
  <c r="AH74" i="5"/>
  <c r="AI74" i="5"/>
  <c r="AJ74" i="5"/>
  <c r="AK74" i="5"/>
  <c r="AL74" i="5"/>
  <c r="AM74" i="5"/>
  <c r="AO74" i="5"/>
  <c r="AP74" i="5"/>
  <c r="AQ74" i="5"/>
  <c r="AR74" i="5"/>
  <c r="AS74" i="5"/>
  <c r="AT74" i="5"/>
  <c r="AU74" i="5"/>
  <c r="AV74" i="5"/>
  <c r="AW74" i="5"/>
  <c r="AY74" i="5"/>
  <c r="AZ74" i="5"/>
  <c r="BA74" i="5"/>
  <c r="BB74" i="5"/>
  <c r="BC74" i="5"/>
  <c r="BD74" i="5"/>
  <c r="BE74" i="5"/>
  <c r="BF74" i="5"/>
  <c r="BG74" i="5"/>
  <c r="BH74" i="5"/>
  <c r="BI74" i="5"/>
  <c r="BJ74" i="5"/>
  <c r="BK74" i="5"/>
  <c r="BL74" i="5"/>
  <c r="BM74" i="5"/>
  <c r="BN74" i="5"/>
  <c r="BO74" i="5"/>
  <c r="BP74" i="5"/>
  <c r="BQ74" i="5"/>
  <c r="AE4" i="5"/>
  <c r="AE5"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E32" i="5"/>
  <c r="AE33" i="5"/>
  <c r="AE34" i="5"/>
  <c r="AE35" i="5"/>
  <c r="AE36" i="5"/>
  <c r="AE37" i="5"/>
  <c r="AE38" i="5"/>
  <c r="AE39" i="5"/>
  <c r="AE40" i="5"/>
  <c r="AE41" i="5"/>
  <c r="AE42" i="5"/>
  <c r="AE43" i="5"/>
  <c r="AE44" i="5"/>
  <c r="AE45" i="5"/>
  <c r="AE46" i="5"/>
  <c r="AE47" i="5"/>
  <c r="AE48" i="5"/>
  <c r="AE49" i="5"/>
  <c r="AE51" i="5"/>
  <c r="AE52" i="5"/>
  <c r="AE53" i="5"/>
  <c r="AE54" i="5"/>
  <c r="AE55" i="5"/>
  <c r="AE56" i="5"/>
  <c r="AE57" i="5"/>
  <c r="AE58" i="5"/>
  <c r="AE59" i="5"/>
  <c r="AE60" i="5"/>
  <c r="AE61" i="5"/>
  <c r="AE62" i="5"/>
  <c r="AE63" i="5"/>
  <c r="AE3" i="5"/>
  <c r="D66" i="5"/>
  <c r="F66" i="5"/>
  <c r="G66" i="5"/>
  <c r="I66" i="5"/>
  <c r="J66" i="5"/>
  <c r="K66" i="5"/>
  <c r="L66" i="5"/>
  <c r="M66" i="5"/>
  <c r="N66" i="5"/>
  <c r="O66" i="5"/>
  <c r="P66" i="5"/>
  <c r="Q66" i="5"/>
  <c r="R66" i="5"/>
  <c r="S66" i="5"/>
  <c r="T66" i="5"/>
  <c r="U66" i="5"/>
  <c r="V66" i="5"/>
  <c r="X66" i="5"/>
  <c r="Y66" i="5"/>
  <c r="Z66" i="5"/>
  <c r="AA66" i="5"/>
  <c r="AB66" i="5"/>
  <c r="AC66" i="5"/>
  <c r="AD66" i="5"/>
  <c r="AF66" i="5"/>
  <c r="AG66" i="5"/>
  <c r="AH66" i="5"/>
  <c r="AI66" i="5"/>
  <c r="AJ66" i="5"/>
  <c r="AK66" i="5"/>
  <c r="AL66" i="5"/>
  <c r="AM66" i="5"/>
  <c r="AO66" i="5"/>
  <c r="AP66" i="5"/>
  <c r="AQ66" i="5"/>
  <c r="AR66" i="5"/>
  <c r="AS66" i="5"/>
  <c r="AT66" i="5"/>
  <c r="AU66" i="5"/>
  <c r="AV66" i="5"/>
  <c r="AW66" i="5"/>
  <c r="AY66" i="5"/>
  <c r="AZ66" i="5"/>
  <c r="BA66" i="5"/>
  <c r="BB66" i="5"/>
  <c r="BC66" i="5"/>
  <c r="BD66" i="5"/>
  <c r="BE66" i="5"/>
  <c r="BF66" i="5"/>
  <c r="BG66" i="5"/>
  <c r="BH66" i="5"/>
  <c r="BI66" i="5"/>
  <c r="BJ66" i="5"/>
  <c r="BK66" i="5"/>
  <c r="BL66" i="5"/>
  <c r="BM66" i="5"/>
  <c r="BN66" i="5"/>
  <c r="BP66" i="5"/>
  <c r="BQ66" i="5"/>
  <c r="D67" i="5"/>
  <c r="F67" i="5"/>
  <c r="G67" i="5"/>
  <c r="I67" i="5"/>
  <c r="J67" i="5"/>
  <c r="K67" i="5"/>
  <c r="L67" i="5"/>
  <c r="M67" i="5"/>
  <c r="N67" i="5"/>
  <c r="O67" i="5"/>
  <c r="P67" i="5"/>
  <c r="Q67" i="5"/>
  <c r="R67" i="5"/>
  <c r="S67" i="5"/>
  <c r="T67" i="5"/>
  <c r="U67" i="5"/>
  <c r="V67" i="5"/>
  <c r="X67" i="5"/>
  <c r="Y67" i="5"/>
  <c r="Z67" i="5"/>
  <c r="AA67" i="5"/>
  <c r="AB67" i="5"/>
  <c r="AC67" i="5"/>
  <c r="AD67" i="5"/>
  <c r="AF67" i="5"/>
  <c r="AG67" i="5"/>
  <c r="AH67" i="5"/>
  <c r="AI67" i="5"/>
  <c r="AJ67" i="5"/>
  <c r="AK67" i="5"/>
  <c r="AL67" i="5"/>
  <c r="AM67" i="5"/>
  <c r="AO67" i="5"/>
  <c r="AP67" i="5"/>
  <c r="AQ67" i="5"/>
  <c r="AR67" i="5"/>
  <c r="AS67" i="5"/>
  <c r="AT67" i="5"/>
  <c r="AU67" i="5"/>
  <c r="AV67" i="5"/>
  <c r="AW67" i="5"/>
  <c r="AY67" i="5"/>
  <c r="AZ67" i="5"/>
  <c r="BA67" i="5"/>
  <c r="BB67" i="5"/>
  <c r="BC67" i="5"/>
  <c r="BD67" i="5"/>
  <c r="BE67" i="5"/>
  <c r="BF67" i="5"/>
  <c r="BG67" i="5"/>
  <c r="BH67" i="5"/>
  <c r="BI67" i="5"/>
  <c r="BJ67" i="5"/>
  <c r="BK67" i="5"/>
  <c r="BL67" i="5"/>
  <c r="BM67" i="5"/>
  <c r="BN67" i="5"/>
  <c r="BO67" i="5"/>
  <c r="BP67" i="5"/>
  <c r="BQ67" i="5"/>
  <c r="C67" i="5"/>
  <c r="C66" i="5"/>
  <c r="W72" i="5" l="1"/>
  <c r="M123" i="5"/>
  <c r="AE74" i="5"/>
  <c r="AE69" i="5"/>
  <c r="O123" i="5"/>
  <c r="AE73" i="5"/>
  <c r="AE71" i="5"/>
  <c r="AE70" i="5"/>
  <c r="AE72" i="5" s="1"/>
  <c r="O158" i="5"/>
  <c r="F79" i="8"/>
  <c r="E69" i="8" l="1"/>
  <c r="F69" i="8" s="1"/>
  <c r="G71" i="8"/>
  <c r="H71" i="8" s="1"/>
  <c r="G72" i="8"/>
  <c r="H72" i="8" s="1"/>
  <c r="G73" i="8"/>
  <c r="H73" i="8" s="1"/>
  <c r="G74" i="8"/>
  <c r="H74" i="8" s="1"/>
  <c r="G75" i="8"/>
  <c r="H75" i="8" s="1"/>
  <c r="G76" i="8"/>
  <c r="H76" i="8" s="1"/>
  <c r="G77" i="8"/>
  <c r="H77" i="8" s="1"/>
  <c r="G78" i="8"/>
  <c r="H78" i="8" s="1"/>
  <c r="G70" i="8"/>
  <c r="H70" i="8" s="1"/>
  <c r="E71" i="8"/>
  <c r="F71" i="8" s="1"/>
  <c r="E72" i="8"/>
  <c r="F72" i="8" s="1"/>
  <c r="E73" i="8"/>
  <c r="F73" i="8" s="1"/>
  <c r="E74" i="8"/>
  <c r="F74" i="8" s="1"/>
  <c r="E75" i="8"/>
  <c r="F75" i="8" s="1"/>
  <c r="E76" i="8"/>
  <c r="F76" i="8" s="1"/>
  <c r="E77" i="8"/>
  <c r="F77" i="8" s="1"/>
  <c r="E78" i="8"/>
  <c r="F78" i="8" s="1"/>
  <c r="E70" i="8"/>
  <c r="F70" i="8" s="1"/>
  <c r="K65" i="8"/>
  <c r="E64" i="8" l="1"/>
  <c r="W85" i="6" l="1"/>
  <c r="X85" i="6"/>
  <c r="W81" i="6"/>
  <c r="X81" i="6"/>
  <c r="W92" i="6"/>
  <c r="X92" i="6"/>
  <c r="W89" i="6"/>
  <c r="X89" i="6"/>
  <c r="W86" i="6"/>
  <c r="X86" i="6"/>
  <c r="W82" i="6"/>
  <c r="X82" i="6"/>
  <c r="W78" i="6"/>
  <c r="X78" i="6"/>
  <c r="Y78" i="6" s="1"/>
  <c r="W75" i="6"/>
  <c r="X75" i="6"/>
  <c r="W93" i="6"/>
  <c r="X93" i="6"/>
  <c r="W90" i="6"/>
  <c r="X90" i="6"/>
  <c r="W87" i="6"/>
  <c r="X87" i="6"/>
  <c r="W83" i="6"/>
  <c r="X83" i="6"/>
  <c r="W79" i="6"/>
  <c r="X79" i="6"/>
  <c r="W76" i="6"/>
  <c r="X76" i="6"/>
  <c r="W3" i="6"/>
  <c r="X3" i="6"/>
  <c r="W4" i="6"/>
  <c r="X4" i="6"/>
  <c r="Y4" i="6" s="1"/>
  <c r="AA4" i="6" s="1"/>
  <c r="W5" i="6"/>
  <c r="X5" i="6"/>
  <c r="W6" i="6"/>
  <c r="X6" i="6"/>
  <c r="W7" i="6"/>
  <c r="X7" i="6"/>
  <c r="W8" i="6"/>
  <c r="X8" i="6"/>
  <c r="W9" i="6"/>
  <c r="X9" i="6"/>
  <c r="W10" i="6"/>
  <c r="X10" i="6"/>
  <c r="W11" i="6"/>
  <c r="X11" i="6"/>
  <c r="W13" i="6"/>
  <c r="X13" i="6"/>
  <c r="W15" i="6"/>
  <c r="X15" i="6"/>
  <c r="W16" i="6"/>
  <c r="X16" i="6"/>
  <c r="W17" i="6"/>
  <c r="X17" i="6"/>
  <c r="W18" i="6"/>
  <c r="X18" i="6"/>
  <c r="W19" i="6"/>
  <c r="X19" i="6"/>
  <c r="W20" i="6"/>
  <c r="X20" i="6"/>
  <c r="W22" i="6"/>
  <c r="X22" i="6"/>
  <c r="Y22" i="6" s="1"/>
  <c r="AA22" i="6" s="1"/>
  <c r="W23" i="6"/>
  <c r="X23" i="6"/>
  <c r="W24" i="6"/>
  <c r="X24" i="6"/>
  <c r="W25" i="6"/>
  <c r="X25" i="6"/>
  <c r="W26" i="6"/>
  <c r="X26" i="6"/>
  <c r="W27" i="6"/>
  <c r="X27" i="6"/>
  <c r="W28" i="6"/>
  <c r="X28" i="6"/>
  <c r="W29" i="6"/>
  <c r="X29" i="6"/>
  <c r="W30" i="6"/>
  <c r="X30" i="6"/>
  <c r="W31" i="6"/>
  <c r="X31" i="6"/>
  <c r="W33" i="6"/>
  <c r="X33" i="6"/>
  <c r="W35" i="6"/>
  <c r="X35" i="6"/>
  <c r="W36" i="6"/>
  <c r="X36" i="6"/>
  <c r="W37" i="6"/>
  <c r="X37" i="6"/>
  <c r="W38" i="6"/>
  <c r="X38" i="6"/>
  <c r="W39" i="6"/>
  <c r="X39" i="6"/>
  <c r="W40" i="6"/>
  <c r="X40" i="6"/>
  <c r="W41" i="6"/>
  <c r="X41" i="6"/>
  <c r="W42" i="6"/>
  <c r="X42" i="6"/>
  <c r="W43" i="6"/>
  <c r="X43" i="6"/>
  <c r="W44" i="6"/>
  <c r="X44" i="6"/>
  <c r="W45" i="6"/>
  <c r="X45" i="6"/>
  <c r="W46" i="6"/>
  <c r="X46" i="6"/>
  <c r="W47" i="6"/>
  <c r="X47" i="6"/>
  <c r="W48" i="6"/>
  <c r="X48" i="6"/>
  <c r="W49" i="6"/>
  <c r="X49" i="6"/>
  <c r="W98" i="6"/>
  <c r="X98" i="6"/>
  <c r="W51" i="6"/>
  <c r="X51" i="6"/>
  <c r="W52" i="6"/>
  <c r="X52" i="6"/>
  <c r="W53" i="6"/>
  <c r="X53" i="6"/>
  <c r="W54" i="6"/>
  <c r="X54" i="6"/>
  <c r="W55" i="6"/>
  <c r="X55" i="6"/>
  <c r="W56" i="6"/>
  <c r="X56" i="6"/>
  <c r="W57" i="6"/>
  <c r="X57" i="6"/>
  <c r="W58" i="6"/>
  <c r="X58" i="6"/>
  <c r="W59" i="6"/>
  <c r="X59" i="6"/>
  <c r="W60" i="6"/>
  <c r="X60" i="6"/>
  <c r="W61" i="6"/>
  <c r="X61" i="6"/>
  <c r="W62" i="6"/>
  <c r="X62" i="6"/>
  <c r="W63" i="6"/>
  <c r="X63" i="6"/>
  <c r="U68" i="6"/>
  <c r="U69" i="6"/>
  <c r="S68" i="6"/>
  <c r="S69" i="6"/>
  <c r="Q68" i="6"/>
  <c r="Q69" i="6"/>
  <c r="P68" i="6"/>
  <c r="P69" i="6"/>
  <c r="O68" i="6"/>
  <c r="O69" i="6"/>
  <c r="N68" i="6"/>
  <c r="N69" i="6"/>
  <c r="N71" i="6" s="1"/>
  <c r="M68" i="6"/>
  <c r="M69" i="6"/>
  <c r="M71" i="6" s="1"/>
  <c r="L68" i="6"/>
  <c r="L69" i="6"/>
  <c r="K68" i="6"/>
  <c r="K69" i="6"/>
  <c r="J68" i="6"/>
  <c r="J69" i="6"/>
  <c r="I68" i="6"/>
  <c r="I69" i="6"/>
  <c r="I71" i="6" s="1"/>
  <c r="H68" i="6"/>
  <c r="H69" i="6"/>
  <c r="G68" i="6"/>
  <c r="G69" i="6"/>
  <c r="F68" i="6"/>
  <c r="F69" i="6"/>
  <c r="E68" i="6"/>
  <c r="E69" i="6"/>
  <c r="D68" i="6"/>
  <c r="D69" i="6"/>
  <c r="C68" i="6"/>
  <c r="C69" i="6"/>
  <c r="B68" i="6"/>
  <c r="B69" i="6"/>
  <c r="U70" i="6"/>
  <c r="S70" i="6"/>
  <c r="Q70" i="6"/>
  <c r="P70" i="6"/>
  <c r="O70" i="6"/>
  <c r="N70" i="6"/>
  <c r="M70" i="6"/>
  <c r="L70" i="6"/>
  <c r="K70" i="6"/>
  <c r="J70" i="6"/>
  <c r="I70" i="6"/>
  <c r="H70" i="6"/>
  <c r="G70" i="6"/>
  <c r="F70" i="6"/>
  <c r="E70" i="6"/>
  <c r="D70" i="6"/>
  <c r="C70" i="6"/>
  <c r="B70" i="6"/>
  <c r="BQ70" i="5"/>
  <c r="BQ69" i="5"/>
  <c r="BP70" i="5"/>
  <c r="BP69" i="5"/>
  <c r="BO70" i="5"/>
  <c r="BO7" i="5"/>
  <c r="BO69" i="5" s="1"/>
  <c r="BN70" i="5"/>
  <c r="BN69" i="5"/>
  <c r="BM70" i="5"/>
  <c r="BM69" i="5"/>
  <c r="BL70" i="5"/>
  <c r="BL69" i="5"/>
  <c r="BK70" i="5"/>
  <c r="BK69" i="5"/>
  <c r="BJ70" i="5"/>
  <c r="BJ69" i="5"/>
  <c r="BI70" i="5"/>
  <c r="BI69" i="5"/>
  <c r="BH70" i="5"/>
  <c r="BH69" i="5"/>
  <c r="BG70" i="5"/>
  <c r="BG69" i="5"/>
  <c r="BF70" i="5"/>
  <c r="BF69" i="5"/>
  <c r="BE70" i="5"/>
  <c r="BE69" i="5"/>
  <c r="BD70" i="5"/>
  <c r="BD69" i="5"/>
  <c r="BC70" i="5"/>
  <c r="BC69" i="5"/>
  <c r="BB70" i="5"/>
  <c r="BB69" i="5"/>
  <c r="BA70" i="5"/>
  <c r="BA69" i="5"/>
  <c r="AZ70" i="5"/>
  <c r="AZ69" i="5"/>
  <c r="AY70" i="5"/>
  <c r="AY69" i="5"/>
  <c r="AW70" i="5"/>
  <c r="AW69" i="5"/>
  <c r="AU70" i="5"/>
  <c r="AU69" i="5"/>
  <c r="AS70" i="5"/>
  <c r="AS69" i="5"/>
  <c r="AQ70" i="5"/>
  <c r="AQ69" i="5"/>
  <c r="AO70" i="5"/>
  <c r="AO69" i="5"/>
  <c r="AM70" i="5"/>
  <c r="AM69" i="5"/>
  <c r="AK70" i="5"/>
  <c r="AK69" i="5"/>
  <c r="AI70" i="5"/>
  <c r="AI69" i="5"/>
  <c r="AG70" i="5"/>
  <c r="AG69" i="5"/>
  <c r="AF70" i="5"/>
  <c r="AF69" i="5"/>
  <c r="AD70" i="5"/>
  <c r="AD69" i="5"/>
  <c r="AC70" i="5"/>
  <c r="AC69" i="5"/>
  <c r="AB70" i="5"/>
  <c r="AB69" i="5"/>
  <c r="AA70" i="5"/>
  <c r="AA69" i="5"/>
  <c r="Z70" i="5"/>
  <c r="Z69" i="5"/>
  <c r="Y70" i="5"/>
  <c r="Y69" i="5"/>
  <c r="X70" i="5"/>
  <c r="X69" i="5"/>
  <c r="V70" i="5"/>
  <c r="V69" i="5"/>
  <c r="U70" i="5"/>
  <c r="U69" i="5"/>
  <c r="S70" i="5"/>
  <c r="S69" i="5"/>
  <c r="R70" i="5"/>
  <c r="R69" i="5"/>
  <c r="Q70" i="5"/>
  <c r="Q69" i="5"/>
  <c r="P70" i="5"/>
  <c r="P69" i="5"/>
  <c r="N70" i="5"/>
  <c r="N69" i="5"/>
  <c r="L70" i="5"/>
  <c r="L69" i="5"/>
  <c r="K70" i="5"/>
  <c r="K69" i="5"/>
  <c r="J70" i="5"/>
  <c r="J69" i="5"/>
  <c r="I70" i="5"/>
  <c r="I69" i="5"/>
  <c r="H35" i="5"/>
  <c r="H36" i="5"/>
  <c r="H37" i="5"/>
  <c r="H39" i="5"/>
  <c r="H40" i="5"/>
  <c r="H41" i="5"/>
  <c r="H42" i="5"/>
  <c r="H43" i="5"/>
  <c r="H44" i="5"/>
  <c r="H45" i="5"/>
  <c r="H46" i="5"/>
  <c r="H47" i="5"/>
  <c r="H48" i="5"/>
  <c r="H49" i="5"/>
  <c r="H88" i="5"/>
  <c r="H51" i="5"/>
  <c r="H52" i="5"/>
  <c r="H53" i="5"/>
  <c r="H54" i="5"/>
  <c r="H55" i="5"/>
  <c r="H56" i="5"/>
  <c r="H57" i="5"/>
  <c r="H58" i="5"/>
  <c r="H60" i="5"/>
  <c r="H61" i="5"/>
  <c r="H62" i="5"/>
  <c r="H63" i="5"/>
  <c r="H3" i="5"/>
  <c r="H4" i="5"/>
  <c r="H5" i="5"/>
  <c r="H6" i="5"/>
  <c r="H7" i="5"/>
  <c r="H8" i="5"/>
  <c r="H9" i="5"/>
  <c r="H10" i="5"/>
  <c r="H11" i="5"/>
  <c r="H12" i="5"/>
  <c r="H13" i="5"/>
  <c r="H15" i="5"/>
  <c r="H16" i="5"/>
  <c r="H17" i="5"/>
  <c r="H18" i="5"/>
  <c r="H19" i="5"/>
  <c r="H20" i="5"/>
  <c r="H22" i="5"/>
  <c r="H23" i="5"/>
  <c r="H24" i="5"/>
  <c r="H25" i="5"/>
  <c r="H26" i="5"/>
  <c r="H27" i="5"/>
  <c r="H28" i="5"/>
  <c r="H29" i="5"/>
  <c r="H30" i="5"/>
  <c r="H31" i="5"/>
  <c r="G70" i="5"/>
  <c r="G69" i="5"/>
  <c r="F70" i="5"/>
  <c r="F69" i="5"/>
  <c r="E35" i="5"/>
  <c r="E36" i="5"/>
  <c r="E37" i="5"/>
  <c r="E38" i="5"/>
  <c r="E39" i="5"/>
  <c r="E40" i="5"/>
  <c r="E41" i="5"/>
  <c r="E42" i="5"/>
  <c r="E43" i="5"/>
  <c r="E44" i="5"/>
  <c r="E45" i="5"/>
  <c r="E46" i="5"/>
  <c r="E47" i="5"/>
  <c r="E48" i="5"/>
  <c r="E49" i="5"/>
  <c r="E88" i="5"/>
  <c r="E51" i="5"/>
  <c r="E52" i="5"/>
  <c r="E53" i="5"/>
  <c r="E54" i="5"/>
  <c r="E55" i="5"/>
  <c r="E56" i="5"/>
  <c r="E57" i="5"/>
  <c r="E58" i="5"/>
  <c r="E59" i="5"/>
  <c r="E60" i="5"/>
  <c r="E61" i="5"/>
  <c r="E62" i="5"/>
  <c r="E63" i="5"/>
  <c r="E3" i="5"/>
  <c r="E4" i="5"/>
  <c r="E5" i="5"/>
  <c r="E6" i="5"/>
  <c r="E7" i="5"/>
  <c r="E8" i="5"/>
  <c r="E9" i="5"/>
  <c r="E10" i="5"/>
  <c r="E11" i="5"/>
  <c r="E12" i="5"/>
  <c r="E13" i="5"/>
  <c r="E15" i="5"/>
  <c r="E16" i="5"/>
  <c r="E17" i="5"/>
  <c r="E18" i="5"/>
  <c r="E19" i="5"/>
  <c r="E20" i="5"/>
  <c r="E22" i="5"/>
  <c r="E23" i="5"/>
  <c r="E24" i="5"/>
  <c r="E25" i="5"/>
  <c r="E26" i="5"/>
  <c r="E27" i="5"/>
  <c r="E28" i="5"/>
  <c r="E29" i="5"/>
  <c r="E30" i="5"/>
  <c r="E31" i="5"/>
  <c r="E33" i="5"/>
  <c r="C70" i="5"/>
  <c r="C69" i="5"/>
  <c r="BQ71" i="5"/>
  <c r="BP71" i="5"/>
  <c r="BN71" i="5"/>
  <c r="BM71" i="5"/>
  <c r="BL71" i="5"/>
  <c r="BK71" i="5"/>
  <c r="BJ71" i="5"/>
  <c r="BI71" i="5"/>
  <c r="BH71" i="5"/>
  <c r="BG71" i="5"/>
  <c r="BF71" i="5"/>
  <c r="BE71" i="5"/>
  <c r="BD71" i="5"/>
  <c r="BC71" i="5"/>
  <c r="BB71" i="5"/>
  <c r="BA71" i="5"/>
  <c r="AZ71" i="5"/>
  <c r="AY71" i="5"/>
  <c r="AW71" i="5"/>
  <c r="AU71" i="5"/>
  <c r="AS71" i="5"/>
  <c r="AQ71" i="5"/>
  <c r="AO71" i="5"/>
  <c r="AM71" i="5"/>
  <c r="AK71" i="5"/>
  <c r="AI71" i="5"/>
  <c r="AG71" i="5"/>
  <c r="AF71" i="5"/>
  <c r="AD71" i="5"/>
  <c r="AC71" i="5"/>
  <c r="AB71" i="5"/>
  <c r="AA71" i="5"/>
  <c r="Z71" i="5"/>
  <c r="Y71" i="5"/>
  <c r="X71" i="5"/>
  <c r="V71" i="5"/>
  <c r="U71" i="5"/>
  <c r="S71" i="5"/>
  <c r="R71" i="5"/>
  <c r="Q71" i="5"/>
  <c r="P71" i="5"/>
  <c r="N71" i="5"/>
  <c r="L71" i="5"/>
  <c r="K71" i="5"/>
  <c r="J71" i="5"/>
  <c r="I71" i="5"/>
  <c r="G71" i="5"/>
  <c r="F71" i="5"/>
  <c r="C71" i="5"/>
  <c r="G35" i="4"/>
  <c r="G36" i="4"/>
  <c r="G37" i="4"/>
  <c r="G38" i="4"/>
  <c r="G39" i="4"/>
  <c r="G40" i="4"/>
  <c r="G41" i="4"/>
  <c r="G42" i="4"/>
  <c r="G43" i="4"/>
  <c r="G44" i="4"/>
  <c r="G45" i="4"/>
  <c r="G46" i="4"/>
  <c r="G47" i="4"/>
  <c r="G48" i="4"/>
  <c r="G49" i="4"/>
  <c r="G72" i="4"/>
  <c r="G51" i="4"/>
  <c r="G52" i="4"/>
  <c r="G53" i="4"/>
  <c r="G54" i="4"/>
  <c r="G55" i="4"/>
  <c r="G56" i="4"/>
  <c r="G57" i="4"/>
  <c r="G58" i="4"/>
  <c r="G60" i="4"/>
  <c r="G61" i="4"/>
  <c r="G62" i="4"/>
  <c r="G63" i="4"/>
  <c r="G3" i="4"/>
  <c r="G4" i="4"/>
  <c r="G5" i="4"/>
  <c r="G6" i="4"/>
  <c r="G7" i="4"/>
  <c r="G8" i="4"/>
  <c r="G9" i="4"/>
  <c r="G10" i="4"/>
  <c r="G11" i="4"/>
  <c r="G12" i="4"/>
  <c r="G13" i="4"/>
  <c r="G15" i="4"/>
  <c r="G16" i="4"/>
  <c r="G17" i="4"/>
  <c r="G18" i="4"/>
  <c r="G19" i="4"/>
  <c r="G20" i="4"/>
  <c r="G22" i="4"/>
  <c r="G23" i="4"/>
  <c r="G24" i="4"/>
  <c r="G25" i="4"/>
  <c r="G26" i="4"/>
  <c r="G27" i="4"/>
  <c r="G28" i="4"/>
  <c r="G29" i="4"/>
  <c r="G30" i="4"/>
  <c r="G31" i="4"/>
  <c r="G33" i="4"/>
  <c r="F67" i="4"/>
  <c r="F66" i="4"/>
  <c r="E67" i="4"/>
  <c r="E66" i="4"/>
  <c r="D67" i="4"/>
  <c r="D69" i="4" s="1"/>
  <c r="D66" i="4"/>
  <c r="C67" i="4"/>
  <c r="C66" i="4"/>
  <c r="B67" i="4"/>
  <c r="B66" i="4"/>
  <c r="F68" i="4"/>
  <c r="E68" i="4"/>
  <c r="D68" i="4"/>
  <c r="C68" i="4"/>
  <c r="B68" i="4"/>
  <c r="B73" i="2"/>
  <c r="B68" i="2"/>
  <c r="J68" i="2"/>
  <c r="I68" i="2"/>
  <c r="H68" i="2"/>
  <c r="H74" i="2" s="1"/>
  <c r="G68" i="2"/>
  <c r="G74" i="2" s="1"/>
  <c r="F68" i="2"/>
  <c r="E68" i="2"/>
  <c r="E74" i="2" s="1"/>
  <c r="D68" i="2"/>
  <c r="D74" i="2" s="1"/>
  <c r="C68" i="2"/>
  <c r="J73" i="2"/>
  <c r="I73" i="2"/>
  <c r="H73" i="2"/>
  <c r="G73" i="2"/>
  <c r="F73" i="2"/>
  <c r="E73" i="2"/>
  <c r="D73" i="2"/>
  <c r="C73" i="2"/>
  <c r="Q69" i="1"/>
  <c r="Q68" i="1"/>
  <c r="B68" i="1"/>
  <c r="C68" i="1"/>
  <c r="D68" i="1"/>
  <c r="F68" i="1"/>
  <c r="G68" i="1"/>
  <c r="H68" i="1"/>
  <c r="I68" i="1"/>
  <c r="J68" i="1"/>
  <c r="K68" i="1"/>
  <c r="L68" i="1"/>
  <c r="M68" i="1"/>
  <c r="P68" i="1"/>
  <c r="P69" i="1"/>
  <c r="S68" i="1"/>
  <c r="T68" i="1"/>
  <c r="J69" i="1"/>
  <c r="J74" i="1" s="1"/>
  <c r="G69" i="1"/>
  <c r="G74" i="1" s="1"/>
  <c r="C69" i="1"/>
  <c r="C74" i="1" s="1"/>
  <c r="D69" i="1"/>
  <c r="D74" i="1" s="1"/>
  <c r="F69" i="1"/>
  <c r="F74" i="1" s="1"/>
  <c r="H69" i="1"/>
  <c r="I69" i="1"/>
  <c r="K69" i="1"/>
  <c r="L69" i="1"/>
  <c r="M69" i="1"/>
  <c r="S69" i="1"/>
  <c r="T69" i="1"/>
  <c r="C73" i="1"/>
  <c r="D73" i="1"/>
  <c r="F73" i="1"/>
  <c r="G73" i="1"/>
  <c r="H73" i="1"/>
  <c r="I73" i="1"/>
  <c r="J73" i="1"/>
  <c r="K73" i="1"/>
  <c r="L73" i="1"/>
  <c r="M73" i="1"/>
  <c r="P73" i="1"/>
  <c r="Q73" i="1"/>
  <c r="S73" i="1"/>
  <c r="T73" i="1"/>
  <c r="B73" i="1"/>
  <c r="B69" i="1"/>
  <c r="B74" i="1" s="1"/>
  <c r="R93" i="1"/>
  <c r="O93" i="1"/>
  <c r="N93" i="1"/>
  <c r="E93" i="1"/>
  <c r="R94" i="1"/>
  <c r="O94" i="1"/>
  <c r="N94" i="1"/>
  <c r="E94" i="1"/>
  <c r="R91" i="1"/>
  <c r="O91" i="1"/>
  <c r="N91" i="1"/>
  <c r="E91" i="1"/>
  <c r="R90" i="1"/>
  <c r="O90" i="1"/>
  <c r="N90" i="1"/>
  <c r="E90" i="1"/>
  <c r="R88" i="1"/>
  <c r="O88" i="1"/>
  <c r="N88" i="1"/>
  <c r="E88" i="1"/>
  <c r="R87" i="1"/>
  <c r="O87" i="1"/>
  <c r="N87" i="1"/>
  <c r="E87" i="1"/>
  <c r="R86" i="1"/>
  <c r="O86" i="1"/>
  <c r="N86" i="1"/>
  <c r="E86" i="1"/>
  <c r="R84" i="1"/>
  <c r="O84" i="1"/>
  <c r="N84" i="1"/>
  <c r="E84" i="1"/>
  <c r="R82" i="1"/>
  <c r="O82" i="1"/>
  <c r="N82" i="1"/>
  <c r="E82" i="1"/>
  <c r="R83" i="1"/>
  <c r="O83" i="1"/>
  <c r="N83" i="1"/>
  <c r="E83" i="1"/>
  <c r="R80" i="1"/>
  <c r="O80" i="1"/>
  <c r="N80" i="1"/>
  <c r="E80" i="1"/>
  <c r="R79" i="1"/>
  <c r="O79" i="1"/>
  <c r="N79" i="1"/>
  <c r="E79" i="1"/>
  <c r="R77" i="1"/>
  <c r="O77" i="1"/>
  <c r="N77" i="1"/>
  <c r="E77" i="1"/>
  <c r="R76" i="1"/>
  <c r="O76" i="1"/>
  <c r="N76" i="1"/>
  <c r="E76" i="1"/>
  <c r="R20" i="1"/>
  <c r="R19" i="1"/>
  <c r="R12" i="1"/>
  <c r="R39" i="1"/>
  <c r="R18" i="1"/>
  <c r="R15" i="1"/>
  <c r="R17" i="1"/>
  <c r="R8" i="1"/>
  <c r="R16" i="1"/>
  <c r="R38" i="1"/>
  <c r="R7" i="1"/>
  <c r="R14" i="1"/>
  <c r="R11" i="1"/>
  <c r="R13" i="1"/>
  <c r="R10" i="1"/>
  <c r="R5" i="1"/>
  <c r="R37" i="1"/>
  <c r="R36" i="1"/>
  <c r="R9" i="1"/>
  <c r="R3" i="1"/>
  <c r="R35" i="1"/>
  <c r="R6" i="1"/>
  <c r="R4" i="1"/>
  <c r="O20" i="1"/>
  <c r="O19" i="1"/>
  <c r="O12" i="1"/>
  <c r="O39" i="1"/>
  <c r="O18" i="1"/>
  <c r="O15" i="1"/>
  <c r="O17" i="1"/>
  <c r="O8" i="1"/>
  <c r="O16" i="1"/>
  <c r="O38" i="1"/>
  <c r="O7" i="1"/>
  <c r="O14" i="1"/>
  <c r="O11" i="1"/>
  <c r="O13" i="1"/>
  <c r="O10" i="1"/>
  <c r="O5" i="1"/>
  <c r="O37" i="1"/>
  <c r="O36" i="1"/>
  <c r="O9" i="1"/>
  <c r="O3" i="1"/>
  <c r="O35" i="1"/>
  <c r="O6" i="1"/>
  <c r="O4" i="1"/>
  <c r="N20" i="1"/>
  <c r="N19" i="1"/>
  <c r="N12" i="1"/>
  <c r="N39" i="1"/>
  <c r="N18" i="1"/>
  <c r="N15" i="1"/>
  <c r="N17" i="1"/>
  <c r="N8" i="1"/>
  <c r="N16" i="1"/>
  <c r="N38" i="1"/>
  <c r="N7" i="1"/>
  <c r="N14" i="1"/>
  <c r="N11" i="1"/>
  <c r="N13" i="1"/>
  <c r="N10" i="1"/>
  <c r="N5" i="1"/>
  <c r="N37" i="1"/>
  <c r="N36" i="1"/>
  <c r="N9" i="1"/>
  <c r="N3" i="1"/>
  <c r="N35" i="1"/>
  <c r="N6" i="1"/>
  <c r="N4" i="1"/>
  <c r="E20" i="1"/>
  <c r="E19" i="1"/>
  <c r="E12" i="1"/>
  <c r="E39" i="1"/>
  <c r="E18" i="1"/>
  <c r="E15" i="1"/>
  <c r="E17" i="1"/>
  <c r="E8" i="1"/>
  <c r="E16" i="1"/>
  <c r="E38" i="1"/>
  <c r="E7" i="1"/>
  <c r="E14" i="1"/>
  <c r="E11" i="1"/>
  <c r="E13" i="1"/>
  <c r="E10" i="1"/>
  <c r="E5" i="1"/>
  <c r="E37" i="1"/>
  <c r="E36" i="1"/>
  <c r="E9" i="1"/>
  <c r="E3" i="1"/>
  <c r="E35" i="1"/>
  <c r="E6" i="1"/>
  <c r="E4" i="1"/>
  <c r="O61" i="1"/>
  <c r="O59" i="1"/>
  <c r="O57" i="1"/>
  <c r="O56" i="1"/>
  <c r="O55" i="1"/>
  <c r="O54" i="1"/>
  <c r="O53" i="1"/>
  <c r="O99" i="1"/>
  <c r="O48" i="1"/>
  <c r="O47" i="1"/>
  <c r="O44" i="1"/>
  <c r="O97" i="1"/>
  <c r="O31" i="1"/>
  <c r="O29" i="1"/>
  <c r="O28" i="1"/>
  <c r="O27" i="1"/>
  <c r="O25" i="1"/>
  <c r="O49" i="1"/>
  <c r="O24" i="1"/>
  <c r="O46" i="1"/>
  <c r="O52" i="1"/>
  <c r="O45" i="1"/>
  <c r="O22" i="1"/>
  <c r="O23" i="1"/>
  <c r="O26" i="1"/>
  <c r="O30" i="1"/>
  <c r="O32" i="1"/>
  <c r="O33" i="1"/>
  <c r="O40" i="1"/>
  <c r="O41" i="1"/>
  <c r="O42" i="1"/>
  <c r="O43" i="1"/>
  <c r="O51" i="1"/>
  <c r="O58" i="1"/>
  <c r="O60" i="1"/>
  <c r="O62" i="1"/>
  <c r="O63" i="1"/>
  <c r="R44" i="1"/>
  <c r="R61" i="1"/>
  <c r="R29" i="1"/>
  <c r="R31" i="1"/>
  <c r="R28" i="1"/>
  <c r="R59" i="1"/>
  <c r="R27" i="1"/>
  <c r="R99" i="1"/>
  <c r="R56" i="1"/>
  <c r="R57" i="1"/>
  <c r="R25" i="1"/>
  <c r="R53" i="1"/>
  <c r="R54" i="1"/>
  <c r="R47" i="1"/>
  <c r="R48" i="1"/>
  <c r="R97" i="1"/>
  <c r="R22" i="1"/>
  <c r="R23" i="1"/>
  <c r="R24" i="1"/>
  <c r="R26" i="1"/>
  <c r="R30" i="1"/>
  <c r="R32" i="1"/>
  <c r="R33" i="1"/>
  <c r="R40" i="1"/>
  <c r="R41" i="1"/>
  <c r="R42" i="1"/>
  <c r="R43" i="1"/>
  <c r="R45" i="1"/>
  <c r="R46" i="1"/>
  <c r="R49" i="1"/>
  <c r="R51" i="1"/>
  <c r="R52" i="1"/>
  <c r="R55" i="1"/>
  <c r="R58" i="1"/>
  <c r="R60" i="1"/>
  <c r="R62" i="1"/>
  <c r="R63" i="1"/>
  <c r="E44" i="1"/>
  <c r="E61" i="1"/>
  <c r="E29" i="1"/>
  <c r="E31" i="1"/>
  <c r="E28" i="1"/>
  <c r="E59" i="1"/>
  <c r="E27" i="1"/>
  <c r="E99" i="1"/>
  <c r="E56" i="1"/>
  <c r="E57" i="1"/>
  <c r="E25" i="1"/>
  <c r="E53" i="1"/>
  <c r="E54" i="1"/>
  <c r="E47" i="1"/>
  <c r="E48" i="1"/>
  <c r="E97" i="1"/>
  <c r="E55" i="1"/>
  <c r="E49" i="1"/>
  <c r="E24" i="1"/>
  <c r="E46" i="1"/>
  <c r="E52" i="1"/>
  <c r="E45" i="1"/>
  <c r="E22" i="1"/>
  <c r="E26" i="1"/>
  <c r="E41" i="1"/>
  <c r="E51" i="1"/>
  <c r="E23" i="1"/>
  <c r="E43" i="1"/>
  <c r="E40" i="1"/>
  <c r="E42" i="1"/>
  <c r="E32" i="1"/>
  <c r="E33" i="1"/>
  <c r="E63" i="1"/>
  <c r="E30" i="1"/>
  <c r="E62" i="1"/>
  <c r="E58" i="1"/>
  <c r="E60" i="1"/>
  <c r="N44" i="1"/>
  <c r="N61" i="1"/>
  <c r="N29" i="1"/>
  <c r="N31" i="1"/>
  <c r="N28" i="1"/>
  <c r="N59" i="1"/>
  <c r="N27" i="1"/>
  <c r="N99" i="1"/>
  <c r="N56" i="1"/>
  <c r="N57" i="1"/>
  <c r="N25" i="1"/>
  <c r="N53" i="1"/>
  <c r="N54" i="1"/>
  <c r="N47" i="1"/>
  <c r="N48" i="1"/>
  <c r="N97" i="1"/>
  <c r="N55" i="1"/>
  <c r="N49" i="1"/>
  <c r="N24" i="1"/>
  <c r="N46" i="1"/>
  <c r="N52" i="1"/>
  <c r="N45" i="1"/>
  <c r="N22" i="1"/>
  <c r="N26" i="1"/>
  <c r="N41" i="1"/>
  <c r="N51" i="1"/>
  <c r="N23" i="1"/>
  <c r="N43" i="1"/>
  <c r="N40" i="1"/>
  <c r="N42" i="1"/>
  <c r="N32" i="1"/>
  <c r="N33" i="1"/>
  <c r="N63" i="1"/>
  <c r="N30" i="1"/>
  <c r="N62" i="1"/>
  <c r="N58" i="1"/>
  <c r="N60" i="1"/>
  <c r="I74" i="1" l="1"/>
  <c r="P74" i="1"/>
  <c r="Y11" i="6"/>
  <c r="AA11" i="6" s="1"/>
  <c r="M74" i="1"/>
  <c r="Y93" i="6"/>
  <c r="K74" i="1"/>
  <c r="Q74" i="1"/>
  <c r="E69" i="4"/>
  <c r="B69" i="4"/>
  <c r="F69" i="4"/>
  <c r="C69" i="4"/>
  <c r="BC72" i="5"/>
  <c r="BO72" i="5"/>
  <c r="G67" i="4"/>
  <c r="G66" i="4"/>
  <c r="G68" i="4"/>
  <c r="BO71" i="5"/>
  <c r="C72" i="5"/>
  <c r="P72" i="5"/>
  <c r="R71" i="1"/>
  <c r="R66" i="1"/>
  <c r="L74" i="1"/>
  <c r="O66" i="1"/>
  <c r="O71" i="1"/>
  <c r="R65" i="1"/>
  <c r="R70" i="1"/>
  <c r="X65" i="6"/>
  <c r="N71" i="1"/>
  <c r="N66" i="1"/>
  <c r="O65" i="1"/>
  <c r="O70" i="1"/>
  <c r="BP72" i="5"/>
  <c r="W65" i="6"/>
  <c r="E66" i="1"/>
  <c r="E71" i="1"/>
  <c r="H74" i="1"/>
  <c r="K72" i="5"/>
  <c r="X66" i="6"/>
  <c r="N70" i="1"/>
  <c r="N65" i="1"/>
  <c r="E70" i="1"/>
  <c r="E65" i="1"/>
  <c r="W66" i="6"/>
  <c r="T74" i="1"/>
  <c r="S74" i="1"/>
  <c r="Y33" i="6"/>
  <c r="AA33" i="6" s="1"/>
  <c r="O69" i="1"/>
  <c r="R68" i="1"/>
  <c r="O68" i="1"/>
  <c r="O73" i="1"/>
  <c r="N73" i="1"/>
  <c r="R69" i="1"/>
  <c r="E69" i="1"/>
  <c r="E68" i="1"/>
  <c r="N68" i="1"/>
  <c r="N69" i="1"/>
  <c r="E73" i="1"/>
  <c r="R73" i="1"/>
  <c r="C74" i="2"/>
  <c r="J74" i="2"/>
  <c r="F74" i="2"/>
  <c r="B74" i="2"/>
  <c r="I74" i="2"/>
  <c r="Y55" i="6"/>
  <c r="AA55" i="6" s="1"/>
  <c r="Y42" i="6"/>
  <c r="AA42" i="6" s="1"/>
  <c r="Y5" i="6"/>
  <c r="AA5" i="6" s="1"/>
  <c r="X72" i="6"/>
  <c r="W72" i="6"/>
  <c r="X73" i="6"/>
  <c r="W73" i="6"/>
  <c r="Y15" i="6"/>
  <c r="AA15" i="6" s="1"/>
  <c r="Y54" i="6"/>
  <c r="AA54" i="6" s="1"/>
  <c r="G71" i="6"/>
  <c r="K71" i="6"/>
  <c r="Y27" i="6"/>
  <c r="AA27" i="6" s="1"/>
  <c r="Y13" i="6"/>
  <c r="AA13" i="6" s="1"/>
  <c r="Y38" i="6"/>
  <c r="AA38" i="6" s="1"/>
  <c r="Y83" i="6"/>
  <c r="Y75" i="6"/>
  <c r="Y39" i="6"/>
  <c r="AA39" i="6" s="1"/>
  <c r="Y7" i="6"/>
  <c r="AA7" i="6" s="1"/>
  <c r="Y8" i="6"/>
  <c r="AA8" i="6" s="1"/>
  <c r="Y62" i="6"/>
  <c r="AA62" i="6" s="1"/>
  <c r="Y16" i="6"/>
  <c r="AA16" i="6" s="1"/>
  <c r="Y40" i="6"/>
  <c r="AA40" i="6" s="1"/>
  <c r="Y89" i="6"/>
  <c r="Y57" i="6"/>
  <c r="AA57" i="6" s="1"/>
  <c r="Y23" i="6"/>
  <c r="AA23" i="6" s="1"/>
  <c r="Y9" i="6"/>
  <c r="AA9" i="6" s="1"/>
  <c r="Y86" i="6"/>
  <c r="E71" i="6"/>
  <c r="L71" i="6"/>
  <c r="Y63" i="6"/>
  <c r="AA63" i="6" s="1"/>
  <c r="Y52" i="6"/>
  <c r="AA52" i="6" s="1"/>
  <c r="Y44" i="6"/>
  <c r="AA44" i="6" s="1"/>
  <c r="Y31" i="6"/>
  <c r="AA31" i="6" s="1"/>
  <c r="Y76" i="6"/>
  <c r="Y90" i="6"/>
  <c r="Y92" i="6"/>
  <c r="F71" i="6"/>
  <c r="Q71" i="6"/>
  <c r="Y59" i="6"/>
  <c r="AA59" i="6" s="1"/>
  <c r="Y51" i="6"/>
  <c r="AA51" i="6" s="1"/>
  <c r="Y18" i="6"/>
  <c r="AA18" i="6" s="1"/>
  <c r="Y79" i="6"/>
  <c r="Y82" i="6"/>
  <c r="Y81" i="6"/>
  <c r="D71" i="6"/>
  <c r="Y58" i="6"/>
  <c r="AA58" i="6" s="1"/>
  <c r="Y98" i="6"/>
  <c r="Y46" i="6"/>
  <c r="AA46" i="6" s="1"/>
  <c r="Y35" i="6"/>
  <c r="Y29" i="6"/>
  <c r="AA29" i="6" s="1"/>
  <c r="Y17" i="6"/>
  <c r="AA17" i="6" s="1"/>
  <c r="U71" i="6"/>
  <c r="Y87" i="6"/>
  <c r="S71" i="6"/>
  <c r="Y61" i="6"/>
  <c r="AA61" i="6" s="1"/>
  <c r="Y53" i="6"/>
  <c r="AA53" i="6" s="1"/>
  <c r="Y25" i="6"/>
  <c r="AA25" i="6" s="1"/>
  <c r="Y85" i="6"/>
  <c r="Y19" i="6"/>
  <c r="AA19" i="6" s="1"/>
  <c r="Y10" i="6"/>
  <c r="AA10" i="6" s="1"/>
  <c r="H71" i="6"/>
  <c r="O71" i="6"/>
  <c r="Y43" i="6"/>
  <c r="AA43" i="6" s="1"/>
  <c r="Y36" i="6"/>
  <c r="AA36" i="6" s="1"/>
  <c r="Y30" i="6"/>
  <c r="AA30" i="6" s="1"/>
  <c r="Y6" i="6"/>
  <c r="AA6" i="6" s="1"/>
  <c r="X69" i="6"/>
  <c r="P71" i="6"/>
  <c r="Y60" i="6"/>
  <c r="AA60" i="6" s="1"/>
  <c r="Y26" i="6"/>
  <c r="AA26" i="6" s="1"/>
  <c r="B71" i="6"/>
  <c r="Y56" i="6"/>
  <c r="AA56" i="6" s="1"/>
  <c r="Y49" i="6"/>
  <c r="AA49" i="6" s="1"/>
  <c r="Y45" i="6"/>
  <c r="AA45" i="6" s="1"/>
  <c r="C71" i="6"/>
  <c r="J71" i="6"/>
  <c r="Y48" i="6"/>
  <c r="AA48" i="6" s="1"/>
  <c r="Y41" i="6"/>
  <c r="AA41" i="6" s="1"/>
  <c r="Y37" i="6"/>
  <c r="AA37" i="6" s="1"/>
  <c r="Y28" i="6"/>
  <c r="AA28" i="6" s="1"/>
  <c r="Y24" i="6"/>
  <c r="AA24" i="6" s="1"/>
  <c r="Y20" i="6"/>
  <c r="AA20" i="6" s="1"/>
  <c r="W68" i="6"/>
  <c r="Y47" i="6"/>
  <c r="AA47" i="6" s="1"/>
  <c r="X70" i="6"/>
  <c r="X68" i="6"/>
  <c r="Y3" i="6"/>
  <c r="W70" i="6"/>
  <c r="W69" i="6"/>
  <c r="G72" i="5"/>
  <c r="BH72" i="5"/>
  <c r="AM72" i="5"/>
  <c r="AU72" i="5"/>
  <c r="X72" i="5"/>
  <c r="N72" i="5"/>
  <c r="AI72" i="5"/>
  <c r="BJ72" i="5"/>
  <c r="BG72" i="5"/>
  <c r="L72" i="5"/>
  <c r="AO72" i="5"/>
  <c r="BE72" i="5"/>
  <c r="BM72" i="5"/>
  <c r="AQ72" i="5"/>
  <c r="BN72" i="5"/>
  <c r="AY72" i="5"/>
  <c r="BK72" i="5"/>
  <c r="AZ72" i="5"/>
  <c r="H73" i="5"/>
  <c r="H66" i="5"/>
  <c r="F72" i="5"/>
  <c r="U72" i="5"/>
  <c r="Z72" i="5"/>
  <c r="AK72" i="5"/>
  <c r="BB72" i="5"/>
  <c r="BQ72" i="5"/>
  <c r="H67" i="5"/>
  <c r="H74" i="5"/>
  <c r="V72" i="5"/>
  <c r="AF72" i="5"/>
  <c r="AS72" i="5"/>
  <c r="BO73" i="5"/>
  <c r="BO66" i="5"/>
  <c r="E73" i="5"/>
  <c r="E66" i="5"/>
  <c r="R72" i="5"/>
  <c r="AB72" i="5"/>
  <c r="AG72" i="5"/>
  <c r="E74" i="5"/>
  <c r="E67" i="5"/>
  <c r="J72" i="5"/>
  <c r="Y72" i="5"/>
  <c r="AC72" i="5"/>
  <c r="H70" i="5"/>
  <c r="H71" i="5"/>
  <c r="H69" i="5"/>
  <c r="S72" i="5"/>
  <c r="AA72" i="5"/>
  <c r="AD72" i="5"/>
  <c r="BF72" i="5"/>
  <c r="BI72" i="5"/>
  <c r="BL72" i="5"/>
  <c r="E69" i="5"/>
  <c r="I72" i="5"/>
  <c r="Q72" i="5"/>
  <c r="AW72" i="5"/>
  <c r="BA72" i="5"/>
  <c r="BD72" i="5"/>
  <c r="E70" i="5"/>
  <c r="E71" i="5"/>
  <c r="G69" i="4" l="1"/>
  <c r="R74" i="1"/>
  <c r="AA35" i="6"/>
  <c r="AA66" i="6" s="1"/>
  <c r="Y66" i="6"/>
  <c r="N74" i="1"/>
  <c r="O74" i="1"/>
  <c r="Y65" i="6"/>
  <c r="AA3" i="6"/>
  <c r="AA65" i="6" s="1"/>
  <c r="E74" i="1"/>
  <c r="AA69" i="6"/>
  <c r="Y73" i="6"/>
  <c r="Y72" i="6"/>
  <c r="Y69" i="6"/>
  <c r="W71" i="6"/>
  <c r="X71" i="6"/>
  <c r="Y68" i="6"/>
  <c r="Y70" i="6"/>
  <c r="H72" i="5"/>
  <c r="E72" i="5"/>
  <c r="AA73" i="6" l="1"/>
  <c r="AA72" i="6"/>
  <c r="AA70" i="6"/>
  <c r="AA68" i="6"/>
  <c r="AA71" i="6" s="1"/>
  <c r="Y71" i="6"/>
</calcChain>
</file>

<file path=xl/comments1.xml><?xml version="1.0" encoding="utf-8"?>
<comments xmlns="http://schemas.openxmlformats.org/spreadsheetml/2006/main">
  <authors>
    <author>James Adams</author>
  </authors>
  <commentList>
    <comment ref="Q33" authorId="0">
      <text>
        <r>
          <rPr>
            <b/>
            <sz val="9"/>
            <color indexed="81"/>
            <rFont val="Tahoma"/>
            <charset val="1"/>
          </rPr>
          <t>James Adams:</t>
        </r>
        <r>
          <rPr>
            <sz val="9"/>
            <color indexed="81"/>
            <rFont val="Tahoma"/>
            <charset val="1"/>
          </rPr>
          <t xml:space="preserve">
assumed to be zero since blank</t>
        </r>
      </text>
    </comment>
    <comment ref="R33" authorId="0">
      <text>
        <r>
          <rPr>
            <b/>
            <sz val="9"/>
            <color indexed="81"/>
            <rFont val="Tahoma"/>
            <charset val="1"/>
          </rPr>
          <t>James Adams:</t>
        </r>
        <r>
          <rPr>
            <sz val="9"/>
            <color indexed="81"/>
            <rFont val="Tahoma"/>
            <charset val="1"/>
          </rPr>
          <t xml:space="preserve">
assumed to be zero since blank
</t>
        </r>
      </text>
    </comment>
    <comment ref="P55" authorId="0">
      <text>
        <r>
          <rPr>
            <b/>
            <sz val="9"/>
            <color indexed="81"/>
            <rFont val="Tahoma"/>
            <charset val="1"/>
          </rPr>
          <t>James Adams:</t>
        </r>
        <r>
          <rPr>
            <sz val="9"/>
            <color indexed="81"/>
            <rFont val="Tahoma"/>
            <charset val="1"/>
          </rPr>
          <t xml:space="preserve">
assumed to be zero since blank</t>
        </r>
      </text>
    </comment>
  </commentList>
</comments>
</file>

<file path=xl/sharedStrings.xml><?xml version="1.0" encoding="utf-8"?>
<sst xmlns="http://schemas.openxmlformats.org/spreadsheetml/2006/main" count="2848" uniqueCount="792">
  <si>
    <t>Methion.</t>
  </si>
  <si>
    <t>nmol/ml</t>
  </si>
  <si>
    <t>SAM</t>
  </si>
  <si>
    <t>SAH</t>
  </si>
  <si>
    <t>SAM/SAH</t>
  </si>
  <si>
    <t>Adenosin</t>
  </si>
  <si>
    <t>Cysteine</t>
  </si>
  <si>
    <t>tGSH</t>
  </si>
  <si>
    <t>Homocys.</t>
  </si>
  <si>
    <t>Glu-Cys</t>
  </si>
  <si>
    <t>Cys-Gly</t>
  </si>
  <si>
    <t>fGSH</t>
  </si>
  <si>
    <t>GSSG</t>
  </si>
  <si>
    <t>fGSH/GSSG</t>
  </si>
  <si>
    <t>tGSH/GSSG</t>
  </si>
  <si>
    <t>Cystine</t>
  </si>
  <si>
    <t>Cysteine/</t>
  </si>
  <si>
    <t>3NT</t>
  </si>
  <si>
    <t>3ClTyros</t>
  </si>
  <si>
    <t>Thiols Concentration</t>
  </si>
  <si>
    <t>ttest</t>
  </si>
  <si>
    <t>% different</t>
  </si>
  <si>
    <t>Subject</t>
  </si>
  <si>
    <t>Homocysteine</t>
  </si>
  <si>
    <t>B12</t>
  </si>
  <si>
    <t>Folate</t>
  </si>
  <si>
    <t>Ferritin</t>
  </si>
  <si>
    <t>MMA</t>
  </si>
  <si>
    <t>MTHFR mut.(C677T)</t>
  </si>
  <si>
    <t>MTHFR mut.(A1298C)</t>
  </si>
  <si>
    <t>Isoprostane (U) (ng/mg)</t>
  </si>
  <si>
    <t>Vitamin E</t>
  </si>
  <si>
    <t>Reference Range</t>
  </si>
  <si>
    <t>180-914</t>
  </si>
  <si>
    <t>&gt;4</t>
  </si>
  <si>
    <t>11-307</t>
  </si>
  <si>
    <t>&lt;0.4</t>
  </si>
  <si>
    <t>0=Neg, 1=Hetero, 2=Homo</t>
  </si>
  <si>
    <t>&lt;1</t>
  </si>
  <si>
    <t>5.5-17</t>
  </si>
  <si>
    <t>M1</t>
  </si>
  <si>
    <t>M2</t>
  </si>
  <si>
    <t>M3</t>
  </si>
  <si>
    <t>M5</t>
  </si>
  <si>
    <t>M6</t>
  </si>
  <si>
    <t>M7</t>
  </si>
  <si>
    <t>CXL-not needed?</t>
  </si>
  <si>
    <t>M8 9-16-16</t>
  </si>
  <si>
    <t>M9</t>
  </si>
  <si>
    <t>M10</t>
  </si>
  <si>
    <t>M11</t>
  </si>
  <si>
    <t>M12</t>
  </si>
  <si>
    <t>M13</t>
  </si>
  <si>
    <t>M17</t>
  </si>
  <si>
    <t>M18</t>
  </si>
  <si>
    <t>M19 10-27-16</t>
  </si>
  <si>
    <t>M20</t>
  </si>
  <si>
    <t xml:space="preserve">M21 </t>
  </si>
  <si>
    <t>M22</t>
  </si>
  <si>
    <t>M28 2-7-17</t>
  </si>
  <si>
    <t>M29</t>
  </si>
  <si>
    <t>M30</t>
  </si>
  <si>
    <t>dilute</t>
  </si>
  <si>
    <t>M31</t>
  </si>
  <si>
    <t>M32</t>
  </si>
  <si>
    <t>M33 3-22-17</t>
  </si>
  <si>
    <t>M34</t>
  </si>
  <si>
    <t>M35</t>
  </si>
  <si>
    <t>M36</t>
  </si>
  <si>
    <t>M37</t>
  </si>
  <si>
    <t>M38</t>
  </si>
  <si>
    <t>M39</t>
  </si>
  <si>
    <t>M40</t>
  </si>
  <si>
    <t>missed collection</t>
  </si>
  <si>
    <t>M41</t>
  </si>
  <si>
    <t>below linear range</t>
  </si>
  <si>
    <t>M42</t>
  </si>
  <si>
    <t>M43</t>
  </si>
  <si>
    <t>M44</t>
  </si>
  <si>
    <t>M45</t>
  </si>
  <si>
    <t>M46</t>
  </si>
  <si>
    <t>M47</t>
  </si>
  <si>
    <t>M48</t>
  </si>
  <si>
    <t>M49</t>
  </si>
  <si>
    <t>M50</t>
  </si>
  <si>
    <t>M51</t>
  </si>
  <si>
    <t>M52</t>
  </si>
  <si>
    <t>M53</t>
  </si>
  <si>
    <t>M54</t>
  </si>
  <si>
    <t>M55</t>
  </si>
  <si>
    <t>M57</t>
  </si>
  <si>
    <t>M58</t>
  </si>
  <si>
    <t>M59</t>
  </si>
  <si>
    <t>M60 2-14-17</t>
  </si>
  <si>
    <t>M61</t>
  </si>
  <si>
    <t>M62</t>
  </si>
  <si>
    <t>M63</t>
  </si>
  <si>
    <t>M65 2-10-17</t>
  </si>
  <si>
    <t>M66</t>
  </si>
  <si>
    <t>M67</t>
  </si>
  <si>
    <t>M68</t>
  </si>
  <si>
    <t>M70</t>
  </si>
  <si>
    <t>M71</t>
  </si>
  <si>
    <t>M8 12-23-16</t>
  </si>
  <si>
    <t>M19 1-12-17</t>
  </si>
  <si>
    <t>M28 5-11-17</t>
  </si>
  <si>
    <t>M28 7-7-17</t>
  </si>
  <si>
    <t>M33 7-6-17</t>
  </si>
  <si>
    <t>M33 5-19-17</t>
  </si>
  <si>
    <t>M60 6-8-17</t>
  </si>
  <si>
    <t>M65 5-19-17</t>
  </si>
  <si>
    <t>M26 pregnant</t>
  </si>
  <si>
    <t>M8</t>
  </si>
  <si>
    <t>M19</t>
  </si>
  <si>
    <t>M21</t>
  </si>
  <si>
    <t>M28</t>
  </si>
  <si>
    <t>M33</t>
  </si>
  <si>
    <t xml:space="preserve"> M47</t>
  </si>
  <si>
    <t>M60</t>
  </si>
  <si>
    <t>M65</t>
  </si>
  <si>
    <t>Age</t>
  </si>
  <si>
    <t>M8  9-16-16</t>
  </si>
  <si>
    <t>M33  3-22-17</t>
  </si>
  <si>
    <t>M28  5-11-17</t>
  </si>
  <si>
    <t>M33  5-19-17</t>
  </si>
  <si>
    <t>M60 6-8-2017</t>
  </si>
  <si>
    <t>Participant ID</t>
  </si>
  <si>
    <t>Subscale I (Irritability)</t>
  </si>
  <si>
    <t>Subscale II (Lethargy)</t>
  </si>
  <si>
    <t>Subscale III (Stereotypy)</t>
  </si>
  <si>
    <t xml:space="preserve">Subscale IV (Hyperactivity) </t>
  </si>
  <si>
    <t>Subscale V             (Innapropriate Speech)</t>
  </si>
  <si>
    <t>Total</t>
  </si>
  <si>
    <t>AVG ASD</t>
  </si>
  <si>
    <t>AVG NT</t>
  </si>
  <si>
    <t>Date</t>
  </si>
  <si>
    <t>Gender</t>
  </si>
  <si>
    <t>Birth date</t>
  </si>
  <si>
    <t>Child Age</t>
  </si>
  <si>
    <t>Weight at birth - lbs</t>
  </si>
  <si>
    <t>Weight at birth - oz</t>
  </si>
  <si>
    <t>Full Weight in Lbs</t>
  </si>
  <si>
    <t>Delivery</t>
  </si>
  <si>
    <t>Full or Pre Term</t>
  </si>
  <si>
    <t>Number Weeks Pre</t>
  </si>
  <si>
    <t>Preg Complications</t>
  </si>
  <si>
    <t>Describe</t>
  </si>
  <si>
    <t>Birth Complications</t>
  </si>
  <si>
    <t>Breast Fed (Months)</t>
  </si>
  <si>
    <t>Breast Fed &amp; Formula (Months)</t>
  </si>
  <si>
    <t>Only Formula (Months)</t>
  </si>
  <si>
    <t>Age Solids Intro (months)</t>
  </si>
  <si>
    <t>Standard/ Soy/ Other</t>
  </si>
  <si>
    <t>Prenatal - Y or N</t>
  </si>
  <si>
    <t>IF yes, weeks</t>
  </si>
  <si>
    <t>Pesticides</t>
  </si>
  <si>
    <t>Organic food (%)</t>
  </si>
  <si>
    <t>0-6 mo Antibiotics</t>
  </si>
  <si>
    <t>6-12 mo Antibiotics</t>
  </si>
  <si>
    <t>12-24 mo Antibiotics</t>
  </si>
  <si>
    <t>24-36 mo antibiotics</t>
  </si>
  <si>
    <t>36-48 antibiotics</t>
  </si>
  <si>
    <t>Asthma</t>
  </si>
  <si>
    <t>Food Allergies Y or N</t>
  </si>
  <si>
    <t>1 Food Allergy -- text</t>
  </si>
  <si>
    <t>1 Food Allergy - Rate</t>
  </si>
  <si>
    <t>2 Food Allergy - text</t>
  </si>
  <si>
    <t>2 Food allergy - rate</t>
  </si>
  <si>
    <t>3 Food allergy - text</t>
  </si>
  <si>
    <t>3 food allergy - rate</t>
  </si>
  <si>
    <t>Other Allergies Y or N</t>
  </si>
  <si>
    <t>1 Allergen - text</t>
  </si>
  <si>
    <t>1 Allergen - rate</t>
  </si>
  <si>
    <t>2 Allergen - text</t>
  </si>
  <si>
    <t>2 Allergen - rate</t>
  </si>
  <si>
    <t>3 Allergen - text</t>
  </si>
  <si>
    <t>3 Allergen - rate</t>
  </si>
  <si>
    <t>4 Allergen - Text</t>
  </si>
  <si>
    <t>4 Allergen - rate</t>
  </si>
  <si>
    <t>Developemental History</t>
  </si>
  <si>
    <t>Regression</t>
  </si>
  <si>
    <t>M - GI</t>
  </si>
  <si>
    <t>M - ASD</t>
  </si>
  <si>
    <t>M - Delayed Speech</t>
  </si>
  <si>
    <t>M - Learning Disabilityq</t>
  </si>
  <si>
    <t>M -Asthma</t>
  </si>
  <si>
    <t>M - Eczema</t>
  </si>
  <si>
    <t>M - Seasonal Allergy</t>
  </si>
  <si>
    <t>M - Food Allergies</t>
  </si>
  <si>
    <t>F - GI</t>
  </si>
  <si>
    <t>F - ASD</t>
  </si>
  <si>
    <t>F - Delayed Speech</t>
  </si>
  <si>
    <t>F - Learning Disabilityq</t>
  </si>
  <si>
    <t>F -Asthma</t>
  </si>
  <si>
    <t>F - Eczema</t>
  </si>
  <si>
    <t>F - Seasonal Allergy</t>
  </si>
  <si>
    <t>F - Food Allergies</t>
  </si>
  <si>
    <t xml:space="preserve">Comments </t>
  </si>
  <si>
    <t>0 = Male 1 = Female</t>
  </si>
  <si>
    <t>calculated from previous cells</t>
  </si>
  <si>
    <t>calculated form previous two cells</t>
  </si>
  <si>
    <t>0 = vaginal delivery 1=c-section</t>
  </si>
  <si>
    <t>0 = full-term 1= pre-term</t>
  </si>
  <si>
    <t>scale of 0 (none) to 3 (severe)</t>
  </si>
  <si>
    <t>1 = yes 0 = no</t>
  </si>
  <si>
    <t>neg # = prior to conception pos # = post conception</t>
  </si>
  <si>
    <t>number of rounds</t>
  </si>
  <si>
    <t>Scale of 0 (none) to 3 (severe)</t>
  </si>
  <si>
    <t>Scale of 1(mild) to 3 (severe)</t>
  </si>
  <si>
    <t>see scale below</t>
  </si>
  <si>
    <t>number of months</t>
  </si>
  <si>
    <t>jaundice-mom A- and Dad O+</t>
  </si>
  <si>
    <t>standard formula</t>
  </si>
  <si>
    <t>mom had preeclampsia with hellp</t>
  </si>
  <si>
    <t>Dairy</t>
  </si>
  <si>
    <t>Eggs</t>
  </si>
  <si>
    <t>very ill while pregnant couldn’t keep much down</t>
  </si>
  <si>
    <t>alimentum formula</t>
  </si>
  <si>
    <t>Milk/soy</t>
  </si>
  <si>
    <t>food allergies: only when infant &amp; developmental history: development was behinf from infancy, at time the child stopped talking, sleeping, and cried all the time</t>
  </si>
  <si>
    <t>tracheomalacia, kept at hospital 7 days for additional tests and spent some time with breathing treatments</t>
  </si>
  <si>
    <t xml:space="preserve">something else </t>
  </si>
  <si>
    <t>Soy</t>
  </si>
  <si>
    <t>Gluteu</t>
  </si>
  <si>
    <t>Family History: Both never tested for ASD or learning disability, but both had difficulties growing up but parents didn’t check with doctors. Father's parents were told by k/pre-k teachers he needed to be evaluated. It was noted he had poor social skills, and OCD behaviors, but his IQ was so high so they just moved him to an advanced program</t>
  </si>
  <si>
    <t>developed preeclampsia at 39 weeks, was induced but not dilating</t>
  </si>
  <si>
    <t xml:space="preserve">blood platelets were dropping so we had a c-sections, cord was wrapped around son's neck twice and had a knot in it </t>
  </si>
  <si>
    <t>yes</t>
  </si>
  <si>
    <t>soy</t>
  </si>
  <si>
    <t>peanut</t>
  </si>
  <si>
    <t>high blood pressur / preeclampsia</t>
  </si>
  <si>
    <t>low apgar (seen by nicu) was very blue when born-low oxygen</t>
  </si>
  <si>
    <t>had to use suction to get him out through c-section (large head-15")</t>
  </si>
  <si>
    <t>Breastfed</t>
  </si>
  <si>
    <t xml:space="preserve">full term:39 weeks&amp;age solids-oatmeal&amp;allergens-eczema,not sure about allergen stopped cows milk and went away&amp;family history: father ASD not sure, father asthma, seasonal allergies, and food allergies as a child </t>
  </si>
  <si>
    <t>very early pregnancy there was a bleed in placenta wall</t>
  </si>
  <si>
    <t>lack of oxygen to baby during labor</t>
  </si>
  <si>
    <t>N/A</t>
  </si>
  <si>
    <t>hypertension</t>
  </si>
  <si>
    <t>organic</t>
  </si>
  <si>
    <t>pre-eclampsia - last week of pregnancy</t>
  </si>
  <si>
    <t>long stage 2 labor. Pushed for 4.5 hours before he finally delivered</t>
  </si>
  <si>
    <t>eczema</t>
  </si>
  <si>
    <t>39 weeks due to scheduled c section</t>
  </si>
  <si>
    <t>gestational diabetes</t>
  </si>
  <si>
    <t>failure to progress, my blood pressure dropped and I developed a fever</t>
  </si>
  <si>
    <t>Kidney Infection during pregnancy; given antibiotic</t>
  </si>
  <si>
    <t>had a fever during delivery, checked him out at birth, saw no complications</t>
  </si>
  <si>
    <t>high risk-maternal age</t>
  </si>
  <si>
    <t>breach, got "stuck" during delivery vacuum assist birth</t>
  </si>
  <si>
    <t xml:space="preserve">multiple infections: pneumonia twice, klebsiella pneumoniae infections, strong strep B infections,flu, sick the whole pregnancy, anemia, very low albumin, calcium, D and leukoytes were constantly high, diarrhea the whole time. </t>
  </si>
  <si>
    <t xml:space="preserve">36 hours of labor. Uterus seemed to lose its strength to move well after having magnesium for heart palpitations. Fever. Leia was at a bad angle, hitting my bones when I pushed. Developed a caput from the long labor. </t>
  </si>
  <si>
    <t xml:space="preserve">gluten </t>
  </si>
  <si>
    <t>dairy</t>
  </si>
  <si>
    <t>artificial colors</t>
  </si>
  <si>
    <t>Pesticides: ant granules...no sprays Other allergies: her ENT suspects her enlarged tonsils/ adenoides may be from allergies, but it has not yet been confirmed M- GI problems : currently one but 3 for six years M-Seasonal Allergies: 1 currently but 3 for ages 12-25</t>
  </si>
  <si>
    <t>milk</t>
  </si>
  <si>
    <t>preterm labor</t>
  </si>
  <si>
    <t>n/a</t>
  </si>
  <si>
    <t>vacuum delivery, drop in heart rate</t>
  </si>
  <si>
    <t>standard</t>
  </si>
  <si>
    <t>pollen</t>
  </si>
  <si>
    <t>low amniotic fluid</t>
  </si>
  <si>
    <t>peanuts</t>
  </si>
  <si>
    <t>treenuts</t>
  </si>
  <si>
    <t>eggs</t>
  </si>
  <si>
    <t>weeds</t>
  </si>
  <si>
    <t>grass</t>
  </si>
  <si>
    <t>trees</t>
  </si>
  <si>
    <t>For partially breast fed, partially formula "had to thincken with oatmeal (not formular)</t>
  </si>
  <si>
    <t>she gets runny nose and cough but no allergen tested</t>
  </si>
  <si>
    <t>preeclampsia</t>
  </si>
  <si>
    <t>sulfa drugs</t>
  </si>
  <si>
    <t>early contractions/bleeding</t>
  </si>
  <si>
    <t>she had the cord wrapped around her neck and needed oxygen</t>
  </si>
  <si>
    <t>Breech</t>
  </si>
  <si>
    <t>placenta previa</t>
  </si>
  <si>
    <t>no formula</t>
  </si>
  <si>
    <t>born not breathing, had taken inmuconium and spent the night in NICU - but I was never told why</t>
  </si>
  <si>
    <t>?</t>
  </si>
  <si>
    <t>number of weeks pre term: 38.5 (one of twins), fraction of organic food could be 20%</t>
  </si>
  <si>
    <t>When I was 35 weeks her heart rate dropped so I had to have an emergency C section</t>
  </si>
  <si>
    <t xml:space="preserve">Seasonal </t>
  </si>
  <si>
    <t>number of weeks pre term: born at 35 weeks gestation, developmental history: she had infant botulism</t>
  </si>
  <si>
    <t>none</t>
  </si>
  <si>
    <t>Kiwi</t>
  </si>
  <si>
    <t>Seasonal</t>
  </si>
  <si>
    <t>Pet cleaner</t>
  </si>
  <si>
    <t>a great deal of pregnancy I was very nauseated and had chronic pain and anemia. I also went into pre labor at 31 weeks</t>
  </si>
  <si>
    <t>traumatic vaginal birth(he was "sunny side up")</t>
  </si>
  <si>
    <t>something else-similac spit up</t>
  </si>
  <si>
    <t>orange juice</t>
  </si>
  <si>
    <t xml:space="preserve"> gestational diabetes</t>
  </si>
  <si>
    <t>bad position (sunny side up and head angled funny) elevated HR (fetal)</t>
  </si>
  <si>
    <t>he spiked a fever at delivery-they ran antibiotics</t>
  </si>
  <si>
    <t>gestational hypertension, subchronic hemmorrhage, premature rupture of membrances</t>
  </si>
  <si>
    <t>fetal distress which led to an emergency c section</t>
  </si>
  <si>
    <t>Asthma: no offical diagnosis, suspects he does, currently seeing specialists Other Allergies: develops hives when he has a fever, no specific allergens identified</t>
  </si>
  <si>
    <t>gestational diabetes, but blood sugar remained low</t>
  </si>
  <si>
    <t>nuts</t>
  </si>
  <si>
    <t>garlic</t>
  </si>
  <si>
    <t xml:space="preserve">cats </t>
  </si>
  <si>
    <t xml:space="preserve">Allergies: also eczema Developmental History: physical small, was never on groath curve. bone age test revealed she's 2 yrs behind </t>
  </si>
  <si>
    <t>seasonal-environment</t>
  </si>
  <si>
    <t>congenital diaphragmatic hernia</t>
  </si>
  <si>
    <t>sometimes</t>
  </si>
  <si>
    <t>Prenatal taken 8 weeks prior to conception, continued for 3 months and sporadically after first trimeester</t>
  </si>
  <si>
    <t>gestational diabetes controlled by diet- monitored daily</t>
  </si>
  <si>
    <t>long, 30+ hr labor, stuck at same dialation for 7+ hours</t>
  </si>
  <si>
    <t xml:space="preserve">Full term: 40 weeks exactly Allergies: had skin test done-negative Family History: eczema- psoriasis </t>
  </si>
  <si>
    <t>shellfish</t>
  </si>
  <si>
    <t>pregnancy induced hypertension</t>
  </si>
  <si>
    <t>seasonal</t>
  </si>
  <si>
    <t>currently in speech therapy for speech delay but all physical development met/exceed</t>
  </si>
  <si>
    <t xml:space="preserve">Developemental Age </t>
  </si>
  <si>
    <t>Normal development, followed by major regression at age -- months</t>
  </si>
  <si>
    <t>Normal development, followed by major plateau in development that occurred at ag -- months, and last for at least several months</t>
  </si>
  <si>
    <t>Abnormal development from early infancy, with no major regression or plateau in development</t>
  </si>
  <si>
    <t>Normal Development</t>
  </si>
  <si>
    <t xml:space="preserve">1. Fatigue </t>
  </si>
  <si>
    <t>2. Fibromyalgia</t>
  </si>
  <si>
    <t>3. Depression</t>
  </si>
  <si>
    <t>4. Irritability/Mood</t>
  </si>
  <si>
    <t>5. Anxiety</t>
  </si>
  <si>
    <t>6. Cognition/Thinking</t>
  </si>
  <si>
    <t>7. Attention/Focus</t>
  </si>
  <si>
    <t>8. Sensory Sensitivities</t>
  </si>
  <si>
    <t>9. Stool/GI Problems</t>
  </si>
  <si>
    <t>10. Sleep Problems</t>
  </si>
  <si>
    <t>11. Headaches/Migraines</t>
  </si>
  <si>
    <t>12. Chemical Intolerance</t>
  </si>
  <si>
    <t>13. Allergies</t>
  </si>
  <si>
    <t>14. Expressive Language/Speech</t>
  </si>
  <si>
    <t>15. Receptive Language/Comprehension</t>
  </si>
  <si>
    <t>16. Other</t>
  </si>
  <si>
    <t>16.5 Other</t>
  </si>
  <si>
    <t>17 Other</t>
  </si>
  <si>
    <t>17.5 Other</t>
  </si>
  <si>
    <t>Number of symptoms score</t>
  </si>
  <si>
    <t>MS</t>
  </si>
  <si>
    <t>A single alcoholic beverage results in a week long hangover</t>
  </si>
  <si>
    <t>boils, frequent</t>
  </si>
  <si>
    <t>nauseau/ pain from ovarian cyst</t>
  </si>
  <si>
    <t>chronic pain</t>
  </si>
  <si>
    <t>Loud Noises</t>
  </si>
  <si>
    <t>Toughing me (others)</t>
  </si>
  <si>
    <t>buspar Effexor Nasal allergy spray</t>
  </si>
  <si>
    <t>None</t>
  </si>
  <si>
    <t xml:space="preserve">None </t>
  </si>
  <si>
    <t xml:space="preserve">11 mo this post partum. Overall very healthy. No previous health issues. Only time I've had to seek medical care was during pregnancies. </t>
  </si>
  <si>
    <t>Overweight, mild intermittent asthma</t>
  </si>
  <si>
    <t xml:space="preserve">Healthy/no known medical conditions </t>
  </si>
  <si>
    <t>Nexplanon - Birth Control</t>
  </si>
  <si>
    <t xml:space="preserve">Nature thyroid </t>
  </si>
  <si>
    <t xml:space="preserve">Hypothyroidism </t>
  </si>
  <si>
    <t>Healthy</t>
  </si>
  <si>
    <t>Advair Albuterol</t>
  </si>
  <si>
    <t>Low functioning kidney</t>
  </si>
  <si>
    <t xml:space="preserve"> completely  healthy </t>
  </si>
  <si>
    <t xml:space="preserve">Allegra for allergies once in a while </t>
  </si>
  <si>
    <t>Normal</t>
  </si>
  <si>
    <t>Good</t>
  </si>
  <si>
    <t>Vit c,</t>
  </si>
  <si>
    <t>N/a</t>
  </si>
  <si>
    <t>Fish oil, mothers milk tea</t>
  </si>
  <si>
    <t xml:space="preserve">Healthy. No medical conditions </t>
  </si>
  <si>
    <t>Birth control pill, allergic to sulfa</t>
  </si>
  <si>
    <t>Nursing mother</t>
  </si>
  <si>
    <t xml:space="preserve">Max air inhaler Zyrtec Levothyroxine Pantoprazole </t>
  </si>
  <si>
    <t>Melotonin (for sleep at night)</t>
  </si>
  <si>
    <t xml:space="preserve">Adderal 15mg XR (Daily), Hydrocodone/APAP 10mg (2X Daily), Gabapentin 300mg (2 tablets, 3x Daily). </t>
  </si>
  <si>
    <t xml:space="preserve">I have an anxiety disorder along with ADHD. I also was diagnosed with disc desiccation in my neck (C2-C7) and a disc bulge (C4-C5). I tend to have trouble with GI but nothing clearly diagnosed. No other medical conditions known to me other than these few. </t>
  </si>
  <si>
    <t xml:space="preserve">None. </t>
  </si>
  <si>
    <t>Inhaler for asthma and allergy medicine for seasonal allergies. Nexplanon for birth control</t>
  </si>
  <si>
    <t>A to Z over the counter</t>
  </si>
  <si>
    <t>Great!</t>
  </si>
  <si>
    <t xml:space="preserve">Average, healthy </t>
  </si>
  <si>
    <t>Non</t>
  </si>
  <si>
    <t>No conditions but i am breastfeeding.</t>
  </si>
  <si>
    <t>I drink Shakeology.</t>
  </si>
  <si>
    <t>Fairly healthy</t>
  </si>
  <si>
    <t>Normal ad Healthy</t>
  </si>
  <si>
    <t xml:space="preserve">Levothyroxine and Liothronine </t>
  </si>
  <si>
    <t xml:space="preserve">Hashimotos </t>
  </si>
  <si>
    <t xml:space="preserve">Flonase nasal spray Zyrtec Claritin D-occasionally </t>
  </si>
  <si>
    <t xml:space="preserve">Healthy </t>
  </si>
  <si>
    <t xml:space="preserve">I was taking a vitamin supplement for women but haven't taken it in a month. </t>
  </si>
  <si>
    <t>Buspar,  paxal,  synthyroid, and birth control.</t>
  </si>
  <si>
    <t>No current medical conditions.</t>
  </si>
  <si>
    <t>No</t>
  </si>
  <si>
    <t xml:space="preserve">Seasonal allergy medications Zyrtec . Birth control pills and topamax for migraines </t>
  </si>
  <si>
    <t>Birth Control: Blisovi FE 1-20</t>
  </si>
  <si>
    <t>Tired and exhausted</t>
  </si>
  <si>
    <t>Naldol for mitral valve prolapse Birth control pill Epi-pen and prednisone if needed for allergic anaphlaxis</t>
  </si>
  <si>
    <t>Good. Mitral Valve Prolapse, food allergies</t>
  </si>
  <si>
    <t>Occasionally take a probiotic, but it has been awhile since I have taken one.</t>
  </si>
  <si>
    <t>No medical conditions, in good health. No past medical conditions.</t>
  </si>
  <si>
    <t xml:space="preserve">Great. </t>
  </si>
  <si>
    <t>birth control (generic Seasonique), zytrec</t>
  </si>
  <si>
    <t>random ovarian cysts</t>
  </si>
  <si>
    <t>Zoloft, microgestin</t>
  </si>
  <si>
    <t>Normal and healthy</t>
  </si>
  <si>
    <t xml:space="preserve">Calcium </t>
  </si>
  <si>
    <t xml:space="preserve">No medications </t>
  </si>
  <si>
    <t xml:space="preserve">I consider myself healthy. Just hip pain once a month. </t>
  </si>
  <si>
    <t>Healthy. No medical conditions.</t>
  </si>
  <si>
    <t>Yaz, hydroclorothiazide, Wellbutrin XL</t>
  </si>
  <si>
    <t xml:space="preserve">Healthy. Recent slight elevation in blood pressure. Doctor has prescribed a water pill. I eat well and exercise 3 times per week. </t>
  </si>
  <si>
    <t>None.</t>
  </si>
  <si>
    <t xml:space="preserve">Seemingly healthy. No illnesses, diseases, or abnormalities that I am aware. </t>
  </si>
  <si>
    <t xml:space="preserve">None, I have been more focused on my sons supplements </t>
  </si>
  <si>
    <t xml:space="preserve">I am in good health with no medical conditions. I am not taking any supplements or vitamins at this time. </t>
  </si>
  <si>
    <t>Not taking any</t>
  </si>
  <si>
    <t xml:space="preserve">Ortho tricyclene lo Armour thyroid </t>
  </si>
  <si>
    <t xml:space="preserve">Healthy. </t>
  </si>
  <si>
    <t>Not on any</t>
  </si>
  <si>
    <t>Lexapro and Zanax</t>
  </si>
  <si>
    <t xml:space="preserve">overweight, on anti anxiety and anti depressants. IBS constipation.   </t>
  </si>
  <si>
    <t>Minastrin 24 FE (birth control) Citalopram HBR 40 MG (Antidepressant)</t>
  </si>
  <si>
    <t xml:space="preserve">I have ADHD, Anxiety, Depression, PTSD and food intolerances. </t>
  </si>
  <si>
    <t>Currently feel fine, but have had gut issues off and on over the years.  My son with autism and I both have the MTHFR gene mutation which can affect homocycstein levels.</t>
  </si>
  <si>
    <t>Mirena IUD</t>
  </si>
  <si>
    <t xml:space="preserve">Good health, no chronic conditions </t>
  </si>
  <si>
    <t xml:space="preserve">Wild Salmon oil and raw calcium </t>
  </si>
  <si>
    <t>Your Current Nutritional Supplements (including vitamins and minerals):</t>
  </si>
  <si>
    <t>Your Current Medications (including allergy medications):</t>
  </si>
  <si>
    <t>Your Current Medical Condition:</t>
  </si>
  <si>
    <t>We don’t want to include any maternal data from M15 and M26 due to pregnancy.</t>
  </si>
  <si>
    <t>However, their CHILD data is fine to use.</t>
  </si>
  <si>
    <t>Meds?</t>
  </si>
  <si>
    <t>Nutri Supps?</t>
  </si>
  <si>
    <t>birth control</t>
  </si>
  <si>
    <t>allergy</t>
  </si>
  <si>
    <t>epi-pen as needed</t>
  </si>
  <si>
    <t>inhaler</t>
  </si>
  <si>
    <t xml:space="preserve">psych </t>
  </si>
  <si>
    <t xml:space="preserve">pain </t>
  </si>
  <si>
    <t xml:space="preserve">thyroid </t>
  </si>
  <si>
    <t xml:space="preserve"> Type</t>
  </si>
  <si>
    <t xml:space="preserve">blood pressure </t>
  </si>
  <si>
    <t xml:space="preserve">GI </t>
  </si>
  <si>
    <t>n</t>
  </si>
  <si>
    <t>%</t>
  </si>
  <si>
    <t>ASD</t>
  </si>
  <si>
    <t>NT</t>
  </si>
  <si>
    <t>On Nutritional Supplements?</t>
  </si>
  <si>
    <t>On Medications?</t>
  </si>
  <si>
    <t>multi removed because off it for the study</t>
  </si>
  <si>
    <t xml:space="preserve">M2 </t>
  </si>
  <si>
    <t xml:space="preserve">M1 </t>
  </si>
  <si>
    <t>D</t>
  </si>
  <si>
    <t>C</t>
  </si>
  <si>
    <t>BNV</t>
  </si>
  <si>
    <t>BV</t>
  </si>
  <si>
    <t>A</t>
  </si>
  <si>
    <t>Subject ID</t>
  </si>
  <si>
    <t>ASD (n=30)</t>
  </si>
  <si>
    <t>We don't want to include any maternal or child data from M55 due to unusually small size</t>
  </si>
  <si>
    <t>TD</t>
  </si>
  <si>
    <t>ASD count</t>
  </si>
  <si>
    <t>TD count</t>
  </si>
  <si>
    <t>14 males, 14 females</t>
  </si>
  <si>
    <t>22 males, 8 females</t>
  </si>
  <si>
    <t>recalc ttest</t>
  </si>
  <si>
    <t>total antibiotics (0-48 months)</t>
  </si>
  <si>
    <t>stdev - ASD</t>
  </si>
  <si>
    <t>stdev-NT</t>
  </si>
  <si>
    <t>ASD birth complications - sorted</t>
  </si>
  <si>
    <t>TD Birth Complications</t>
  </si>
  <si>
    <t>% severity 1</t>
  </si>
  <si>
    <t>% severity 2</t>
  </si>
  <si>
    <t>% severity 3</t>
  </si>
  <si>
    <t>total % abnormal birth</t>
  </si>
  <si>
    <t>TD pregnancy complications</t>
  </si>
  <si>
    <t>weeks used</t>
  </si>
  <si>
    <t>preconcept</t>
  </si>
  <si>
    <t xml:space="preserve">preconception usage </t>
  </si>
  <si>
    <t>weeks (preconception use converted to zero)</t>
  </si>
  <si>
    <t>ASD Prenatal usage</t>
  </si>
  <si>
    <t>%used preconception</t>
  </si>
  <si>
    <t>Most severe allergy</t>
  </si>
  <si>
    <t>ASD Severity</t>
  </si>
  <si>
    <t>TD food sensitivity</t>
  </si>
  <si>
    <t>% regression</t>
  </si>
  <si>
    <t>% plateau</t>
  </si>
  <si>
    <t>% early onset</t>
  </si>
  <si>
    <t>Plateau</t>
  </si>
  <si>
    <t>stdev-ASD</t>
  </si>
  <si>
    <t>sqrt(average)</t>
  </si>
  <si>
    <t>count ASD</t>
  </si>
  <si>
    <t>count nt</t>
  </si>
  <si>
    <t>stdev-TD</t>
  </si>
  <si>
    <t>Type 0</t>
  </si>
  <si>
    <t>Type 1</t>
  </si>
  <si>
    <t>Type 2</t>
  </si>
  <si>
    <t>TD values</t>
  </si>
  <si>
    <t>10th % of TD</t>
  </si>
  <si>
    <t>90th % of TD</t>
  </si>
  <si>
    <t>% below 10th%</t>
  </si>
  <si>
    <t>% above 90th%</t>
  </si>
  <si>
    <t>reconsider cut-off's used for abnormally low or high</t>
  </si>
  <si>
    <t>count-ASD</t>
  </si>
  <si>
    <t>count-TD</t>
  </si>
  <si>
    <t>Aluminum</t>
  </si>
  <si>
    <t>Antimony</t>
  </si>
  <si>
    <t>Arsenic</t>
  </si>
  <si>
    <t>Barium</t>
  </si>
  <si>
    <t>Beryllium</t>
  </si>
  <si>
    <t>Bismuth</t>
  </si>
  <si>
    <t>Cadmium</t>
  </si>
  <si>
    <t>Cesium</t>
  </si>
  <si>
    <t>Gadolinium</t>
  </si>
  <si>
    <t>Lead</t>
  </si>
  <si>
    <t>Mercury</t>
  </si>
  <si>
    <t>Nickel</t>
  </si>
  <si>
    <t>Palladium</t>
  </si>
  <si>
    <t>Platinum</t>
  </si>
  <si>
    <t>Tellurium</t>
  </si>
  <si>
    <t>Thallium</t>
  </si>
  <si>
    <t>Thorium</t>
  </si>
  <si>
    <t>Tin</t>
  </si>
  <si>
    <t>Tungsten</t>
  </si>
  <si>
    <t>Uranium</t>
  </si>
  <si>
    <t>Sodium</t>
  </si>
  <si>
    <t>Potassium</t>
  </si>
  <si>
    <t>Phosphorus</t>
  </si>
  <si>
    <t>Calcium</t>
  </si>
  <si>
    <t>Magnesium</t>
  </si>
  <si>
    <t>Zinc</t>
  </si>
  <si>
    <t>Copper</t>
  </si>
  <si>
    <t>Sulfur</t>
  </si>
  <si>
    <t>Manganese</t>
  </si>
  <si>
    <t>Molybdenum</t>
  </si>
  <si>
    <t>Boron</t>
  </si>
  <si>
    <t>Chromium</t>
  </si>
  <si>
    <t>Lithium</t>
  </si>
  <si>
    <t>Selenium</t>
  </si>
  <si>
    <t>Strontium</t>
  </si>
  <si>
    <t>Vanadium</t>
  </si>
  <si>
    <t>Cobalt</t>
  </si>
  <si>
    <t>Iron</t>
  </si>
  <si>
    <t>Creatinine</t>
  </si>
  <si>
    <t>01 Mom</t>
  </si>
  <si>
    <t>Mom</t>
  </si>
  <si>
    <t>&lt;dl</t>
  </si>
  <si>
    <t>02 Mom</t>
  </si>
  <si>
    <t>03 Mom</t>
  </si>
  <si>
    <t>05 Mom</t>
  </si>
  <si>
    <t>06 Mom</t>
  </si>
  <si>
    <t>07 Mom</t>
  </si>
  <si>
    <t>08 Mom</t>
  </si>
  <si>
    <t>09 Mom</t>
  </si>
  <si>
    <t>10 Mom</t>
  </si>
  <si>
    <t>11 Mom</t>
  </si>
  <si>
    <t>12 Mom</t>
  </si>
  <si>
    <t>17 Mom</t>
  </si>
  <si>
    <t>18 Mom</t>
  </si>
  <si>
    <t>19 Mom</t>
  </si>
  <si>
    <t>20 Mom</t>
  </si>
  <si>
    <t>21 Mom</t>
  </si>
  <si>
    <t>22 Mom</t>
  </si>
  <si>
    <t>28 Mom</t>
  </si>
  <si>
    <t>29 Mom</t>
  </si>
  <si>
    <t>30 Mom</t>
  </si>
  <si>
    <t>31 Mom</t>
  </si>
  <si>
    <t>32 Mom</t>
  </si>
  <si>
    <t>33 Mom</t>
  </si>
  <si>
    <t>34 Mom</t>
  </si>
  <si>
    <t>35 Mom</t>
  </si>
  <si>
    <t>36 Mom</t>
  </si>
  <si>
    <t>37 Mom</t>
  </si>
  <si>
    <t>39 Mom</t>
  </si>
  <si>
    <t>40 Mom</t>
  </si>
  <si>
    <t>41 Mom</t>
  </si>
  <si>
    <t>42 Mom</t>
  </si>
  <si>
    <t>43 Mom</t>
  </si>
  <si>
    <t>44 Mom</t>
  </si>
  <si>
    <t>45 Mom</t>
  </si>
  <si>
    <t>46 Mom</t>
  </si>
  <si>
    <t>47 Mom</t>
  </si>
  <si>
    <t>48 Mom</t>
  </si>
  <si>
    <t>49 Mom</t>
  </si>
  <si>
    <t>50 Mom</t>
  </si>
  <si>
    <t>51 Mom</t>
  </si>
  <si>
    <t>52 Mom</t>
  </si>
  <si>
    <t>53 Mom</t>
  </si>
  <si>
    <t>54 Mom</t>
  </si>
  <si>
    <t>57 Mom</t>
  </si>
  <si>
    <t>58 Mom</t>
  </si>
  <si>
    <t>59 Mom</t>
  </si>
  <si>
    <t>60 Mom</t>
  </si>
  <si>
    <t>61 Mom</t>
  </si>
  <si>
    <t>62 Mom</t>
  </si>
  <si>
    <t>63 Mom</t>
  </si>
  <si>
    <t>65 Mom</t>
  </si>
  <si>
    <t>66 Mom</t>
  </si>
  <si>
    <t>67 Mom</t>
  </si>
  <si>
    <t>68 Mom</t>
  </si>
  <si>
    <t>70 Mom</t>
  </si>
  <si>
    <t>71 Mom</t>
  </si>
  <si>
    <t>min measured value</t>
  </si>
  <si>
    <t>min value / sqrt 2</t>
  </si>
  <si>
    <t>count ASD &lt; dl</t>
  </si>
  <si>
    <t>count TD &lt; dl</t>
  </si>
  <si>
    <t>% ASD &lt;dl</t>
  </si>
  <si>
    <t>% TD &lt; dl</t>
  </si>
  <si>
    <t>only 2 detectable</t>
  </si>
  <si>
    <t>all undetectable</t>
  </si>
  <si>
    <t>only 3 detectable</t>
  </si>
  <si>
    <t>only 1 detectable</t>
  </si>
  <si>
    <t>count TD</t>
  </si>
  <si>
    <t>Avg ASD</t>
  </si>
  <si>
    <t>Avg TD</t>
  </si>
  <si>
    <t>stdev ASD</t>
  </si>
  <si>
    <t>stdev TD</t>
  </si>
  <si>
    <t>RESPONDENTID</t>
  </si>
  <si>
    <t>TODAYSDATE</t>
  </si>
  <si>
    <t>SEX</t>
  </si>
  <si>
    <t>PREGNANT</t>
  </si>
  <si>
    <t>AGE</t>
  </si>
  <si>
    <t>WEIGHT</t>
  </si>
  <si>
    <t>HEIGHTFEET</t>
  </si>
  <si>
    <t>HEIGHTINCHES</t>
  </si>
  <si>
    <t>BMI</t>
  </si>
  <si>
    <t>DT_SATFAT</t>
  </si>
  <si>
    <t>DT_TRANSFAT</t>
  </si>
  <si>
    <t>DT_SUGAR</t>
  </si>
  <si>
    <t>DT_FREESUGAR</t>
  </si>
  <si>
    <t>DT_FRUITS</t>
  </si>
  <si>
    <t>DT_VEGGIES</t>
  </si>
  <si>
    <t>DT_FRUITSVEGGIES</t>
  </si>
  <si>
    <t>GL</t>
  </si>
  <si>
    <t>GI</t>
  </si>
  <si>
    <t>DT_KCAL</t>
  </si>
  <si>
    <t>DT_PROT</t>
  </si>
  <si>
    <t>DT_TFAT</t>
  </si>
  <si>
    <t>DT_CARB</t>
  </si>
  <si>
    <t>DT_FIBE</t>
  </si>
  <si>
    <t>MILKFREQ</t>
  </si>
  <si>
    <t>MILKQUAN</t>
  </si>
  <si>
    <t>MILKTYPE</t>
  </si>
  <si>
    <t>OJFREQ</t>
  </si>
  <si>
    <t>OJQUAN</t>
  </si>
  <si>
    <t>VEGJUICEFREQ</t>
  </si>
  <si>
    <t>VEGJUICEQUAN</t>
  </si>
  <si>
    <t>SNAPPLEFREQ</t>
  </si>
  <si>
    <t>SNAPPLEQUAN</t>
  </si>
  <si>
    <t>SNAPPLETYPE</t>
  </si>
  <si>
    <t>SOMEJUICEFREQ</t>
  </si>
  <si>
    <t>SOMEJUICEQUAN</t>
  </si>
  <si>
    <t>SOFTDRINKFREQ</t>
  </si>
  <si>
    <t>SOFTDRINKQUAN</t>
  </si>
  <si>
    <t>SOFTDRINKTYPE</t>
  </si>
  <si>
    <t>BEERFREQ</t>
  </si>
  <si>
    <t>BEERQUAN</t>
  </si>
  <si>
    <t>EGGSFREQ</t>
  </si>
  <si>
    <t>EGGSQUAN</t>
  </si>
  <si>
    <t>CEREALFREQ</t>
  </si>
  <si>
    <t>CEREALQUAN</t>
  </si>
  <si>
    <t>HOTCEREALFREQ</t>
  </si>
  <si>
    <t>HOTCEREALQUAN</t>
  </si>
  <si>
    <t>LCCEREALTYPE</t>
  </si>
  <si>
    <t>CHEERIOSTYPE</t>
  </si>
  <si>
    <t>SWEETENEDTYPE</t>
  </si>
  <si>
    <t>CORNFLAKESTYPE</t>
  </si>
  <si>
    <t>NOCEREALTYPE</t>
  </si>
  <si>
    <t>SUGARFREQ</t>
  </si>
  <si>
    <t>SUGARQUAN</t>
  </si>
  <si>
    <t>CHEESEFREQ</t>
  </si>
  <si>
    <t>CHEESEQUAN</t>
  </si>
  <si>
    <t>LUNCHMEATFREQ</t>
  </si>
  <si>
    <t>LUNCHMEATQUAN</t>
  </si>
  <si>
    <t>LUNCHMEATTYPE</t>
  </si>
  <si>
    <t>BURGERFREQ</t>
  </si>
  <si>
    <t>BURGERQUAN</t>
  </si>
  <si>
    <t>HOTDOGFREQ</t>
  </si>
  <si>
    <t>HOTDOGQUAN</t>
  </si>
  <si>
    <t>HOTDOGTYPE</t>
  </si>
  <si>
    <t>BEEFFREQ</t>
  </si>
  <si>
    <t>BEEFQUAN</t>
  </si>
  <si>
    <t>CHICKENFREQ</t>
  </si>
  <si>
    <t>CHICKENQUAN</t>
  </si>
  <si>
    <t>FISHFREQ</t>
  </si>
  <si>
    <t>FISHQUAN</t>
  </si>
  <si>
    <t>PIZZAFREQ</t>
  </si>
  <si>
    <t>PIZZAQUAN</t>
  </si>
  <si>
    <t>SPAGHETTIFREQ</t>
  </si>
  <si>
    <t>SPAGHETTIQUAN</t>
  </si>
  <si>
    <t>RICEFREQ</t>
  </si>
  <si>
    <t>RICEQUAN</t>
  </si>
  <si>
    <t>SALADFREQ</t>
  </si>
  <si>
    <t>SALADQUAN</t>
  </si>
  <si>
    <t>FRUITFREQ</t>
  </si>
  <si>
    <t>FRUITQUAN</t>
  </si>
  <si>
    <t>FRIESFREQ</t>
  </si>
  <si>
    <t>FRIESQUAN</t>
  </si>
  <si>
    <t>POTATOFREQ</t>
  </si>
  <si>
    <t>POTATOQUAN</t>
  </si>
  <si>
    <t>VEGSOUPFREQ</t>
  </si>
  <si>
    <t>VEGSOUPQUAN</t>
  </si>
  <si>
    <t>OTHERVEGFREQ</t>
  </si>
  <si>
    <t>OTHERVEGQUAN</t>
  </si>
  <si>
    <t>BREADBAGELSFREQ</t>
  </si>
  <si>
    <t>BREADBAGELSQUAN</t>
  </si>
  <si>
    <t>BREADBAGELSTYPE</t>
  </si>
  <si>
    <t>BISCUITFREQ</t>
  </si>
  <si>
    <t>BISCUITQUAN</t>
  </si>
  <si>
    <t>CHIPSFREQ</t>
  </si>
  <si>
    <t>CHIPSQUAN</t>
  </si>
  <si>
    <t>CHIPSTYPE</t>
  </si>
  <si>
    <t>CRACKERFREQ</t>
  </si>
  <si>
    <t>CRACKERQUAN</t>
  </si>
  <si>
    <t>CRACKERTYPE</t>
  </si>
  <si>
    <t>ICECREAMFREQ</t>
  </si>
  <si>
    <t>ICECREAMQUAN</t>
  </si>
  <si>
    <t>ICECREAMTYPE</t>
  </si>
  <si>
    <t>DOUGHNUTFREQ</t>
  </si>
  <si>
    <t>DOUGHNUTQUAN</t>
  </si>
  <si>
    <t>CAKEFREQ</t>
  </si>
  <si>
    <t>CAKEQUAN</t>
  </si>
  <si>
    <t>CAKETYPE</t>
  </si>
  <si>
    <t>PIEFREQ</t>
  </si>
  <si>
    <t>PIEQUAN</t>
  </si>
  <si>
    <t>CHOCOLATEFREQ</t>
  </si>
  <si>
    <t>CHOCOLATEQUAN</t>
  </si>
  <si>
    <t>CHOCOLATETYPE</t>
  </si>
  <si>
    <t>OTHERCANDYFREQ</t>
  </si>
  <si>
    <t>OTHERCANDYQUAN</t>
  </si>
  <si>
    <t>OTHERCANDYTYPE</t>
  </si>
  <si>
    <t>MARGARINEFREQ</t>
  </si>
  <si>
    <t>MARGARINEQUAN</t>
  </si>
  <si>
    <t>MARGARINETYPE</t>
  </si>
  <si>
    <t>BUTTERFREQ</t>
  </si>
  <si>
    <t>BUTTERQUAN</t>
  </si>
  <si>
    <t>COOKFATFREQ</t>
  </si>
  <si>
    <t>COOKINGFATPAMORNONE</t>
  </si>
  <si>
    <t>COOKINGFATBUTTER</t>
  </si>
  <si>
    <t>COOKINGFATHALF</t>
  </si>
  <si>
    <t>COOKINGFATSTICKMARG</t>
  </si>
  <si>
    <t>COOKINGFATSOFTMARG</t>
  </si>
  <si>
    <t>COOKINGFATDIET</t>
  </si>
  <si>
    <t>COOKINGFATVEGGIE</t>
  </si>
  <si>
    <t>COOKINGFATOLIVE</t>
  </si>
  <si>
    <t>COOKINGFATLARD</t>
  </si>
  <si>
    <t>COOKINGFATCRISCO</t>
  </si>
  <si>
    <t>COOKINGFATTRANSFREE</t>
  </si>
  <si>
    <t>COOKINGFATDONTKNOW</t>
  </si>
  <si>
    <t>LATINO</t>
  </si>
  <si>
    <t>WHITE</t>
  </si>
  <si>
    <t>BLACK</t>
  </si>
  <si>
    <t>ASIAN</t>
  </si>
  <si>
    <t>NATIVEAMER</t>
  </si>
  <si>
    <t>HAWAIIAN</t>
  </si>
  <si>
    <t>NOTPROVIDED</t>
  </si>
  <si>
    <t>BOOKNUM</t>
  </si>
  <si>
    <t>09M72016</t>
  </si>
  <si>
    <t>M</t>
  </si>
  <si>
    <t>MM</t>
  </si>
  <si>
    <t>.</t>
  </si>
  <si>
    <t>02M72017</t>
  </si>
  <si>
    <t>MMM</t>
  </si>
  <si>
    <t>09MM2017</t>
  </si>
  <si>
    <t>avg-aut</t>
  </si>
  <si>
    <t>avg-cont</t>
  </si>
  <si>
    <t>sd-aut</t>
  </si>
  <si>
    <t>sd-control</t>
  </si>
  <si>
    <t>avg ASD/controls</t>
  </si>
  <si>
    <t>why do we have diet dataon M56?</t>
  </si>
  <si>
    <t>M56</t>
  </si>
  <si>
    <t xml:space="preserve">M47 - at 5 months child had infant botulism.  She was on a ventilator but recovered.  So ok to include.
</t>
  </si>
  <si>
    <t>sometime during pregnancy</t>
  </si>
  <si>
    <t>25 Mom</t>
  </si>
  <si>
    <t>55 Mom</t>
  </si>
  <si>
    <t>56 Mom</t>
  </si>
  <si>
    <t>Participants Removed from Study -- if data on them, disregard</t>
  </si>
  <si>
    <t>M25 -- wasn't able to complete the blood draw (fainted)</t>
  </si>
  <si>
    <t>M26 -- found out she was pregnant based on Mayo Clinic testing</t>
  </si>
  <si>
    <t>&lt;-- May not have any data within the workbook, but not sure</t>
  </si>
  <si>
    <t>M55 -- child was unusually small</t>
  </si>
  <si>
    <t>Vit D3</t>
  </si>
  <si>
    <t>NT (n=30)</t>
  </si>
  <si>
    <t>post partum hemorrhage, placenta was manually extracted, no issues with baby though</t>
  </si>
  <si>
    <t>^^ all M56 data added on 12/20/18 by DMC</t>
  </si>
  <si>
    <t>Most severe allergen - 50</t>
  </si>
  <si>
    <t>Average (25)</t>
  </si>
  <si>
    <t>index</t>
  </si>
  <si>
    <t>med type</t>
  </si>
  <si>
    <t>psych</t>
  </si>
  <si>
    <t>blood pressure</t>
  </si>
  <si>
    <t>thryroid</t>
  </si>
  <si>
    <t>pain</t>
  </si>
  <si>
    <t>epi-pen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</si>
</sst>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0.000000"/>
    <numFmt numFmtId="166" formatCode="0.000"/>
    <numFmt numFmtId="167" formatCode="0.00000"/>
  </numFmts>
  <fonts count="18">
    <font>
      <sz val="11"/>
      <color theme="1"/>
      <name val="Calibri"/>
      <family val="2"/>
      <scheme val="minor"/>
    </font>
    <font>
      <b/>
      <sz val="11"/>
      <color theme="1"/>
      <name val="Calibri"/>
      <family val="2"/>
      <scheme val="minor"/>
    </font>
    <font>
      <sz val="10"/>
      <color theme="1"/>
      <name val="Arial"/>
      <family val="2"/>
    </font>
    <font>
      <b/>
      <sz val="10"/>
      <name val="Arial"/>
      <family val="2"/>
    </font>
    <font>
      <sz val="10"/>
      <name val="Arial"/>
      <family val="2"/>
    </font>
    <font>
      <sz val="11"/>
      <color rgb="FF000000"/>
      <name val="Calibri"/>
      <family val="2"/>
    </font>
    <font>
      <sz val="11"/>
      <name val="Calibri"/>
      <family val="2"/>
    </font>
    <font>
      <sz val="11"/>
      <name val="Calibri (Body)"/>
    </font>
    <font>
      <sz val="11"/>
      <name val="Calibri"/>
      <family val="2"/>
      <scheme val="minor"/>
    </font>
    <font>
      <sz val="11"/>
      <color rgb="FF000000"/>
      <name val="Calibri"/>
      <family val="2"/>
      <scheme val="minor"/>
    </font>
    <font>
      <sz val="11"/>
      <color rgb="FF1F497D"/>
      <name val="Calibri"/>
      <family val="2"/>
      <scheme val="minor"/>
    </font>
    <font>
      <sz val="11"/>
      <color theme="1"/>
      <name val="Calibri"/>
      <family val="2"/>
      <scheme val="minor"/>
    </font>
    <font>
      <sz val="12"/>
      <color theme="1"/>
      <name val="Calibri"/>
      <family val="2"/>
      <scheme val="minor"/>
    </font>
    <font>
      <b/>
      <sz val="11"/>
      <color rgb="FF000000"/>
      <name val="Calibri"/>
    </font>
    <font>
      <sz val="9"/>
      <color indexed="81"/>
      <name val="Tahoma"/>
      <charset val="1"/>
    </font>
    <font>
      <b/>
      <sz val="9"/>
      <color indexed="81"/>
      <name val="Tahoma"/>
      <charset val="1"/>
    </font>
    <font>
      <sz val="11"/>
      <color rgb="FFFF0000"/>
      <name val="Calibri"/>
      <family val="2"/>
      <scheme val="minor"/>
    </font>
    <font>
      <sz val="11"/>
      <color rgb="FF000000"/>
      <name val="Calibri"/>
    </font>
  </fonts>
  <fills count="8">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rgb="FFFFC000"/>
        <bgColor indexed="64"/>
      </patternFill>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CAC9D9"/>
      </left>
      <right style="thin">
        <color rgb="FFCAC9D9"/>
      </right>
      <top/>
      <bottom style="thin">
        <color rgb="FFCAC9D9"/>
      </bottom>
      <diagonal/>
    </border>
    <border>
      <left style="thin">
        <color rgb="FFCAC9D9"/>
      </left>
      <right style="thin">
        <color rgb="FFCAC9D9"/>
      </right>
      <top style="thin">
        <color rgb="FFCAC9D9"/>
      </top>
      <bottom style="thin">
        <color rgb="FFCAC9D9"/>
      </bottom>
      <diagonal/>
    </border>
  </borders>
  <cellStyleXfs count="7">
    <xf numFmtId="0" fontId="0" fillId="0" borderId="0"/>
    <xf numFmtId="0" fontId="2" fillId="0" borderId="0"/>
    <xf numFmtId="0" fontId="5" fillId="0" borderId="0"/>
    <xf numFmtId="9" fontId="2" fillId="0" borderId="0" applyFont="0" applyFill="0" applyBorder="0" applyAlignment="0" applyProtection="0"/>
    <xf numFmtId="9" fontId="11" fillId="0" borderId="0" applyFont="0" applyFill="0" applyBorder="0" applyAlignment="0" applyProtection="0"/>
    <xf numFmtId="0" fontId="12" fillId="0" borderId="0"/>
    <xf numFmtId="0" fontId="17" fillId="0" borderId="0"/>
  </cellStyleXfs>
  <cellXfs count="151">
    <xf numFmtId="0" fontId="0" fillId="0" borderId="0" xfId="0"/>
    <xf numFmtId="2" fontId="0" fillId="0" borderId="0" xfId="0" applyNumberFormat="1"/>
    <xf numFmtId="0" fontId="0" fillId="0" borderId="0" xfId="0" applyFill="1"/>
    <xf numFmtId="0" fontId="4" fillId="0" borderId="0" xfId="1" applyFont="1" applyFill="1"/>
    <xf numFmtId="2" fontId="4" fillId="0" borderId="0" xfId="1" applyNumberFormat="1" applyFont="1" applyFill="1"/>
    <xf numFmtId="0" fontId="4" fillId="0" borderId="0" xfId="1" applyFont="1" applyFill="1" applyAlignment="1">
      <alignment horizontal="center"/>
    </xf>
    <xf numFmtId="0" fontId="6" fillId="0" borderId="0" xfId="2" applyFont="1" applyFill="1" applyAlignment="1">
      <alignment horizontal="right"/>
    </xf>
    <xf numFmtId="0" fontId="6" fillId="0" borderId="0" xfId="2" applyFont="1" applyFill="1" applyAlignment="1">
      <alignment horizontal="center"/>
    </xf>
    <xf numFmtId="0" fontId="4" fillId="0" borderId="0" xfId="1" applyFont="1" applyFill="1" applyBorder="1" applyAlignment="1"/>
    <xf numFmtId="0" fontId="4" fillId="0" borderId="0" xfId="1" applyFont="1" applyFill="1" applyBorder="1"/>
    <xf numFmtId="0" fontId="4" fillId="0" borderId="0" xfId="1" applyFont="1" applyFill="1" applyBorder="1" applyAlignment="1">
      <alignment horizontal="center"/>
    </xf>
    <xf numFmtId="0" fontId="7" fillId="0" borderId="0" xfId="1" applyFont="1" applyFill="1" applyBorder="1" applyAlignment="1">
      <alignment horizontal="right"/>
    </xf>
    <xf numFmtId="9" fontId="4" fillId="0" borderId="0" xfId="3" applyFont="1" applyFill="1"/>
    <xf numFmtId="0" fontId="5" fillId="0" borderId="0" xfId="0" applyFont="1" applyFill="1" applyBorder="1" applyAlignment="1">
      <alignment horizontal="center" wrapText="1"/>
    </xf>
    <xf numFmtId="0" fontId="8" fillId="0" borderId="0" xfId="0" applyFont="1" applyFill="1" applyBorder="1" applyAlignment="1">
      <alignment horizontal="center" wrapText="1"/>
    </xf>
    <xf numFmtId="0" fontId="0" fillId="0" borderId="0" xfId="0" applyFont="1" applyFill="1" applyBorder="1" applyAlignment="1">
      <alignment horizontal="center" wrapText="1"/>
    </xf>
    <xf numFmtId="0" fontId="6" fillId="0" borderId="0" xfId="0" applyFont="1" applyFill="1" applyBorder="1" applyAlignment="1">
      <alignment horizontal="center" wrapText="1"/>
    </xf>
    <xf numFmtId="0" fontId="0" fillId="0" borderId="0" xfId="0" applyFill="1" applyBorder="1" applyAlignment="1">
      <alignment horizontal="center" wrapText="1"/>
    </xf>
    <xf numFmtId="0" fontId="9" fillId="0" borderId="0" xfId="0" applyFont="1" applyFill="1" applyBorder="1" applyAlignment="1">
      <alignment horizontal="center" wrapText="1"/>
    </xf>
    <xf numFmtId="22" fontId="0" fillId="0" borderId="0" xfId="0" applyNumberFormat="1" applyFont="1" applyFill="1" applyBorder="1" applyAlignment="1">
      <alignment horizontal="center" wrapText="1"/>
    </xf>
    <xf numFmtId="0" fontId="0" fillId="2" borderId="0" xfId="0" applyFill="1"/>
    <xf numFmtId="0" fontId="0" fillId="0" borderId="0" xfId="0" applyAlignment="1"/>
    <xf numFmtId="0" fontId="1" fillId="3" borderId="0" xfId="0" applyFont="1" applyFill="1"/>
    <xf numFmtId="0" fontId="0" fillId="3" borderId="0" xfId="0" applyFill="1"/>
    <xf numFmtId="0" fontId="1" fillId="3" borderId="0" xfId="0" applyFont="1" applyFill="1" applyBorder="1" applyAlignment="1">
      <alignment horizontal="center" wrapText="1"/>
    </xf>
    <xf numFmtId="0" fontId="1" fillId="3" borderId="0" xfId="0" applyFont="1" applyFill="1" applyBorder="1" applyAlignment="1">
      <alignment horizontal="center"/>
    </xf>
    <xf numFmtId="0" fontId="0" fillId="3" borderId="0" xfId="0" applyFill="1" applyBorder="1" applyAlignment="1">
      <alignment horizontal="center" wrapText="1"/>
    </xf>
    <xf numFmtId="0" fontId="0" fillId="3" borderId="0" xfId="0" applyFill="1" applyBorder="1" applyAlignment="1">
      <alignment horizontal="center"/>
    </xf>
    <xf numFmtId="0" fontId="0" fillId="3" borderId="0" xfId="0" applyFill="1" applyBorder="1"/>
    <xf numFmtId="0" fontId="0" fillId="0" borderId="0" xfId="0" applyBorder="1"/>
    <xf numFmtId="0" fontId="0" fillId="0" borderId="0" xfId="0" applyFill="1" applyBorder="1"/>
    <xf numFmtId="0" fontId="0" fillId="2" borderId="0" xfId="0" applyFill="1" applyBorder="1"/>
    <xf numFmtId="2" fontId="0" fillId="0" borderId="0" xfId="0" applyNumberFormat="1" applyBorder="1"/>
    <xf numFmtId="165" fontId="0" fillId="0" borderId="0" xfId="0" applyNumberFormat="1" applyBorder="1"/>
    <xf numFmtId="9" fontId="0" fillId="0" borderId="0" xfId="0" applyNumberFormat="1" applyFill="1" applyBorder="1"/>
    <xf numFmtId="2" fontId="0" fillId="0" borderId="0" xfId="0" applyNumberFormat="1" applyFill="1" applyBorder="1"/>
    <xf numFmtId="0" fontId="3" fillId="3" borderId="0" xfId="1" applyFont="1" applyFill="1" applyBorder="1" applyAlignment="1"/>
    <xf numFmtId="0" fontId="3" fillId="3" borderId="0" xfId="1" applyFont="1" applyFill="1" applyBorder="1"/>
    <xf numFmtId="2" fontId="3" fillId="3" borderId="0" xfId="1" applyNumberFormat="1" applyFont="1" applyFill="1" applyBorder="1"/>
    <xf numFmtId="0" fontId="3" fillId="3" borderId="0" xfId="1" applyFont="1" applyFill="1" applyBorder="1" applyAlignment="1">
      <alignment horizontal="center"/>
    </xf>
    <xf numFmtId="0" fontId="4" fillId="3" borderId="0" xfId="1" applyFont="1" applyFill="1" applyBorder="1"/>
    <xf numFmtId="0" fontId="6" fillId="0" borderId="0" xfId="2" applyFont="1" applyFill="1" applyBorder="1" applyAlignment="1"/>
    <xf numFmtId="2" fontId="4" fillId="0" borderId="0" xfId="1" applyNumberFormat="1" applyFont="1" applyFill="1" applyBorder="1"/>
    <xf numFmtId="164" fontId="4" fillId="0" borderId="0" xfId="1" applyNumberFormat="1" applyFont="1" applyFill="1" applyBorder="1"/>
    <xf numFmtId="0" fontId="6" fillId="0" borderId="0" xfId="2" applyFont="1" applyFill="1" applyBorder="1" applyAlignment="1">
      <alignment horizontal="right"/>
    </xf>
    <xf numFmtId="0" fontId="6" fillId="0" borderId="0" xfId="2" applyFont="1" applyFill="1" applyBorder="1" applyAlignment="1">
      <alignment horizontal="center"/>
    </xf>
    <xf numFmtId="0" fontId="4" fillId="0" borderId="0" xfId="1" applyFont="1" applyFill="1" applyBorder="1" applyAlignment="1">
      <alignment horizontal="right"/>
    </xf>
    <xf numFmtId="0" fontId="4" fillId="0" borderId="0" xfId="1" applyFont="1" applyFill="1" applyBorder="1" applyAlignment="1">
      <alignment vertical="center"/>
    </xf>
    <xf numFmtId="9" fontId="4" fillId="0" borderId="0" xfId="3" applyFont="1" applyFill="1" applyBorder="1"/>
    <xf numFmtId="0" fontId="4" fillId="0" borderId="0" xfId="1" applyFont="1" applyFill="1" applyBorder="1" applyAlignment="1">
      <alignment horizontal="left"/>
    </xf>
    <xf numFmtId="0" fontId="6" fillId="0" borderId="0" xfId="2" applyFont="1" applyFill="1" applyBorder="1" applyAlignment="1">
      <alignment horizontal="left"/>
    </xf>
    <xf numFmtId="0" fontId="1" fillId="3" borderId="0" xfId="0" applyFont="1" applyFill="1" applyBorder="1"/>
    <xf numFmtId="0" fontId="1" fillId="0" borderId="0" xfId="0" applyFont="1" applyBorder="1"/>
    <xf numFmtId="0" fontId="6" fillId="0" borderId="0" xfId="0" applyFont="1" applyFill="1" applyBorder="1" applyAlignment="1">
      <alignment horizontal="center"/>
    </xf>
    <xf numFmtId="0" fontId="5" fillId="0" borderId="0" xfId="0" applyFont="1" applyFill="1" applyBorder="1" applyAlignment="1">
      <alignment horizontal="center"/>
    </xf>
    <xf numFmtId="0" fontId="0" fillId="0" borderId="0" xfId="0" applyFill="1" applyBorder="1" applyAlignment="1">
      <alignment horizontal="center"/>
    </xf>
    <xf numFmtId="0" fontId="1" fillId="3" borderId="0" xfId="0" applyNumberFormat="1" applyFont="1" applyFill="1" applyBorder="1"/>
    <xf numFmtId="0" fontId="1" fillId="3" borderId="0" xfId="0" applyFont="1" applyFill="1" applyBorder="1" applyAlignment="1">
      <alignment wrapText="1"/>
    </xf>
    <xf numFmtId="0" fontId="1" fillId="3" borderId="0" xfId="0" applyNumberFormat="1" applyFont="1" applyFill="1" applyBorder="1" applyAlignment="1">
      <alignment wrapText="1"/>
    </xf>
    <xf numFmtId="14" fontId="0" fillId="0" borderId="0" xfId="0" applyNumberFormat="1" applyBorder="1"/>
    <xf numFmtId="0" fontId="0" fillId="0" borderId="0" xfId="0" applyNumberFormat="1" applyBorder="1"/>
    <xf numFmtId="14" fontId="0" fillId="0" borderId="0" xfId="0" applyNumberFormat="1" applyFill="1" applyBorder="1"/>
    <xf numFmtId="0" fontId="0" fillId="0" borderId="0" xfId="0" applyNumberFormat="1" applyFill="1" applyBorder="1"/>
    <xf numFmtId="0" fontId="0" fillId="0" borderId="0" xfId="0" quotePrefix="1" applyNumberFormat="1" applyFill="1" applyBorder="1"/>
    <xf numFmtId="0" fontId="0" fillId="0" borderId="0" xfId="0" quotePrefix="1" applyNumberFormat="1" applyBorder="1"/>
    <xf numFmtId="1" fontId="0" fillId="0" borderId="0" xfId="0" applyNumberFormat="1" applyFill="1" applyBorder="1"/>
    <xf numFmtId="0" fontId="0" fillId="0" borderId="0" xfId="0" quotePrefix="1" applyBorder="1"/>
    <xf numFmtId="0" fontId="0" fillId="0" borderId="0" xfId="0" applyNumberFormat="1" applyFill="1" applyBorder="1" applyAlignment="1">
      <alignment horizontal="right"/>
    </xf>
    <xf numFmtId="2" fontId="0" fillId="3" borderId="0" xfId="0" applyNumberFormat="1" applyFill="1" applyBorder="1"/>
    <xf numFmtId="0" fontId="4" fillId="3" borderId="0" xfId="1" applyFont="1" applyFill="1" applyBorder="1" applyAlignment="1"/>
    <xf numFmtId="0" fontId="4" fillId="3" borderId="0" xfId="1" applyFont="1" applyFill="1" applyBorder="1" applyAlignment="1">
      <alignment horizontal="center"/>
    </xf>
    <xf numFmtId="0" fontId="7" fillId="3" borderId="0" xfId="1" applyFont="1" applyFill="1" applyBorder="1" applyAlignment="1">
      <alignment horizontal="right"/>
    </xf>
    <xf numFmtId="2" fontId="4" fillId="3" borderId="0" xfId="1" applyNumberFormat="1" applyFont="1" applyFill="1" applyBorder="1"/>
    <xf numFmtId="0" fontId="4" fillId="3" borderId="0" xfId="1" applyFont="1" applyFill="1"/>
    <xf numFmtId="2" fontId="4" fillId="3" borderId="0" xfId="1" applyNumberFormat="1" applyFont="1" applyFill="1"/>
    <xf numFmtId="0" fontId="4" fillId="3" borderId="0" xfId="1" applyFont="1" applyFill="1" applyAlignment="1">
      <alignment horizontal="center"/>
    </xf>
    <xf numFmtId="2" fontId="0" fillId="3" borderId="0" xfId="0" applyNumberFormat="1" applyFill="1"/>
    <xf numFmtId="14" fontId="0" fillId="3" borderId="0" xfId="0" applyNumberFormat="1" applyFill="1" applyBorder="1"/>
    <xf numFmtId="0" fontId="0" fillId="3" borderId="0" xfId="0" applyNumberFormat="1" applyFill="1" applyBorder="1"/>
    <xf numFmtId="0" fontId="10" fillId="0" borderId="0" xfId="0" applyFont="1" applyAlignment="1">
      <alignment vertical="center"/>
    </xf>
    <xf numFmtId="0" fontId="12" fillId="0" borderId="0" xfId="5"/>
    <xf numFmtId="0" fontId="0" fillId="0" borderId="1" xfId="0" applyFill="1" applyBorder="1"/>
    <xf numFmtId="0" fontId="1" fillId="0" borderId="1" xfId="0" applyFont="1" applyFill="1" applyBorder="1"/>
    <xf numFmtId="0" fontId="1" fillId="0" borderId="1" xfId="0" applyFont="1" applyFill="1" applyBorder="1" applyAlignment="1">
      <alignment wrapText="1"/>
    </xf>
    <xf numFmtId="0" fontId="1" fillId="4" borderId="0" xfId="0" applyFont="1" applyFill="1" applyBorder="1" applyAlignment="1">
      <alignment horizontal="center" wrapText="1"/>
    </xf>
    <xf numFmtId="0" fontId="0" fillId="4" borderId="0" xfId="0" applyFill="1" applyBorder="1" applyAlignment="1">
      <alignment wrapText="1"/>
    </xf>
    <xf numFmtId="0" fontId="0" fillId="4" borderId="0" xfId="0" applyFill="1" applyBorder="1"/>
    <xf numFmtId="0" fontId="1" fillId="4" borderId="0" xfId="0" applyFont="1" applyFill="1" applyBorder="1" applyAlignment="1">
      <alignment wrapText="1"/>
    </xf>
    <xf numFmtId="0" fontId="0" fillId="0" borderId="0" xfId="0" applyBorder="1" applyAlignment="1">
      <alignment wrapText="1"/>
    </xf>
    <xf numFmtId="0" fontId="0" fillId="0" borderId="0" xfId="0" applyFill="1" applyBorder="1" applyAlignment="1">
      <alignment wrapText="1"/>
    </xf>
    <xf numFmtId="0" fontId="1" fillId="0" borderId="1" xfId="0" applyFont="1" applyFill="1" applyBorder="1" applyAlignment="1"/>
    <xf numFmtId="9" fontId="1" fillId="0" borderId="1" xfId="4" applyFont="1" applyFill="1" applyBorder="1" applyAlignment="1">
      <alignment horizontal="center"/>
    </xf>
    <xf numFmtId="0" fontId="0" fillId="0" borderId="1" xfId="0" applyFill="1" applyBorder="1" applyAlignment="1">
      <alignment horizontal="center"/>
    </xf>
    <xf numFmtId="9" fontId="0" fillId="0" borderId="1" xfId="4" applyFont="1" applyFill="1" applyBorder="1" applyAlignment="1">
      <alignment horizontal="center"/>
    </xf>
    <xf numFmtId="9" fontId="0" fillId="0" borderId="0" xfId="0" applyNumberFormat="1" applyBorder="1"/>
    <xf numFmtId="0" fontId="0" fillId="2" borderId="0" xfId="0" applyNumberFormat="1" applyFill="1" applyBorder="1"/>
    <xf numFmtId="10" fontId="0" fillId="0" borderId="0" xfId="0" quotePrefix="1" applyNumberFormat="1" applyBorder="1"/>
    <xf numFmtId="165" fontId="0" fillId="2" borderId="0" xfId="0" applyNumberFormat="1" applyFill="1" applyBorder="1"/>
    <xf numFmtId="2" fontId="4" fillId="0" borderId="0" xfId="3" applyNumberFormat="1" applyFont="1" applyFill="1"/>
    <xf numFmtId="2" fontId="4" fillId="2" borderId="0" xfId="1" applyNumberFormat="1" applyFont="1" applyFill="1"/>
    <xf numFmtId="2" fontId="4" fillId="2" borderId="0" xfId="1" applyNumberFormat="1" applyFont="1" applyFill="1" applyBorder="1"/>
    <xf numFmtId="9" fontId="4" fillId="0" borderId="0" xfId="1" applyNumberFormat="1" applyFont="1" applyFill="1" applyBorder="1" applyAlignment="1">
      <alignment horizontal="center"/>
    </xf>
    <xf numFmtId="2" fontId="4" fillId="0" borderId="0" xfId="3" applyNumberFormat="1" applyFont="1" applyFill="1" applyBorder="1"/>
    <xf numFmtId="2" fontId="4" fillId="2" borderId="0" xfId="3" applyNumberFormat="1" applyFont="1" applyFill="1" applyBorder="1"/>
    <xf numFmtId="2" fontId="0" fillId="2" borderId="0" xfId="0" applyNumberFormat="1" applyFill="1" applyBorder="1"/>
    <xf numFmtId="0" fontId="13" fillId="0" borderId="0" xfId="1" applyFont="1" applyFill="1"/>
    <xf numFmtId="0" fontId="2" fillId="0" borderId="0" xfId="1" applyFill="1"/>
    <xf numFmtId="0" fontId="0" fillId="0" borderId="0" xfId="0" applyNumberFormat="1" applyFill="1"/>
    <xf numFmtId="9" fontId="0" fillId="0" borderId="0" xfId="0" applyNumberFormat="1"/>
    <xf numFmtId="166" fontId="0" fillId="0" borderId="0" xfId="0" applyNumberFormat="1"/>
    <xf numFmtId="167" fontId="0" fillId="0" borderId="0" xfId="0" applyNumberFormat="1"/>
    <xf numFmtId="2" fontId="0" fillId="2" borderId="0" xfId="0" applyNumberFormat="1" applyFill="1"/>
    <xf numFmtId="0" fontId="0" fillId="0" borderId="0" xfId="0" applyAlignment="1">
      <alignment wrapText="1"/>
    </xf>
    <xf numFmtId="0" fontId="0" fillId="0" borderId="0" xfId="0" applyBorder="1" applyAlignment="1">
      <alignment horizontal="right" indent="1"/>
    </xf>
    <xf numFmtId="0" fontId="16" fillId="0" borderId="0" xfId="0" applyFont="1"/>
    <xf numFmtId="166" fontId="0" fillId="2" borderId="0" xfId="0" applyNumberFormat="1" applyFill="1" applyBorder="1"/>
    <xf numFmtId="0" fontId="4" fillId="0" borderId="2" xfId="0" applyNumberFormat="1" applyFont="1" applyFill="1" applyBorder="1" applyAlignment="1">
      <alignment horizontal="right" vertical="center" wrapText="1"/>
    </xf>
    <xf numFmtId="0" fontId="4" fillId="0" borderId="3" xfId="0" applyNumberFormat="1" applyFont="1" applyFill="1" applyBorder="1" applyAlignment="1">
      <alignment horizontal="right" vertical="center" wrapText="1"/>
    </xf>
    <xf numFmtId="49" fontId="4" fillId="2" borderId="3" xfId="0" applyNumberFormat="1" applyFont="1" applyFill="1" applyBorder="1" applyAlignment="1">
      <alignment horizontal="right" vertical="center" wrapText="1"/>
    </xf>
    <xf numFmtId="0" fontId="4" fillId="2" borderId="0" xfId="0" applyFont="1" applyFill="1"/>
    <xf numFmtId="49" fontId="3" fillId="0" borderId="0" xfId="0" applyNumberFormat="1" applyFont="1" applyFill="1" applyBorder="1" applyAlignment="1">
      <alignment horizontal="center" vertical="center" wrapText="1"/>
    </xf>
    <xf numFmtId="0" fontId="0" fillId="0" borderId="0" xfId="0"/>
    <xf numFmtId="0" fontId="0" fillId="0" borderId="0" xfId="0" applyFill="1"/>
    <xf numFmtId="0" fontId="0" fillId="0" borderId="0" xfId="0"/>
    <xf numFmtId="2" fontId="0" fillId="0" borderId="0" xfId="0" applyNumberFormat="1"/>
    <xf numFmtId="0" fontId="0" fillId="0" borderId="0" xfId="0" applyFill="1"/>
    <xf numFmtId="0" fontId="0" fillId="0" borderId="0" xfId="0" applyFill="1"/>
    <xf numFmtId="14" fontId="0" fillId="0" borderId="0" xfId="0" applyNumberFormat="1" applyFill="1"/>
    <xf numFmtId="0" fontId="0" fillId="0" borderId="0" xfId="0" applyNumberFormat="1" applyFill="1"/>
    <xf numFmtId="2" fontId="0" fillId="0" borderId="0" xfId="0" applyNumberFormat="1" applyFill="1"/>
    <xf numFmtId="0" fontId="0" fillId="0" borderId="0" xfId="0"/>
    <xf numFmtId="0" fontId="0" fillId="0" borderId="0" xfId="0" applyFill="1"/>
    <xf numFmtId="2" fontId="0" fillId="0" borderId="0" xfId="0" applyNumberFormat="1" applyFill="1" applyBorder="1" applyAlignment="1">
      <alignment wrapText="1"/>
    </xf>
    <xf numFmtId="2" fontId="1" fillId="3" borderId="0" xfId="0" applyNumberFormat="1" applyFont="1" applyFill="1" applyBorder="1" applyAlignment="1">
      <alignment horizontal="center"/>
    </xf>
    <xf numFmtId="0" fontId="1" fillId="0" borderId="1" xfId="0" applyFont="1" applyFill="1" applyBorder="1" applyAlignment="1">
      <alignment horizontal="center"/>
    </xf>
    <xf numFmtId="0" fontId="0" fillId="6" borderId="0" xfId="0" applyFill="1" applyBorder="1"/>
    <xf numFmtId="14" fontId="0" fillId="6" borderId="0" xfId="0" applyNumberFormat="1" applyFill="1" applyBorder="1"/>
    <xf numFmtId="0" fontId="0" fillId="6" borderId="0" xfId="0" applyNumberFormat="1" applyFill="1" applyBorder="1"/>
    <xf numFmtId="0" fontId="0" fillId="6" borderId="0" xfId="0" quotePrefix="1" applyNumberFormat="1" applyFill="1" applyBorder="1"/>
    <xf numFmtId="0" fontId="0" fillId="7" borderId="0" xfId="0" applyFill="1" applyBorder="1"/>
    <xf numFmtId="14" fontId="0" fillId="7" borderId="0" xfId="0" applyNumberFormat="1" applyFill="1" applyBorder="1"/>
    <xf numFmtId="2" fontId="0" fillId="7" borderId="0" xfId="0" applyNumberFormat="1" applyFill="1" applyBorder="1"/>
    <xf numFmtId="0" fontId="0" fillId="7" borderId="0" xfId="0" applyNumberFormat="1" applyFill="1" applyBorder="1"/>
    <xf numFmtId="0" fontId="0" fillId="7" borderId="0" xfId="0" quotePrefix="1" applyNumberFormat="1" applyFill="1" applyBorder="1"/>
    <xf numFmtId="0" fontId="0" fillId="5" borderId="1" xfId="0" applyFill="1" applyBorder="1"/>
    <xf numFmtId="0" fontId="6" fillId="2" borderId="0" xfId="2" applyFont="1" applyFill="1" applyBorder="1" applyAlignment="1"/>
    <xf numFmtId="0" fontId="6" fillId="2" borderId="0" xfId="2" applyFont="1" applyFill="1" applyBorder="1" applyAlignment="1">
      <alignment horizontal="right"/>
    </xf>
    <xf numFmtId="0" fontId="4" fillId="2" borderId="0" xfId="1" applyFont="1" applyFill="1" applyBorder="1"/>
    <xf numFmtId="0" fontId="6" fillId="2" borderId="0" xfId="2" applyFont="1" applyFill="1" applyBorder="1" applyAlignment="1">
      <alignment horizontal="center"/>
    </xf>
    <xf numFmtId="0" fontId="0" fillId="2" borderId="0" xfId="0" applyFont="1" applyFill="1"/>
    <xf numFmtId="0" fontId="1" fillId="0" borderId="1" xfId="0" applyFont="1" applyFill="1" applyBorder="1" applyAlignment="1">
      <alignment horizontal="center"/>
    </xf>
  </cellXfs>
  <cellStyles count="7">
    <cellStyle name="Normal" xfId="0" builtinId="0"/>
    <cellStyle name="Normal 2" xfId="1"/>
    <cellStyle name="Normal 2 2" xfId="2"/>
    <cellStyle name="Normal 2 3" xfId="6"/>
    <cellStyle name="Normal 3" xfId="5"/>
    <cellStyle name="Percent" xfId="4" builtinId="5"/>
    <cellStyle name="Percent 2" xfId="3"/>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abSelected="1" workbookViewId="0">
      <selection activeCell="B11" sqref="B11"/>
    </sheetView>
  </sheetViews>
  <sheetFormatPr defaultRowHeight="15"/>
  <cols>
    <col min="1" max="1" width="74.7109375" bestFit="1" customWidth="1"/>
    <col min="2" max="2" width="37.28515625" bestFit="1" customWidth="1"/>
  </cols>
  <sheetData>
    <row r="1" spans="1:2">
      <c r="A1" s="79" t="s">
        <v>427</v>
      </c>
      <c r="B1" s="79" t="s">
        <v>428</v>
      </c>
    </row>
    <row r="2" spans="1:2">
      <c r="A2" s="79"/>
    </row>
    <row r="3" spans="1:2">
      <c r="A3" t="s">
        <v>457</v>
      </c>
      <c r="B3" s="131"/>
    </row>
    <row r="5" spans="1:2" ht="60">
      <c r="A5" s="112" t="s">
        <v>769</v>
      </c>
    </row>
    <row r="8" spans="1:2">
      <c r="A8" t="s">
        <v>774</v>
      </c>
    </row>
    <row r="9" spans="1:2">
      <c r="A9" t="s">
        <v>775</v>
      </c>
      <c r="B9" t="s">
        <v>777</v>
      </c>
    </row>
    <row r="10" spans="1:2">
      <c r="A10" t="s">
        <v>776</v>
      </c>
    </row>
    <row r="11" spans="1:2">
      <c r="A11" t="s">
        <v>778</v>
      </c>
    </row>
    <row r="13" spans="1:2">
      <c r="A13" t="s">
        <v>782</v>
      </c>
    </row>
  </sheetData>
  <pageMargins left="0.7" right="0.7" top="0.75" bottom="0.75" header="0.3" footer="0.3"/>
  <pageSetup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9"/>
  <sheetViews>
    <sheetView topLeftCell="C1" workbookViewId="0">
      <selection activeCell="R6" sqref="R6"/>
    </sheetView>
  </sheetViews>
  <sheetFormatPr defaultColWidth="10.5703125" defaultRowHeight="15"/>
  <cols>
    <col min="1" max="1" width="21.42578125" style="29" customWidth="1"/>
    <col min="2" max="13" width="10.5703125" style="29"/>
    <col min="14" max="15" width="10.85546875" style="29" customWidth="1"/>
    <col min="16" max="17" width="10.5703125" style="29"/>
    <col min="18" max="18" width="10.140625" style="29" customWidth="1"/>
    <col min="19" max="16384" width="10.5703125" style="29"/>
  </cols>
  <sheetData>
    <row r="1" spans="1:21" s="28" customFormat="1">
      <c r="A1" s="24" t="s">
        <v>126</v>
      </c>
      <c r="B1" s="51" t="s">
        <v>0</v>
      </c>
      <c r="C1" s="51" t="s">
        <v>2</v>
      </c>
      <c r="D1" s="51" t="s">
        <v>3</v>
      </c>
      <c r="E1" s="51" t="s">
        <v>4</v>
      </c>
      <c r="F1" s="51" t="s">
        <v>5</v>
      </c>
      <c r="G1" s="51" t="s">
        <v>6</v>
      </c>
      <c r="H1" s="51" t="s">
        <v>7</v>
      </c>
      <c r="I1" s="51" t="s">
        <v>8</v>
      </c>
      <c r="J1" s="51" t="s">
        <v>9</v>
      </c>
      <c r="K1" s="51" t="s">
        <v>10</v>
      </c>
      <c r="L1" s="51" t="s">
        <v>11</v>
      </c>
      <c r="M1" s="51" t="s">
        <v>12</v>
      </c>
      <c r="N1" s="51" t="s">
        <v>13</v>
      </c>
      <c r="O1" s="51" t="s">
        <v>14</v>
      </c>
      <c r="P1" s="51" t="s">
        <v>15</v>
      </c>
      <c r="Q1" s="51" t="s">
        <v>6</v>
      </c>
      <c r="R1" s="51" t="s">
        <v>16</v>
      </c>
      <c r="S1" s="51" t="s">
        <v>17</v>
      </c>
      <c r="T1" s="51" t="s">
        <v>18</v>
      </c>
      <c r="U1" s="51"/>
    </row>
    <row r="2" spans="1:21" s="28" customFormat="1">
      <c r="A2" s="51" t="s">
        <v>19</v>
      </c>
      <c r="B2" s="51" t="s">
        <v>1</v>
      </c>
      <c r="C2" s="51"/>
      <c r="D2" s="51"/>
      <c r="E2" s="51">
        <v>4</v>
      </c>
      <c r="F2" s="51"/>
      <c r="G2" s="51">
        <v>6</v>
      </c>
      <c r="H2" s="51"/>
      <c r="I2" s="51">
        <v>8</v>
      </c>
      <c r="J2" s="51"/>
      <c r="K2" s="28">
        <v>10</v>
      </c>
      <c r="L2" s="51"/>
      <c r="M2" s="51">
        <v>12</v>
      </c>
      <c r="N2" s="51"/>
      <c r="O2" s="51">
        <v>14</v>
      </c>
      <c r="P2" s="51"/>
      <c r="Q2" s="51">
        <v>16</v>
      </c>
      <c r="R2" s="51" t="s">
        <v>15</v>
      </c>
      <c r="S2" s="51"/>
      <c r="T2" s="51"/>
      <c r="U2" s="51"/>
    </row>
    <row r="3" spans="1:21">
      <c r="A3" s="29" t="s">
        <v>40</v>
      </c>
      <c r="B3" s="29">
        <v>18.34</v>
      </c>
      <c r="C3" s="29">
        <v>43.92</v>
      </c>
      <c r="D3" s="29">
        <v>29.17</v>
      </c>
      <c r="E3" s="32">
        <f t="shared" ref="E3:E20" si="0">C3/D3</f>
        <v>1.5056564964004113</v>
      </c>
      <c r="F3" s="29">
        <v>0.28799999999999998</v>
      </c>
      <c r="G3" s="29">
        <v>277.2</v>
      </c>
      <c r="H3" s="29">
        <v>6.16</v>
      </c>
      <c r="I3" s="29">
        <v>10.17</v>
      </c>
      <c r="J3" s="29">
        <v>1.9039999999999999</v>
      </c>
      <c r="K3" s="29">
        <v>33.200000000000003</v>
      </c>
      <c r="L3" s="29">
        <v>1.6779999999999999</v>
      </c>
      <c r="M3" s="29">
        <v>0.159</v>
      </c>
      <c r="N3" s="32">
        <f t="shared" ref="N3:N19" si="1">L3/M3</f>
        <v>10.553459119496855</v>
      </c>
      <c r="O3" s="32">
        <f t="shared" ref="O3:O19" si="2">H3/M3</f>
        <v>38.742138364779876</v>
      </c>
      <c r="P3" s="29">
        <v>22.59</v>
      </c>
      <c r="Q3" s="29">
        <v>23.65</v>
      </c>
      <c r="R3" s="32">
        <f t="shared" ref="R3:R20" si="3">P3/Q3</f>
        <v>0.95517970401691332</v>
      </c>
      <c r="S3" s="29">
        <v>35.82</v>
      </c>
      <c r="T3" s="29">
        <v>24.51</v>
      </c>
    </row>
    <row r="4" spans="1:21">
      <c r="A4" s="29" t="s">
        <v>41</v>
      </c>
      <c r="B4" s="29">
        <v>26.41</v>
      </c>
      <c r="C4" s="29">
        <v>59.12</v>
      </c>
      <c r="D4" s="29">
        <v>23.66</v>
      </c>
      <c r="E4" s="32">
        <f t="shared" si="0"/>
        <v>2.4987320371935757</v>
      </c>
      <c r="F4" s="29">
        <v>0.217</v>
      </c>
      <c r="G4" s="29">
        <v>261.7</v>
      </c>
      <c r="H4" s="29">
        <v>6.74</v>
      </c>
      <c r="I4" s="29">
        <v>7.24</v>
      </c>
      <c r="J4" s="29">
        <v>1.861</v>
      </c>
      <c r="K4" s="29">
        <v>38.1</v>
      </c>
      <c r="L4" s="29">
        <v>1.8089999999999999</v>
      </c>
      <c r="M4" s="29">
        <v>0.254</v>
      </c>
      <c r="N4" s="32">
        <f t="shared" si="1"/>
        <v>7.122047244094488</v>
      </c>
      <c r="O4" s="32">
        <f t="shared" si="2"/>
        <v>26.535433070866141</v>
      </c>
      <c r="P4" s="29">
        <v>25.12</v>
      </c>
      <c r="Q4" s="29">
        <v>26.42</v>
      </c>
      <c r="R4" s="32">
        <f t="shared" si="3"/>
        <v>0.95079485238455708</v>
      </c>
      <c r="S4" s="29">
        <v>32.729999999999997</v>
      </c>
      <c r="T4" s="29">
        <v>28.16</v>
      </c>
    </row>
    <row r="5" spans="1:21">
      <c r="A5" s="29" t="s">
        <v>42</v>
      </c>
      <c r="B5" s="29">
        <v>17.91</v>
      </c>
      <c r="C5" s="29">
        <v>46.35</v>
      </c>
      <c r="D5" s="29">
        <v>21.07</v>
      </c>
      <c r="E5" s="32">
        <f t="shared" si="0"/>
        <v>2.1998101566207877</v>
      </c>
      <c r="F5" s="29">
        <v>0.20499999999999999</v>
      </c>
      <c r="G5" s="29">
        <v>255.2</v>
      </c>
      <c r="H5" s="29">
        <v>5.12</v>
      </c>
      <c r="I5" s="29">
        <v>8.93</v>
      </c>
      <c r="J5" s="29">
        <v>2.1920000000000002</v>
      </c>
      <c r="K5" s="29">
        <v>33.200000000000003</v>
      </c>
      <c r="L5" s="29">
        <v>1.5880000000000001</v>
      </c>
      <c r="M5" s="29">
        <v>0.19600000000000001</v>
      </c>
      <c r="N5" s="32">
        <f t="shared" si="1"/>
        <v>8.1020408163265305</v>
      </c>
      <c r="O5" s="32">
        <f t="shared" si="2"/>
        <v>26.122448979591837</v>
      </c>
      <c r="P5" s="29">
        <v>22.75</v>
      </c>
      <c r="Q5" s="29">
        <v>24.09</v>
      </c>
      <c r="R5" s="32">
        <f t="shared" si="3"/>
        <v>0.94437525944375256</v>
      </c>
      <c r="S5" s="29">
        <v>42.56</v>
      </c>
      <c r="T5" s="29">
        <v>25.32</v>
      </c>
    </row>
    <row r="6" spans="1:21">
      <c r="A6" s="29" t="s">
        <v>43</v>
      </c>
      <c r="B6" s="29">
        <v>21.08</v>
      </c>
      <c r="C6" s="29">
        <v>53.83</v>
      </c>
      <c r="D6" s="29">
        <v>26.41</v>
      </c>
      <c r="E6" s="32">
        <f t="shared" si="0"/>
        <v>2.0382430897387351</v>
      </c>
      <c r="F6" s="29">
        <v>0.251</v>
      </c>
      <c r="G6" s="29">
        <v>248.3</v>
      </c>
      <c r="H6" s="29">
        <v>5.22</v>
      </c>
      <c r="I6" s="29">
        <v>8.6199999999999992</v>
      </c>
      <c r="J6" s="29">
        <v>1.579</v>
      </c>
      <c r="K6" s="29">
        <v>42.7</v>
      </c>
      <c r="L6" s="29">
        <v>1.9330000000000001</v>
      </c>
      <c r="M6" s="29">
        <v>0.186</v>
      </c>
      <c r="N6" s="32">
        <f t="shared" si="1"/>
        <v>10.39247311827957</v>
      </c>
      <c r="O6" s="32">
        <f t="shared" si="2"/>
        <v>28.064516129032256</v>
      </c>
      <c r="P6" s="29">
        <v>23.85</v>
      </c>
      <c r="Q6" s="29">
        <v>24.11</v>
      </c>
      <c r="R6" s="32">
        <f t="shared" si="3"/>
        <v>0.98921609290750734</v>
      </c>
      <c r="S6" s="29">
        <v>26.13</v>
      </c>
      <c r="T6" s="29">
        <v>21.07</v>
      </c>
    </row>
    <row r="7" spans="1:21">
      <c r="A7" s="29" t="s">
        <v>44</v>
      </c>
      <c r="B7" s="29">
        <v>20.39</v>
      </c>
      <c r="C7" s="29">
        <v>52.88</v>
      </c>
      <c r="D7" s="29">
        <v>30.45</v>
      </c>
      <c r="E7" s="32">
        <f t="shared" si="0"/>
        <v>1.7366174055829229</v>
      </c>
      <c r="F7" s="29">
        <v>0.32900000000000001</v>
      </c>
      <c r="G7" s="29">
        <v>271.8</v>
      </c>
      <c r="H7" s="29">
        <v>7.66</v>
      </c>
      <c r="I7" s="29">
        <v>10.42</v>
      </c>
      <c r="J7" s="29">
        <v>2.0449999999999999</v>
      </c>
      <c r="K7" s="29">
        <v>42.5</v>
      </c>
      <c r="L7" s="29">
        <v>1.5249999999999999</v>
      </c>
      <c r="M7" s="29">
        <v>0.23899999999999999</v>
      </c>
      <c r="N7" s="32">
        <f t="shared" si="1"/>
        <v>6.3807531380753133</v>
      </c>
      <c r="O7" s="32">
        <f t="shared" si="2"/>
        <v>32.05020920502092</v>
      </c>
      <c r="P7" s="29">
        <v>24.38</v>
      </c>
      <c r="Q7" s="29">
        <v>25.73</v>
      </c>
      <c r="R7" s="32">
        <f t="shared" si="3"/>
        <v>0.94753206373882626</v>
      </c>
      <c r="S7" s="29">
        <v>29.66</v>
      </c>
      <c r="T7" s="29">
        <v>18.350000000000001</v>
      </c>
    </row>
    <row r="8" spans="1:21">
      <c r="A8" s="29" t="s">
        <v>45</v>
      </c>
      <c r="B8" s="29">
        <v>16.350000000000001</v>
      </c>
      <c r="C8" s="29">
        <v>44.26</v>
      </c>
      <c r="D8" s="29">
        <v>23.81</v>
      </c>
      <c r="E8" s="32">
        <f t="shared" si="0"/>
        <v>1.8588828223435532</v>
      </c>
      <c r="F8" s="29">
        <v>0.25800000000000001</v>
      </c>
      <c r="G8" s="29">
        <v>260.39999999999998</v>
      </c>
      <c r="H8" s="29">
        <v>5.62</v>
      </c>
      <c r="I8" s="29">
        <v>9.7799999999999994</v>
      </c>
      <c r="J8" s="29">
        <v>1.8660000000000001</v>
      </c>
      <c r="K8" s="29">
        <v>39.4</v>
      </c>
      <c r="L8" s="29">
        <v>1.6220000000000001</v>
      </c>
      <c r="M8" s="29">
        <v>0.23300000000000001</v>
      </c>
      <c r="N8" s="32">
        <f t="shared" si="1"/>
        <v>6.9613733905579398</v>
      </c>
      <c r="O8" s="32">
        <f t="shared" si="2"/>
        <v>24.12017167381974</v>
      </c>
      <c r="P8" s="29">
        <v>32.369999999999997</v>
      </c>
      <c r="Q8" s="29">
        <v>25.07</v>
      </c>
      <c r="R8" s="32">
        <f t="shared" si="3"/>
        <v>1.2911846828879137</v>
      </c>
      <c r="S8" s="29">
        <v>38.85</v>
      </c>
      <c r="T8" s="29">
        <v>25.11</v>
      </c>
    </row>
    <row r="9" spans="1:21">
      <c r="A9" s="30" t="s">
        <v>121</v>
      </c>
      <c r="B9" s="29">
        <v>22.76</v>
      </c>
      <c r="C9" s="29">
        <v>47.08</v>
      </c>
      <c r="D9" s="29">
        <v>22.71</v>
      </c>
      <c r="E9" s="32">
        <f t="shared" si="0"/>
        <v>2.073095552619991</v>
      </c>
      <c r="F9" s="29">
        <v>0.20399999999999999</v>
      </c>
      <c r="G9" s="29">
        <v>221.6</v>
      </c>
      <c r="H9" s="29">
        <v>6.49</v>
      </c>
      <c r="I9" s="29">
        <v>9.0500000000000007</v>
      </c>
      <c r="J9" s="29">
        <v>1.952</v>
      </c>
      <c r="K9" s="29">
        <v>41.9</v>
      </c>
      <c r="L9" s="29">
        <v>1.9159999999999999</v>
      </c>
      <c r="M9" s="29">
        <v>0.247</v>
      </c>
      <c r="N9" s="32">
        <f t="shared" si="1"/>
        <v>7.7570850202429149</v>
      </c>
      <c r="O9" s="32">
        <f t="shared" si="2"/>
        <v>26.275303643724698</v>
      </c>
      <c r="P9" s="29">
        <v>27.13</v>
      </c>
      <c r="Q9" s="29">
        <v>25.44</v>
      </c>
      <c r="R9" s="32">
        <f t="shared" si="3"/>
        <v>1.0664308176100628</v>
      </c>
      <c r="S9" s="29">
        <v>31.16</v>
      </c>
      <c r="T9" s="29">
        <v>24.84</v>
      </c>
    </row>
    <row r="10" spans="1:21">
      <c r="A10" s="29" t="s">
        <v>48</v>
      </c>
      <c r="B10" s="29">
        <v>19.52</v>
      </c>
      <c r="C10" s="29">
        <v>55.89</v>
      </c>
      <c r="D10" s="29">
        <v>25.66</v>
      </c>
      <c r="E10" s="32">
        <f t="shared" si="0"/>
        <v>2.1780982073265784</v>
      </c>
      <c r="F10" s="29">
        <v>0.16900000000000001</v>
      </c>
      <c r="G10" s="29">
        <v>232.6</v>
      </c>
      <c r="H10" s="29">
        <v>5.77</v>
      </c>
      <c r="I10" s="29">
        <v>7.66</v>
      </c>
      <c r="J10" s="29">
        <v>1.917</v>
      </c>
      <c r="K10" s="29">
        <v>40.799999999999997</v>
      </c>
      <c r="L10" s="29">
        <v>1.7669999999999999</v>
      </c>
      <c r="M10" s="29">
        <v>0.17699999999999999</v>
      </c>
      <c r="N10" s="32">
        <f t="shared" si="1"/>
        <v>9.9830508474576263</v>
      </c>
      <c r="O10" s="32">
        <f t="shared" si="2"/>
        <v>32.598870056497177</v>
      </c>
      <c r="P10" s="29">
        <v>21.44</v>
      </c>
      <c r="Q10" s="29">
        <v>25.13</v>
      </c>
      <c r="R10" s="32">
        <f t="shared" si="3"/>
        <v>0.85316354954237972</v>
      </c>
      <c r="S10" s="29">
        <v>27.43</v>
      </c>
      <c r="T10" s="29">
        <v>29.65</v>
      </c>
    </row>
    <row r="11" spans="1:21">
      <c r="A11" s="29" t="s">
        <v>49</v>
      </c>
      <c r="B11" s="29">
        <v>18.32</v>
      </c>
      <c r="C11" s="29">
        <v>49.11</v>
      </c>
      <c r="D11" s="29">
        <v>23.74</v>
      </c>
      <c r="E11" s="32">
        <f t="shared" si="0"/>
        <v>2.0686604886267905</v>
      </c>
      <c r="F11" s="29">
        <v>0.20899999999999999</v>
      </c>
      <c r="G11" s="29">
        <v>247.5</v>
      </c>
      <c r="H11" s="29">
        <v>7.85</v>
      </c>
      <c r="I11" s="29">
        <v>7.36</v>
      </c>
      <c r="J11" s="29">
        <v>1.7709999999999999</v>
      </c>
      <c r="K11" s="29">
        <v>38.700000000000003</v>
      </c>
      <c r="L11" s="29">
        <v>1.9430000000000001</v>
      </c>
      <c r="M11" s="29">
        <v>0.20699999999999999</v>
      </c>
      <c r="N11" s="32">
        <f t="shared" si="1"/>
        <v>9.3864734299516908</v>
      </c>
      <c r="O11" s="32">
        <f t="shared" si="2"/>
        <v>37.922705314009661</v>
      </c>
      <c r="P11" s="29">
        <v>19.02</v>
      </c>
      <c r="Q11" s="29">
        <v>20.58</v>
      </c>
      <c r="R11" s="32">
        <f t="shared" si="3"/>
        <v>0.92419825072886308</v>
      </c>
      <c r="S11" s="29">
        <v>23.58</v>
      </c>
      <c r="T11" s="29">
        <v>22.93</v>
      </c>
    </row>
    <row r="12" spans="1:21">
      <c r="A12" s="29" t="s">
        <v>50</v>
      </c>
      <c r="B12" s="29">
        <v>25.45</v>
      </c>
      <c r="C12" s="29">
        <v>53.82</v>
      </c>
      <c r="D12" s="29">
        <v>24.27</v>
      </c>
      <c r="E12" s="32">
        <f t="shared" si="0"/>
        <v>2.2175525339925835</v>
      </c>
      <c r="F12" s="29">
        <v>0.20200000000000001</v>
      </c>
      <c r="G12" s="29">
        <v>274.8</v>
      </c>
      <c r="H12" s="29">
        <v>7.13</v>
      </c>
      <c r="I12" s="29">
        <v>9.0299999999999994</v>
      </c>
      <c r="J12" s="29">
        <v>1.633</v>
      </c>
      <c r="K12" s="29">
        <v>46.8</v>
      </c>
      <c r="L12" s="29">
        <v>2.1179999999999999</v>
      </c>
      <c r="M12" s="29">
        <v>0.19400000000000001</v>
      </c>
      <c r="N12" s="32">
        <f t="shared" si="1"/>
        <v>10.917525773195875</v>
      </c>
      <c r="O12" s="32">
        <f t="shared" si="2"/>
        <v>36.75257731958763</v>
      </c>
      <c r="P12" s="29">
        <v>23.18</v>
      </c>
      <c r="Q12" s="29">
        <v>25.61</v>
      </c>
      <c r="R12" s="32">
        <f t="shared" si="3"/>
        <v>0.90511518937914881</v>
      </c>
      <c r="S12" s="29">
        <v>34.82</v>
      </c>
      <c r="T12" s="29">
        <v>29.15</v>
      </c>
    </row>
    <row r="13" spans="1:21">
      <c r="A13" s="29" t="s">
        <v>51</v>
      </c>
      <c r="B13" s="29">
        <v>17.579999999999998</v>
      </c>
      <c r="C13" s="29">
        <v>46.32</v>
      </c>
      <c r="D13" s="29">
        <v>28.91</v>
      </c>
      <c r="E13" s="32">
        <f t="shared" si="0"/>
        <v>1.6022137668626772</v>
      </c>
      <c r="F13" s="29">
        <v>0.26200000000000001</v>
      </c>
      <c r="G13" s="29">
        <v>254.7</v>
      </c>
      <c r="H13" s="29">
        <v>6.26</v>
      </c>
      <c r="I13" s="29">
        <v>8.1199999999999992</v>
      </c>
      <c r="J13" s="29">
        <v>1.8440000000000001</v>
      </c>
      <c r="K13" s="29">
        <v>35.6</v>
      </c>
      <c r="L13" s="29">
        <v>1.649</v>
      </c>
      <c r="M13" s="29">
        <v>0.16900000000000001</v>
      </c>
      <c r="N13" s="32">
        <f t="shared" si="1"/>
        <v>9.7573964497041423</v>
      </c>
      <c r="O13" s="32">
        <f t="shared" si="2"/>
        <v>37.04142011834319</v>
      </c>
      <c r="P13" s="29">
        <v>25.18</v>
      </c>
      <c r="Q13" s="29">
        <v>26.32</v>
      </c>
      <c r="R13" s="32">
        <f t="shared" si="3"/>
        <v>0.95668693009118544</v>
      </c>
      <c r="S13" s="29">
        <v>26.45</v>
      </c>
      <c r="T13" s="29">
        <v>22.09</v>
      </c>
    </row>
    <row r="14" spans="1:21">
      <c r="A14" s="29" t="s">
        <v>52</v>
      </c>
      <c r="B14" s="29">
        <v>15.67</v>
      </c>
      <c r="C14" s="29">
        <v>42.72</v>
      </c>
      <c r="D14" s="29">
        <v>27.68</v>
      </c>
      <c r="E14" s="32">
        <f t="shared" si="0"/>
        <v>1.5433526011560694</v>
      </c>
      <c r="F14" s="29">
        <v>0.214</v>
      </c>
      <c r="G14" s="29">
        <v>206.4</v>
      </c>
      <c r="H14" s="29">
        <v>6.59</v>
      </c>
      <c r="I14" s="29">
        <v>9.27</v>
      </c>
      <c r="J14" s="29">
        <v>1.8660000000000001</v>
      </c>
      <c r="K14" s="29">
        <v>35.4</v>
      </c>
      <c r="L14" s="29">
        <v>1.462</v>
      </c>
      <c r="M14" s="29">
        <v>0.184</v>
      </c>
      <c r="N14" s="32">
        <f t="shared" si="1"/>
        <v>7.945652173913043</v>
      </c>
      <c r="O14" s="32">
        <f t="shared" si="2"/>
        <v>35.815217391304344</v>
      </c>
      <c r="P14" s="29">
        <v>27.64</v>
      </c>
      <c r="Q14" s="29">
        <v>23.85</v>
      </c>
      <c r="R14" s="32">
        <f t="shared" si="3"/>
        <v>1.1589098532494759</v>
      </c>
      <c r="S14" s="29">
        <v>38.67</v>
      </c>
      <c r="T14" s="29">
        <v>31.44</v>
      </c>
    </row>
    <row r="15" spans="1:21">
      <c r="A15" s="29" t="s">
        <v>53</v>
      </c>
      <c r="B15" s="29">
        <v>20.170000000000002</v>
      </c>
      <c r="C15" s="29">
        <v>46.73</v>
      </c>
      <c r="D15" s="29">
        <v>24.54</v>
      </c>
      <c r="E15" s="32">
        <f t="shared" si="0"/>
        <v>1.9042379788101058</v>
      </c>
      <c r="F15" s="29">
        <v>0.19600000000000001</v>
      </c>
      <c r="G15" s="29">
        <v>270.8</v>
      </c>
      <c r="H15" s="29">
        <v>5.39</v>
      </c>
      <c r="I15" s="29">
        <v>7.85</v>
      </c>
      <c r="J15" s="29">
        <v>1.7849999999999999</v>
      </c>
      <c r="K15" s="29">
        <v>32.6</v>
      </c>
      <c r="L15" s="29">
        <v>1.383</v>
      </c>
      <c r="M15" s="29">
        <v>0.17499999999999999</v>
      </c>
      <c r="N15" s="32">
        <f t="shared" si="1"/>
        <v>7.902857142857143</v>
      </c>
      <c r="O15" s="32">
        <f t="shared" si="2"/>
        <v>30.8</v>
      </c>
      <c r="P15" s="29">
        <v>21.84</v>
      </c>
      <c r="Q15" s="29">
        <v>22.92</v>
      </c>
      <c r="R15" s="32">
        <f t="shared" si="3"/>
        <v>0.95287958115183236</v>
      </c>
      <c r="S15" s="29">
        <v>26.36</v>
      </c>
      <c r="T15" s="29">
        <v>20.58</v>
      </c>
    </row>
    <row r="16" spans="1:21">
      <c r="A16" s="29" t="s">
        <v>54</v>
      </c>
      <c r="B16" s="29">
        <v>19.03</v>
      </c>
      <c r="C16" s="29">
        <v>41.57</v>
      </c>
      <c r="D16" s="29">
        <v>24.13</v>
      </c>
      <c r="E16" s="32">
        <f t="shared" si="0"/>
        <v>1.7227517612929963</v>
      </c>
      <c r="F16" s="29">
        <v>0.23400000000000001</v>
      </c>
      <c r="G16" s="29">
        <v>225.7</v>
      </c>
      <c r="H16" s="29">
        <v>6.15</v>
      </c>
      <c r="I16" s="29">
        <v>8.49</v>
      </c>
      <c r="J16" s="29">
        <v>1.619</v>
      </c>
      <c r="K16" s="29">
        <v>36.700000000000003</v>
      </c>
      <c r="L16" s="29">
        <v>1.5129999999999999</v>
      </c>
      <c r="M16" s="29">
        <v>0.185</v>
      </c>
      <c r="N16" s="32">
        <f t="shared" si="1"/>
        <v>8.1783783783783779</v>
      </c>
      <c r="O16" s="32">
        <f t="shared" si="2"/>
        <v>33.243243243243242</v>
      </c>
      <c r="P16" s="29">
        <v>24.55</v>
      </c>
      <c r="Q16" s="29">
        <v>23.59</v>
      </c>
      <c r="R16" s="32">
        <f t="shared" si="3"/>
        <v>1.0406952098346758</v>
      </c>
      <c r="S16" s="29">
        <v>23.05</v>
      </c>
      <c r="T16" s="29">
        <v>27.61</v>
      </c>
    </row>
    <row r="17" spans="1:20">
      <c r="A17" s="30" t="s">
        <v>55</v>
      </c>
      <c r="B17" s="29">
        <v>19.53</v>
      </c>
      <c r="C17" s="29">
        <v>45.39</v>
      </c>
      <c r="D17" s="29">
        <v>24.62</v>
      </c>
      <c r="E17" s="32">
        <f t="shared" si="0"/>
        <v>1.8436230706742485</v>
      </c>
      <c r="F17" s="29">
        <v>0.22500000000000001</v>
      </c>
      <c r="G17" s="29">
        <v>283.2</v>
      </c>
      <c r="H17" s="29">
        <v>6.44</v>
      </c>
      <c r="I17" s="29">
        <v>9.8699999999999992</v>
      </c>
      <c r="J17" s="29">
        <v>1.911</v>
      </c>
      <c r="K17" s="29">
        <v>48.5</v>
      </c>
      <c r="L17" s="29">
        <v>1.9950000000000001</v>
      </c>
      <c r="M17" s="29">
        <v>0.252</v>
      </c>
      <c r="N17" s="32">
        <f t="shared" si="1"/>
        <v>7.916666666666667</v>
      </c>
      <c r="O17" s="32">
        <f t="shared" si="2"/>
        <v>25.555555555555557</v>
      </c>
      <c r="P17" s="29">
        <v>24.08</v>
      </c>
      <c r="Q17" s="29">
        <v>23.65</v>
      </c>
      <c r="R17" s="32">
        <f t="shared" si="3"/>
        <v>1.0181818181818181</v>
      </c>
      <c r="S17" s="29">
        <v>35.18</v>
      </c>
      <c r="T17" s="29">
        <v>22.14</v>
      </c>
    </row>
    <row r="18" spans="1:20">
      <c r="A18" s="29" t="s">
        <v>56</v>
      </c>
      <c r="B18" s="29">
        <v>21.62</v>
      </c>
      <c r="C18" s="29">
        <v>55.61</v>
      </c>
      <c r="D18" s="29">
        <v>27.16</v>
      </c>
      <c r="E18" s="32">
        <f t="shared" si="0"/>
        <v>2.0474963181148746</v>
      </c>
      <c r="F18" s="29">
        <v>0.219</v>
      </c>
      <c r="G18" s="29">
        <v>218.5</v>
      </c>
      <c r="H18" s="29">
        <v>5.08</v>
      </c>
      <c r="I18" s="29">
        <v>6.94</v>
      </c>
      <c r="J18" s="29">
        <v>1.962</v>
      </c>
      <c r="K18" s="29">
        <v>31.7</v>
      </c>
      <c r="L18" s="29">
        <v>1.649</v>
      </c>
      <c r="M18" s="29">
        <v>0.246</v>
      </c>
      <c r="N18" s="32">
        <f t="shared" si="1"/>
        <v>6.7032520325203251</v>
      </c>
      <c r="O18" s="32">
        <f t="shared" si="2"/>
        <v>20.650406504065042</v>
      </c>
      <c r="P18" s="29">
        <v>25.77</v>
      </c>
      <c r="Q18" s="29">
        <v>21.02</v>
      </c>
      <c r="R18" s="32">
        <f t="shared" si="3"/>
        <v>1.2259752616555661</v>
      </c>
      <c r="S18" s="29">
        <v>41.85</v>
      </c>
      <c r="T18" s="29">
        <v>30.76</v>
      </c>
    </row>
    <row r="19" spans="1:20">
      <c r="A19" s="29" t="s">
        <v>114</v>
      </c>
      <c r="B19" s="29">
        <v>18.11</v>
      </c>
      <c r="C19" s="29">
        <v>44.65</v>
      </c>
      <c r="D19" s="29">
        <v>19.510000000000002</v>
      </c>
      <c r="E19" s="32">
        <f t="shared" si="0"/>
        <v>2.2885699641209634</v>
      </c>
      <c r="F19" s="29">
        <v>0.186</v>
      </c>
      <c r="G19" s="29">
        <v>247.1</v>
      </c>
      <c r="H19" s="29">
        <v>6.92</v>
      </c>
      <c r="I19" s="29">
        <v>7.54</v>
      </c>
      <c r="J19" s="29">
        <v>1.7949999999999999</v>
      </c>
      <c r="K19" s="29">
        <v>35.200000000000003</v>
      </c>
      <c r="L19" s="29">
        <v>1.655</v>
      </c>
      <c r="M19" s="29">
        <v>0.22500000000000001</v>
      </c>
      <c r="N19" s="32">
        <f t="shared" si="1"/>
        <v>7.3555555555555552</v>
      </c>
      <c r="O19" s="32">
        <f t="shared" si="2"/>
        <v>30.755555555555553</v>
      </c>
      <c r="P19" s="29">
        <v>26.75</v>
      </c>
      <c r="Q19" s="29">
        <v>24.38</v>
      </c>
      <c r="R19" s="32">
        <f t="shared" si="3"/>
        <v>1.0972108285479902</v>
      </c>
      <c r="S19" s="29">
        <v>43.12</v>
      </c>
      <c r="T19" s="29">
        <v>31.59</v>
      </c>
    </row>
    <row r="20" spans="1:20">
      <c r="A20" s="29" t="s">
        <v>58</v>
      </c>
      <c r="B20" s="29">
        <v>17.059999999999999</v>
      </c>
      <c r="C20" s="29">
        <v>42.08</v>
      </c>
      <c r="D20" s="29">
        <v>23.72</v>
      </c>
      <c r="E20" s="32">
        <f t="shared" si="0"/>
        <v>1.7740303541315345</v>
      </c>
      <c r="F20" s="29">
        <v>0.215</v>
      </c>
      <c r="G20" s="29">
        <v>253.6</v>
      </c>
      <c r="H20" s="29">
        <v>4.68</v>
      </c>
      <c r="I20" s="29">
        <v>8.1300000000000008</v>
      </c>
      <c r="J20" s="29">
        <v>1.827</v>
      </c>
      <c r="K20" s="29">
        <v>31.5</v>
      </c>
      <c r="L20" s="29">
        <v>1.4370000000000001</v>
      </c>
      <c r="M20" s="29">
        <v>0.18099999999999999</v>
      </c>
      <c r="N20" s="32">
        <f>L20/M20</f>
        <v>7.9392265193370175</v>
      </c>
      <c r="O20" s="32">
        <f>H20/M20</f>
        <v>25.856353591160222</v>
      </c>
      <c r="P20" s="29">
        <v>28.06</v>
      </c>
      <c r="Q20" s="29">
        <v>25.97</v>
      </c>
      <c r="R20" s="32">
        <f t="shared" si="3"/>
        <v>1.0804774740084713</v>
      </c>
      <c r="S20" s="29">
        <v>32.06</v>
      </c>
      <c r="T20" s="29">
        <v>27.85</v>
      </c>
    </row>
    <row r="22" spans="1:20">
      <c r="A22" s="29" t="s">
        <v>59</v>
      </c>
      <c r="B22" s="29">
        <v>19.22</v>
      </c>
      <c r="C22" s="29">
        <v>47.09</v>
      </c>
      <c r="D22" s="29">
        <v>22.71</v>
      </c>
      <c r="E22" s="32">
        <f t="shared" ref="E22:E63" si="4">C22/D22</f>
        <v>2.0735358872743284</v>
      </c>
      <c r="F22" s="29">
        <v>0.224</v>
      </c>
      <c r="G22" s="29">
        <v>265.2</v>
      </c>
      <c r="H22" s="29">
        <v>4.78</v>
      </c>
      <c r="I22" s="29">
        <v>9.1199999999999992</v>
      </c>
      <c r="J22" s="29">
        <v>1.639</v>
      </c>
      <c r="K22" s="29">
        <v>35.700000000000003</v>
      </c>
      <c r="L22" s="29">
        <v>1.4890000000000001</v>
      </c>
      <c r="M22" s="29">
        <v>0.19700000000000001</v>
      </c>
      <c r="N22" s="32">
        <f t="shared" ref="N22:N63" si="5">L22/M22</f>
        <v>7.5583756345177671</v>
      </c>
      <c r="O22" s="32">
        <f t="shared" ref="O22:O63" si="6">H22/M22</f>
        <v>24.263959390862944</v>
      </c>
      <c r="P22" s="29">
        <v>23.65</v>
      </c>
      <c r="Q22" s="29">
        <v>22.68</v>
      </c>
      <c r="R22" s="32">
        <f t="shared" ref="R22:R63" si="7">P22/Q22</f>
        <v>1.042768959435626</v>
      </c>
      <c r="S22" s="29">
        <v>42.77</v>
      </c>
      <c r="T22" s="29">
        <v>33.56</v>
      </c>
    </row>
    <row r="23" spans="1:20">
      <c r="A23" s="29" t="s">
        <v>60</v>
      </c>
      <c r="B23" s="29">
        <v>23.39</v>
      </c>
      <c r="C23" s="29">
        <v>51.66</v>
      </c>
      <c r="D23" s="29">
        <v>24.71</v>
      </c>
      <c r="E23" s="32">
        <f t="shared" si="4"/>
        <v>2.0906515580736542</v>
      </c>
      <c r="F23" s="29">
        <v>0.187</v>
      </c>
      <c r="G23" s="29">
        <v>259.2</v>
      </c>
      <c r="H23" s="29">
        <v>6.59</v>
      </c>
      <c r="I23" s="29">
        <v>7.05</v>
      </c>
      <c r="J23" s="29">
        <v>1.9119999999999999</v>
      </c>
      <c r="K23" s="29">
        <v>42.6</v>
      </c>
      <c r="L23" s="29">
        <v>1.7549999999999999</v>
      </c>
      <c r="M23" s="29">
        <v>0.20399999999999999</v>
      </c>
      <c r="N23" s="32">
        <f t="shared" si="5"/>
        <v>8.6029411764705888</v>
      </c>
      <c r="O23" s="32">
        <f t="shared" si="6"/>
        <v>32.303921568627452</v>
      </c>
      <c r="P23" s="29">
        <v>25.88</v>
      </c>
      <c r="Q23" s="29">
        <v>26.31</v>
      </c>
      <c r="R23" s="32">
        <f t="shared" si="7"/>
        <v>0.98365640440896995</v>
      </c>
      <c r="S23" s="29">
        <v>33.75</v>
      </c>
      <c r="T23" s="29">
        <v>35.130000000000003</v>
      </c>
    </row>
    <row r="24" spans="1:20">
      <c r="A24" s="29" t="s">
        <v>61</v>
      </c>
      <c r="B24" s="29">
        <v>21.06</v>
      </c>
      <c r="C24" s="29">
        <v>42.66</v>
      </c>
      <c r="D24" s="29">
        <v>21.74</v>
      </c>
      <c r="E24" s="32">
        <f t="shared" si="4"/>
        <v>1.9622815087396503</v>
      </c>
      <c r="F24" s="29">
        <v>0.182</v>
      </c>
      <c r="G24" s="29">
        <v>238.4</v>
      </c>
      <c r="H24" s="29">
        <v>7.16</v>
      </c>
      <c r="I24" s="29">
        <v>8.0399999999999991</v>
      </c>
      <c r="J24" s="29">
        <v>2.2559999999999998</v>
      </c>
      <c r="K24" s="29">
        <v>31.9</v>
      </c>
      <c r="L24" s="29">
        <v>1.9259999999999999</v>
      </c>
      <c r="M24" s="29">
        <v>0.22600000000000001</v>
      </c>
      <c r="N24" s="32">
        <f t="shared" si="5"/>
        <v>8.5221238938053094</v>
      </c>
      <c r="O24" s="32">
        <f t="shared" si="6"/>
        <v>31.681415929203538</v>
      </c>
      <c r="P24" s="29">
        <v>20.73</v>
      </c>
      <c r="Q24" s="29">
        <v>21.82</v>
      </c>
      <c r="R24" s="32">
        <f t="shared" si="7"/>
        <v>0.95004582951420713</v>
      </c>
      <c r="S24" s="29">
        <v>24.46</v>
      </c>
      <c r="T24" s="29">
        <v>25.02</v>
      </c>
    </row>
    <row r="25" spans="1:20">
      <c r="A25" s="29" t="s">
        <v>63</v>
      </c>
      <c r="B25" s="29">
        <v>18.12</v>
      </c>
      <c r="C25" s="29">
        <v>36.450000000000003</v>
      </c>
      <c r="D25" s="29">
        <v>20.91</v>
      </c>
      <c r="E25" s="32">
        <f t="shared" si="4"/>
        <v>1.7431850789096128</v>
      </c>
      <c r="F25" s="29">
        <v>0.193</v>
      </c>
      <c r="G25" s="29">
        <v>274.89999999999998</v>
      </c>
      <c r="H25" s="29">
        <v>8.14</v>
      </c>
      <c r="I25" s="29">
        <v>9.52</v>
      </c>
      <c r="J25" s="29">
        <v>2.2309999999999999</v>
      </c>
      <c r="K25" s="29">
        <v>42.9</v>
      </c>
      <c r="L25" s="29">
        <v>1.952</v>
      </c>
      <c r="M25" s="29">
        <v>0.26900000000000002</v>
      </c>
      <c r="N25" s="32">
        <f t="shared" si="5"/>
        <v>7.2565055762081778</v>
      </c>
      <c r="O25" s="32">
        <f t="shared" si="6"/>
        <v>30.260223048327138</v>
      </c>
      <c r="P25" s="29">
        <v>25.41</v>
      </c>
      <c r="Q25" s="29">
        <v>22.74</v>
      </c>
      <c r="R25" s="32">
        <f t="shared" si="7"/>
        <v>1.1174142480211082</v>
      </c>
      <c r="S25" s="29">
        <v>38.44</v>
      </c>
      <c r="T25" s="29">
        <v>21.62</v>
      </c>
    </row>
    <row r="26" spans="1:20">
      <c r="A26" s="29" t="s">
        <v>64</v>
      </c>
      <c r="B26" s="29">
        <v>19.53</v>
      </c>
      <c r="C26" s="29">
        <v>41.62</v>
      </c>
      <c r="D26" s="29">
        <v>27.15</v>
      </c>
      <c r="E26" s="32">
        <f t="shared" si="4"/>
        <v>1.5329650092081031</v>
      </c>
      <c r="F26" s="29">
        <v>0.192</v>
      </c>
      <c r="G26" s="29">
        <v>231.6</v>
      </c>
      <c r="H26" s="29">
        <v>7.26</v>
      </c>
      <c r="I26" s="29">
        <v>9.14</v>
      </c>
      <c r="J26" s="29">
        <v>2.1869999999999998</v>
      </c>
      <c r="K26" s="29">
        <v>32.9</v>
      </c>
      <c r="L26" s="29">
        <v>2.0659999999999998</v>
      </c>
      <c r="M26" s="29">
        <v>0.20699999999999999</v>
      </c>
      <c r="N26" s="32">
        <f t="shared" si="5"/>
        <v>9.9806763285024154</v>
      </c>
      <c r="O26" s="32">
        <f t="shared" si="6"/>
        <v>35.072463768115945</v>
      </c>
      <c r="P26" s="29">
        <v>20.77</v>
      </c>
      <c r="Q26" s="29">
        <v>23.04</v>
      </c>
      <c r="R26" s="32">
        <f t="shared" si="7"/>
        <v>0.90147569444444442</v>
      </c>
      <c r="S26" s="29">
        <v>29.12</v>
      </c>
      <c r="T26" s="29">
        <v>26.49</v>
      </c>
    </row>
    <row r="27" spans="1:20">
      <c r="A27" s="29" t="s">
        <v>122</v>
      </c>
      <c r="B27" s="29">
        <v>19.63</v>
      </c>
      <c r="C27" s="29">
        <v>42.58</v>
      </c>
      <c r="D27" s="29">
        <v>23.77</v>
      </c>
      <c r="E27" s="32">
        <f t="shared" si="4"/>
        <v>1.7913336137989062</v>
      </c>
      <c r="F27" s="29">
        <v>0.24099999999999999</v>
      </c>
      <c r="G27" s="29">
        <v>255.6</v>
      </c>
      <c r="H27" s="29">
        <v>5.23</v>
      </c>
      <c r="I27" s="29">
        <v>9.3699999999999992</v>
      </c>
      <c r="J27" s="29">
        <v>1.714</v>
      </c>
      <c r="K27" s="29">
        <v>39.6</v>
      </c>
      <c r="L27" s="29">
        <v>1.855</v>
      </c>
      <c r="M27" s="29">
        <v>0.24099999999999999</v>
      </c>
      <c r="N27" s="32">
        <f t="shared" si="5"/>
        <v>7.6970954356846475</v>
      </c>
      <c r="O27" s="32">
        <f t="shared" si="6"/>
        <v>21.701244813278009</v>
      </c>
      <c r="P27" s="29">
        <v>21.55</v>
      </c>
      <c r="Q27" s="29">
        <v>19.78</v>
      </c>
      <c r="R27" s="32">
        <f t="shared" si="7"/>
        <v>1.0894843276036401</v>
      </c>
      <c r="S27" s="29">
        <v>25.92</v>
      </c>
      <c r="T27" s="29">
        <v>31.66</v>
      </c>
    </row>
    <row r="28" spans="1:20">
      <c r="A28" s="29" t="s">
        <v>66</v>
      </c>
      <c r="B28" s="29">
        <v>22.11</v>
      </c>
      <c r="C28" s="29">
        <v>43.62</v>
      </c>
      <c r="D28" s="29">
        <v>20.86</v>
      </c>
      <c r="E28" s="32">
        <f t="shared" si="4"/>
        <v>2.0910834132310643</v>
      </c>
      <c r="F28" s="29">
        <v>0.23499999999999999</v>
      </c>
      <c r="G28" s="29">
        <v>212.7</v>
      </c>
      <c r="H28" s="29">
        <v>4.66</v>
      </c>
      <c r="I28" s="29">
        <v>8.9600000000000009</v>
      </c>
      <c r="J28" s="29">
        <v>1.502</v>
      </c>
      <c r="K28" s="29">
        <v>35.1</v>
      </c>
      <c r="L28" s="29">
        <v>2.512</v>
      </c>
      <c r="M28" s="29">
        <v>0.27300000000000002</v>
      </c>
      <c r="N28" s="32">
        <f t="shared" si="5"/>
        <v>9.2014652014652007</v>
      </c>
      <c r="O28" s="32">
        <f t="shared" si="6"/>
        <v>17.069597069597069</v>
      </c>
      <c r="P28" s="29">
        <v>20.49</v>
      </c>
      <c r="Q28" s="29">
        <v>22.65</v>
      </c>
      <c r="R28" s="32">
        <f t="shared" si="7"/>
        <v>0.90463576158940395</v>
      </c>
      <c r="S28" s="29">
        <v>34.85</v>
      </c>
      <c r="T28" s="29">
        <v>24.51</v>
      </c>
    </row>
    <row r="29" spans="1:20">
      <c r="A29" s="29" t="s">
        <v>67</v>
      </c>
      <c r="B29" s="29">
        <v>22.85</v>
      </c>
      <c r="C29" s="29">
        <v>53.95</v>
      </c>
      <c r="D29" s="29">
        <v>25.32</v>
      </c>
      <c r="E29" s="32">
        <f t="shared" si="4"/>
        <v>2.1307266982622433</v>
      </c>
      <c r="F29" s="29">
        <v>0.21299999999999999</v>
      </c>
      <c r="G29" s="29">
        <v>221.2</v>
      </c>
      <c r="H29" s="29">
        <v>4.96</v>
      </c>
      <c r="I29" s="29">
        <v>7.28</v>
      </c>
      <c r="J29" s="29">
        <v>1.3859999999999999</v>
      </c>
      <c r="K29" s="29">
        <v>42.8</v>
      </c>
      <c r="L29" s="29">
        <v>1.917</v>
      </c>
      <c r="M29" s="29">
        <v>0.28299999999999997</v>
      </c>
      <c r="N29" s="32">
        <f t="shared" si="5"/>
        <v>6.7738515901060081</v>
      </c>
      <c r="O29" s="32">
        <f t="shared" si="6"/>
        <v>17.526501766784452</v>
      </c>
      <c r="P29" s="29">
        <v>24.14</v>
      </c>
      <c r="Q29" s="29">
        <v>20.53</v>
      </c>
      <c r="R29" s="32">
        <f t="shared" si="7"/>
        <v>1.1758402338041889</v>
      </c>
      <c r="S29" s="29">
        <v>41.61</v>
      </c>
      <c r="T29" s="29">
        <v>32.75</v>
      </c>
    </row>
    <row r="30" spans="1:20">
      <c r="A30" s="29" t="s">
        <v>68</v>
      </c>
      <c r="B30" s="29">
        <v>17.93</v>
      </c>
      <c r="C30" s="29">
        <v>46.92</v>
      </c>
      <c r="D30" s="29">
        <v>27.18</v>
      </c>
      <c r="E30" s="32">
        <f t="shared" si="4"/>
        <v>1.7262693156732893</v>
      </c>
      <c r="F30" s="29">
        <v>0.26900000000000002</v>
      </c>
      <c r="G30" s="29">
        <v>264.8</v>
      </c>
      <c r="H30" s="29">
        <v>6.73</v>
      </c>
      <c r="I30" s="29">
        <v>9.36</v>
      </c>
      <c r="J30" s="29">
        <v>2.1190000000000002</v>
      </c>
      <c r="K30" s="29">
        <v>41.5</v>
      </c>
      <c r="L30" s="29">
        <v>2.0449999999999999</v>
      </c>
      <c r="M30" s="29">
        <v>0.309</v>
      </c>
      <c r="N30" s="32">
        <f t="shared" si="5"/>
        <v>6.6181229773462782</v>
      </c>
      <c r="O30" s="32">
        <f t="shared" si="6"/>
        <v>21.779935275080909</v>
      </c>
      <c r="P30" s="29">
        <v>26.75</v>
      </c>
      <c r="Q30" s="29">
        <v>24.11</v>
      </c>
      <c r="R30" s="32">
        <f t="shared" si="7"/>
        <v>1.1094981335545417</v>
      </c>
      <c r="S30" s="29">
        <v>36.68</v>
      </c>
      <c r="T30" s="29">
        <v>30.42</v>
      </c>
    </row>
    <row r="31" spans="1:20">
      <c r="A31" s="29" t="s">
        <v>69</v>
      </c>
      <c r="B31" s="29">
        <v>21.68</v>
      </c>
      <c r="C31" s="29">
        <v>51.13</v>
      </c>
      <c r="D31" s="29">
        <v>24.29</v>
      </c>
      <c r="E31" s="32">
        <f t="shared" si="4"/>
        <v>2.1049814738575545</v>
      </c>
      <c r="F31" s="29">
        <v>0.26600000000000001</v>
      </c>
      <c r="G31" s="29">
        <v>195.3</v>
      </c>
      <c r="H31" s="29">
        <v>6.22</v>
      </c>
      <c r="I31" s="29">
        <v>8.1199999999999992</v>
      </c>
      <c r="J31" s="29">
        <v>2.109</v>
      </c>
      <c r="K31" s="29">
        <v>38.5</v>
      </c>
      <c r="L31" s="29">
        <v>2.609</v>
      </c>
      <c r="M31" s="29">
        <v>0.16600000000000001</v>
      </c>
      <c r="N31" s="32">
        <f t="shared" si="5"/>
        <v>15.716867469879517</v>
      </c>
      <c r="O31" s="32">
        <f t="shared" si="6"/>
        <v>37.469879518072283</v>
      </c>
      <c r="P31" s="29">
        <v>22.27</v>
      </c>
      <c r="Q31" s="29">
        <v>26.82</v>
      </c>
      <c r="R31" s="32">
        <f t="shared" si="7"/>
        <v>0.83035048471290085</v>
      </c>
      <c r="S31" s="29">
        <v>29.12</v>
      </c>
      <c r="T31" s="29">
        <v>28.18</v>
      </c>
    </row>
    <row r="32" spans="1:20">
      <c r="A32" s="29" t="s">
        <v>70</v>
      </c>
      <c r="B32" s="29">
        <v>17.53</v>
      </c>
      <c r="C32" s="29">
        <v>41.62</v>
      </c>
      <c r="D32" s="29">
        <v>23.97</v>
      </c>
      <c r="E32" s="32">
        <f t="shared" si="4"/>
        <v>1.7363370880266999</v>
      </c>
      <c r="F32" s="29">
        <v>0.22600000000000001</v>
      </c>
      <c r="G32" s="29">
        <v>268.2</v>
      </c>
      <c r="H32" s="29">
        <v>7.13</v>
      </c>
      <c r="I32" s="29">
        <v>9.82</v>
      </c>
      <c r="J32" s="29">
        <v>2.0649999999999999</v>
      </c>
      <c r="K32" s="29">
        <v>49.4</v>
      </c>
      <c r="L32" s="29">
        <v>2.1179999999999999</v>
      </c>
      <c r="M32" s="29">
        <v>0.24299999999999999</v>
      </c>
      <c r="N32" s="32">
        <f t="shared" si="5"/>
        <v>8.716049382716049</v>
      </c>
      <c r="O32" s="32">
        <f t="shared" si="6"/>
        <v>29.34156378600823</v>
      </c>
      <c r="P32" s="29">
        <v>21.88</v>
      </c>
      <c r="Q32" s="29">
        <v>22.54</v>
      </c>
      <c r="R32" s="32">
        <f t="shared" si="7"/>
        <v>0.97071872227151734</v>
      </c>
      <c r="S32" s="29">
        <v>25.98</v>
      </c>
      <c r="T32" s="29">
        <v>28.11</v>
      </c>
    </row>
    <row r="33" spans="1:20">
      <c r="A33" s="29" t="s">
        <v>71</v>
      </c>
      <c r="B33" s="29">
        <v>18.02</v>
      </c>
      <c r="C33" s="29">
        <v>45.77</v>
      </c>
      <c r="D33" s="29">
        <v>21.18</v>
      </c>
      <c r="E33" s="32">
        <f t="shared" si="4"/>
        <v>2.1610009442870632</v>
      </c>
      <c r="F33" s="29">
        <v>0.20799999999999999</v>
      </c>
      <c r="G33" s="29">
        <v>236.9</v>
      </c>
      <c r="H33" s="29">
        <v>6.85</v>
      </c>
      <c r="I33" s="29">
        <v>8.5299999999999994</v>
      </c>
      <c r="J33" s="29">
        <v>2.198</v>
      </c>
      <c r="K33" s="29">
        <v>43.6</v>
      </c>
      <c r="L33" s="29">
        <v>2.5619999999999998</v>
      </c>
      <c r="M33" s="29">
        <v>0.185</v>
      </c>
      <c r="N33" s="32">
        <f t="shared" si="5"/>
        <v>13.848648648648648</v>
      </c>
      <c r="O33" s="32">
        <f t="shared" si="6"/>
        <v>37.027027027027025</v>
      </c>
      <c r="P33" s="29">
        <v>23.06</v>
      </c>
      <c r="Q33" s="29">
        <v>24.13</v>
      </c>
      <c r="R33" s="32">
        <f t="shared" si="7"/>
        <v>0.95565685868213845</v>
      </c>
      <c r="S33" s="29">
        <v>34.71</v>
      </c>
      <c r="T33" s="29">
        <v>23.62</v>
      </c>
    </row>
    <row r="34" spans="1:20">
      <c r="E34" s="32"/>
      <c r="N34" s="32"/>
      <c r="O34" s="32"/>
      <c r="R34" s="32"/>
    </row>
    <row r="35" spans="1:20">
      <c r="A35" s="29" t="s">
        <v>72</v>
      </c>
      <c r="B35" s="29">
        <v>22.63</v>
      </c>
      <c r="C35" s="29">
        <v>48.64</v>
      </c>
      <c r="D35" s="29">
        <v>22.18</v>
      </c>
      <c r="E35" s="32">
        <f>C35/D35</f>
        <v>2.1929666366095582</v>
      </c>
      <c r="F35" s="29">
        <v>0.23599999999999999</v>
      </c>
      <c r="G35" s="29">
        <v>265.89999999999998</v>
      </c>
      <c r="H35" s="29">
        <v>8.3699999999999992</v>
      </c>
      <c r="I35" s="29">
        <v>8.41</v>
      </c>
      <c r="J35" s="29">
        <v>1.488</v>
      </c>
      <c r="K35" s="29">
        <v>40.4</v>
      </c>
      <c r="L35" s="29">
        <v>1.7509999999999999</v>
      </c>
      <c r="M35" s="29">
        <v>0.221</v>
      </c>
      <c r="N35" s="32">
        <f>L35/M35</f>
        <v>7.9230769230769225</v>
      </c>
      <c r="O35" s="32">
        <f>H35/M35</f>
        <v>37.873303167420808</v>
      </c>
      <c r="P35" s="29">
        <v>26.17</v>
      </c>
      <c r="Q35" s="29">
        <v>28.33</v>
      </c>
      <c r="R35" s="32">
        <f>P35/Q35</f>
        <v>0.92375573596893767</v>
      </c>
      <c r="S35" s="29">
        <v>25.48</v>
      </c>
      <c r="T35" s="29">
        <v>26.09</v>
      </c>
    </row>
    <row r="36" spans="1:20">
      <c r="A36" s="29" t="s">
        <v>74</v>
      </c>
      <c r="B36" s="29">
        <v>17.850000000000001</v>
      </c>
      <c r="C36" s="29">
        <v>50.81</v>
      </c>
      <c r="D36" s="29">
        <v>21.68</v>
      </c>
      <c r="E36" s="32">
        <f>C36/D36</f>
        <v>2.3436346863468636</v>
      </c>
      <c r="F36" s="29">
        <v>0.193</v>
      </c>
      <c r="G36" s="29">
        <v>248.1</v>
      </c>
      <c r="H36" s="29">
        <v>5.31</v>
      </c>
      <c r="I36" s="29">
        <v>7.59</v>
      </c>
      <c r="J36" s="29">
        <v>1.5149999999999999</v>
      </c>
      <c r="K36" s="29">
        <v>36.799999999999997</v>
      </c>
      <c r="L36" s="29">
        <v>1.5469999999999999</v>
      </c>
      <c r="M36" s="29">
        <v>0.188</v>
      </c>
      <c r="N36" s="32">
        <f>L36/M36</f>
        <v>8.2287234042553195</v>
      </c>
      <c r="O36" s="32">
        <f>H36/M36</f>
        <v>28.244680851063826</v>
      </c>
      <c r="P36" s="29">
        <v>24.67</v>
      </c>
      <c r="Q36" s="29">
        <v>22.15</v>
      </c>
      <c r="R36" s="32">
        <f>P36/Q36</f>
        <v>1.1137697516930023</v>
      </c>
      <c r="S36" s="29">
        <v>33.57</v>
      </c>
      <c r="T36" s="29">
        <v>18.62</v>
      </c>
    </row>
    <row r="37" spans="1:20">
      <c r="A37" s="29" t="s">
        <v>76</v>
      </c>
      <c r="B37" s="29">
        <v>16.440000000000001</v>
      </c>
      <c r="C37" s="29">
        <v>53.16</v>
      </c>
      <c r="D37" s="29">
        <v>25.46</v>
      </c>
      <c r="E37" s="32">
        <f>C37/D37</f>
        <v>2.0879811468970932</v>
      </c>
      <c r="F37" s="29">
        <v>0.17699999999999999</v>
      </c>
      <c r="G37" s="29">
        <v>226.9</v>
      </c>
      <c r="H37" s="29">
        <v>6.04</v>
      </c>
      <c r="I37" s="29">
        <v>8.25</v>
      </c>
      <c r="J37" s="29">
        <v>1.2090000000000001</v>
      </c>
      <c r="K37" s="29">
        <v>34.5</v>
      </c>
      <c r="L37" s="29">
        <v>1.393</v>
      </c>
      <c r="M37" s="29">
        <v>0.17299999999999999</v>
      </c>
      <c r="N37" s="32">
        <f>L37/M37</f>
        <v>8.0520231213872844</v>
      </c>
      <c r="O37" s="32">
        <f>H37/M37</f>
        <v>34.913294797687861</v>
      </c>
      <c r="P37" s="29">
        <v>25.98</v>
      </c>
      <c r="Q37" s="29">
        <v>23.71</v>
      </c>
      <c r="R37" s="32">
        <f>P37/Q37</f>
        <v>1.0957401940109659</v>
      </c>
      <c r="S37" s="29">
        <v>38.159999999999997</v>
      </c>
      <c r="T37" s="29">
        <v>29.53</v>
      </c>
    </row>
    <row r="38" spans="1:20">
      <c r="A38" s="29" t="s">
        <v>77</v>
      </c>
      <c r="B38" s="29">
        <v>17.88</v>
      </c>
      <c r="C38" s="29">
        <v>45.13</v>
      </c>
      <c r="D38" s="29">
        <v>21.97</v>
      </c>
      <c r="E38" s="32">
        <f>C38/D38</f>
        <v>2.0541647701411017</v>
      </c>
      <c r="F38" s="29">
        <v>0.22600000000000001</v>
      </c>
      <c r="G38" s="29">
        <v>266.3</v>
      </c>
      <c r="H38" s="29">
        <v>6.43</v>
      </c>
      <c r="I38" s="29">
        <v>8.15</v>
      </c>
      <c r="J38" s="29">
        <v>1.923</v>
      </c>
      <c r="K38" s="29">
        <v>33.1</v>
      </c>
      <c r="L38" s="29">
        <v>1.774</v>
      </c>
      <c r="M38" s="29">
        <v>0.219</v>
      </c>
      <c r="N38" s="32">
        <f>L38/M38</f>
        <v>8.1004566210045663</v>
      </c>
      <c r="O38" s="32">
        <f>H38/M38</f>
        <v>29.360730593607304</v>
      </c>
      <c r="P38" s="29">
        <v>20.45</v>
      </c>
      <c r="Q38" s="29">
        <v>22.28</v>
      </c>
      <c r="R38" s="32">
        <f>P38/Q38</f>
        <v>0.91786355475763004</v>
      </c>
      <c r="S38" s="29">
        <v>30.84</v>
      </c>
      <c r="T38" s="29">
        <v>23.77</v>
      </c>
    </row>
    <row r="39" spans="1:20">
      <c r="A39" s="29" t="s">
        <v>78</v>
      </c>
      <c r="B39" s="29">
        <v>23.14</v>
      </c>
      <c r="C39" s="29">
        <v>58.44</v>
      </c>
      <c r="D39" s="29">
        <v>25.03</v>
      </c>
      <c r="E39" s="32">
        <f>C39/D39</f>
        <v>2.3347982421094686</v>
      </c>
      <c r="F39" s="29">
        <v>0.16400000000000001</v>
      </c>
      <c r="G39" s="29">
        <v>259.3</v>
      </c>
      <c r="H39" s="29">
        <v>6.52</v>
      </c>
      <c r="I39" s="29">
        <v>8.2200000000000006</v>
      </c>
      <c r="J39" s="29">
        <v>1.8180000000000001</v>
      </c>
      <c r="K39" s="29">
        <v>43.5</v>
      </c>
      <c r="L39" s="29">
        <v>1.827</v>
      </c>
      <c r="M39" s="29">
        <v>0.218</v>
      </c>
      <c r="N39" s="32">
        <f>L39/M39</f>
        <v>8.3807339449541285</v>
      </c>
      <c r="O39" s="32">
        <f>H39/M39</f>
        <v>29.908256880733944</v>
      </c>
      <c r="P39" s="29">
        <v>18.420000000000002</v>
      </c>
      <c r="Q39" s="29">
        <v>20.59</v>
      </c>
      <c r="R39" s="32">
        <f>P39/Q39</f>
        <v>0.89460903351141341</v>
      </c>
      <c r="S39" s="29">
        <v>32.18</v>
      </c>
      <c r="T39" s="29">
        <v>21.66</v>
      </c>
    </row>
    <row r="40" spans="1:20">
      <c r="A40" s="29" t="s">
        <v>79</v>
      </c>
      <c r="B40" s="29">
        <v>24.03</v>
      </c>
      <c r="C40" s="29">
        <v>57.32</v>
      </c>
      <c r="D40" s="29">
        <v>26.46</v>
      </c>
      <c r="E40" s="32">
        <f t="shared" si="4"/>
        <v>2.1662887377173092</v>
      </c>
      <c r="F40" s="29">
        <v>0.254</v>
      </c>
      <c r="G40" s="29">
        <v>238.6</v>
      </c>
      <c r="H40" s="29">
        <v>5.26</v>
      </c>
      <c r="I40" s="29">
        <v>8.17</v>
      </c>
      <c r="J40" s="29">
        <v>1.6850000000000001</v>
      </c>
      <c r="K40" s="29">
        <v>55.3</v>
      </c>
      <c r="L40" s="29">
        <v>2.0169999999999999</v>
      </c>
      <c r="M40" s="29">
        <v>0.19600000000000001</v>
      </c>
      <c r="N40" s="32">
        <f t="shared" si="5"/>
        <v>10.290816326530612</v>
      </c>
      <c r="O40" s="32">
        <f t="shared" si="6"/>
        <v>26.836734693877549</v>
      </c>
      <c r="P40" s="29">
        <v>24.42</v>
      </c>
      <c r="Q40" s="29">
        <v>23.09</v>
      </c>
      <c r="R40" s="32">
        <f t="shared" si="7"/>
        <v>1.0576006929406669</v>
      </c>
      <c r="S40" s="29">
        <v>35.020000000000003</v>
      </c>
      <c r="T40" s="29">
        <v>31.49</v>
      </c>
    </row>
    <row r="41" spans="1:20">
      <c r="A41" s="29" t="s">
        <v>80</v>
      </c>
      <c r="B41" s="29">
        <v>22.88</v>
      </c>
      <c r="C41" s="29">
        <v>56.17</v>
      </c>
      <c r="D41" s="29">
        <v>24.37</v>
      </c>
      <c r="E41" s="32">
        <f t="shared" si="4"/>
        <v>2.3048830529339353</v>
      </c>
      <c r="F41" s="29">
        <v>0.24099999999999999</v>
      </c>
      <c r="G41" s="29">
        <v>223.8</v>
      </c>
      <c r="H41" s="29">
        <v>6.22</v>
      </c>
      <c r="I41" s="29">
        <v>7.59</v>
      </c>
      <c r="J41" s="29">
        <v>1.6919999999999999</v>
      </c>
      <c r="K41" s="29">
        <v>35.5</v>
      </c>
      <c r="L41" s="29">
        <v>2.6110000000000002</v>
      </c>
      <c r="M41" s="29">
        <v>0.23899999999999999</v>
      </c>
      <c r="N41" s="32">
        <f t="shared" si="5"/>
        <v>10.92468619246862</v>
      </c>
      <c r="O41" s="32">
        <f t="shared" si="6"/>
        <v>26.02510460251046</v>
      </c>
      <c r="P41" s="29">
        <v>22.61</v>
      </c>
      <c r="Q41" s="29">
        <v>24.87</v>
      </c>
      <c r="R41" s="32">
        <f t="shared" si="7"/>
        <v>0.90912746280659418</v>
      </c>
      <c r="S41" s="29">
        <v>34.08</v>
      </c>
      <c r="T41" s="29">
        <v>22.35</v>
      </c>
    </row>
    <row r="42" spans="1:20">
      <c r="A42" s="29" t="s">
        <v>81</v>
      </c>
      <c r="B42" s="29">
        <v>19.62</v>
      </c>
      <c r="C42" s="29">
        <v>47.31</v>
      </c>
      <c r="D42" s="29">
        <v>23.72</v>
      </c>
      <c r="E42" s="32">
        <f t="shared" si="4"/>
        <v>1.9945193929173695</v>
      </c>
      <c r="F42" s="29">
        <v>0.21199999999999999</v>
      </c>
      <c r="G42" s="29">
        <v>243.8</v>
      </c>
      <c r="H42" s="29">
        <v>6.38</v>
      </c>
      <c r="I42" s="29">
        <v>8.1300000000000008</v>
      </c>
      <c r="J42" s="29">
        <v>1.8640000000000001</v>
      </c>
      <c r="K42" s="29">
        <v>44.3</v>
      </c>
      <c r="L42" s="29">
        <v>1.8120000000000001</v>
      </c>
      <c r="M42" s="29">
        <v>0.248</v>
      </c>
      <c r="N42" s="32">
        <f t="shared" si="5"/>
        <v>7.306451612903226</v>
      </c>
      <c r="O42" s="32">
        <f t="shared" si="6"/>
        <v>25.725806451612904</v>
      </c>
      <c r="P42" s="29">
        <v>23.63</v>
      </c>
      <c r="Q42" s="29">
        <v>21.75</v>
      </c>
      <c r="R42" s="32">
        <f t="shared" si="7"/>
        <v>1.0864367816091953</v>
      </c>
      <c r="S42" s="29">
        <v>37.19</v>
      </c>
      <c r="T42" s="29">
        <v>24.66</v>
      </c>
    </row>
    <row r="43" spans="1:20">
      <c r="A43" s="29" t="s">
        <v>82</v>
      </c>
      <c r="B43" s="29">
        <v>18.95</v>
      </c>
      <c r="C43" s="29">
        <v>45.03</v>
      </c>
      <c r="D43" s="29">
        <v>26.52</v>
      </c>
      <c r="E43" s="32">
        <f t="shared" si="4"/>
        <v>1.6979638009049773</v>
      </c>
      <c r="F43" s="29">
        <v>0.23599999999999999</v>
      </c>
      <c r="G43" s="29">
        <v>205.7</v>
      </c>
      <c r="H43" s="29">
        <v>5.51</v>
      </c>
      <c r="I43" s="29">
        <v>8.67</v>
      </c>
      <c r="J43" s="29">
        <v>1.623</v>
      </c>
      <c r="K43" s="29">
        <v>31.8</v>
      </c>
      <c r="L43" s="29">
        <v>2.5870000000000002</v>
      </c>
      <c r="M43" s="29">
        <v>0.24199999999999999</v>
      </c>
      <c r="N43" s="32">
        <f t="shared" si="5"/>
        <v>10.690082644628101</v>
      </c>
      <c r="O43" s="32">
        <f t="shared" si="6"/>
        <v>22.768595041322314</v>
      </c>
      <c r="P43" s="29">
        <v>23.76</v>
      </c>
      <c r="Q43" s="29">
        <v>24.43</v>
      </c>
      <c r="R43" s="32">
        <f t="shared" si="7"/>
        <v>0.97257470323372908</v>
      </c>
      <c r="S43" s="29">
        <v>42.96</v>
      </c>
      <c r="T43" s="29">
        <v>32.82</v>
      </c>
    </row>
    <row r="44" spans="1:20">
      <c r="A44" s="29" t="s">
        <v>83</v>
      </c>
      <c r="B44" s="29">
        <v>23.61</v>
      </c>
      <c r="C44" s="29">
        <v>54.18</v>
      </c>
      <c r="D44" s="29">
        <v>21.79</v>
      </c>
      <c r="E44" s="32">
        <f>C44/D44</f>
        <v>2.4864616796695733</v>
      </c>
      <c r="F44" s="29">
        <v>0.219</v>
      </c>
      <c r="G44" s="29">
        <v>187.4</v>
      </c>
      <c r="H44" s="29">
        <v>5.12</v>
      </c>
      <c r="I44" s="29">
        <v>7.69</v>
      </c>
      <c r="J44" s="29">
        <v>1.6639999999999999</v>
      </c>
      <c r="K44" s="29">
        <v>31.8</v>
      </c>
      <c r="L44" s="29">
        <v>2.2229999999999999</v>
      </c>
      <c r="M44" s="29">
        <v>0.187</v>
      </c>
      <c r="N44" s="32">
        <f>L44/M44</f>
        <v>11.887700534759357</v>
      </c>
      <c r="O44" s="32">
        <f>H44/M44</f>
        <v>27.379679144385026</v>
      </c>
      <c r="P44" s="29">
        <v>22.06</v>
      </c>
      <c r="Q44" s="29">
        <v>21.17</v>
      </c>
      <c r="R44" s="32">
        <f>P44/Q44</f>
        <v>1.0420406235238544</v>
      </c>
      <c r="S44" s="29">
        <v>37.19</v>
      </c>
      <c r="T44" s="29">
        <v>28.54</v>
      </c>
    </row>
    <row r="45" spans="1:20">
      <c r="A45" s="29" t="s">
        <v>84</v>
      </c>
      <c r="B45" s="29">
        <v>24.81</v>
      </c>
      <c r="C45" s="29">
        <v>58.33</v>
      </c>
      <c r="D45" s="29">
        <v>28.52</v>
      </c>
      <c r="E45" s="32">
        <f t="shared" si="4"/>
        <v>2.0452314165497896</v>
      </c>
      <c r="F45" s="29">
        <v>0.26100000000000001</v>
      </c>
      <c r="G45" s="29">
        <v>254.5</v>
      </c>
      <c r="H45" s="29">
        <v>5.86</v>
      </c>
      <c r="I45" s="29">
        <v>7.65</v>
      </c>
      <c r="J45" s="29">
        <v>1.8069999999999999</v>
      </c>
      <c r="K45" s="29">
        <v>48.4</v>
      </c>
      <c r="L45" s="29">
        <v>1.9550000000000001</v>
      </c>
      <c r="M45" s="29">
        <v>0.219</v>
      </c>
      <c r="N45" s="32">
        <f t="shared" si="5"/>
        <v>8.9269406392694073</v>
      </c>
      <c r="O45" s="32">
        <f t="shared" si="6"/>
        <v>26.75799086757991</v>
      </c>
      <c r="P45" s="29">
        <v>21.33</v>
      </c>
      <c r="Q45" s="29">
        <v>22.57</v>
      </c>
      <c r="R45" s="32">
        <f t="shared" si="7"/>
        <v>0.94505981391227289</v>
      </c>
      <c r="S45" s="29">
        <v>29.32</v>
      </c>
      <c r="T45" s="29">
        <v>27.88</v>
      </c>
    </row>
    <row r="46" spans="1:20">
      <c r="A46" s="29" t="s">
        <v>85</v>
      </c>
      <c r="B46" s="29">
        <v>25.32</v>
      </c>
      <c r="C46" s="29">
        <v>53.04</v>
      </c>
      <c r="D46" s="29">
        <v>25.98</v>
      </c>
      <c r="E46" s="32">
        <f t="shared" si="4"/>
        <v>2.0415704387990763</v>
      </c>
      <c r="F46" s="29">
        <v>0.22900000000000001</v>
      </c>
      <c r="G46" s="29">
        <v>219.5</v>
      </c>
      <c r="H46" s="29">
        <v>3.81</v>
      </c>
      <c r="I46" s="29">
        <v>7.49</v>
      </c>
      <c r="J46" s="29">
        <v>1.538</v>
      </c>
      <c r="K46" s="29">
        <v>32.5</v>
      </c>
      <c r="L46" s="29">
        <v>1.161</v>
      </c>
      <c r="M46" s="29">
        <v>0.26400000000000001</v>
      </c>
      <c r="N46" s="32">
        <f t="shared" si="5"/>
        <v>4.3977272727272725</v>
      </c>
      <c r="O46" s="32">
        <f t="shared" si="6"/>
        <v>14.431818181818182</v>
      </c>
      <c r="P46" s="29">
        <v>26.49</v>
      </c>
      <c r="Q46" s="29">
        <v>23.02</v>
      </c>
      <c r="R46" s="32">
        <f t="shared" si="7"/>
        <v>1.1507384882710685</v>
      </c>
      <c r="S46" s="29">
        <v>44.15</v>
      </c>
      <c r="T46" s="29">
        <v>36.14</v>
      </c>
    </row>
    <row r="47" spans="1:20">
      <c r="A47" s="29" t="s">
        <v>86</v>
      </c>
      <c r="B47" s="29">
        <v>20.76</v>
      </c>
      <c r="C47" s="29">
        <v>45.82</v>
      </c>
      <c r="D47" s="29">
        <v>21.32</v>
      </c>
      <c r="E47" s="32">
        <f t="shared" si="4"/>
        <v>2.1491557223264541</v>
      </c>
      <c r="F47" s="29">
        <v>0.17100000000000001</v>
      </c>
      <c r="G47" s="29">
        <v>239.4</v>
      </c>
      <c r="H47" s="29">
        <v>6.39</v>
      </c>
      <c r="I47" s="29">
        <v>10.76</v>
      </c>
      <c r="J47" s="29">
        <v>2.1819999999999999</v>
      </c>
      <c r="K47" s="29">
        <v>29.3</v>
      </c>
      <c r="L47" s="29">
        <v>2.3980000000000001</v>
      </c>
      <c r="M47" s="29">
        <v>0.188</v>
      </c>
      <c r="N47" s="32">
        <f t="shared" si="5"/>
        <v>12.75531914893617</v>
      </c>
      <c r="O47" s="32">
        <f t="shared" si="6"/>
        <v>33.98936170212766</v>
      </c>
      <c r="P47" s="29">
        <v>21.55</v>
      </c>
      <c r="Q47" s="29">
        <v>23.77</v>
      </c>
      <c r="R47" s="32">
        <f t="shared" si="7"/>
        <v>0.90660496424063952</v>
      </c>
      <c r="S47" s="29">
        <v>26.85</v>
      </c>
      <c r="T47" s="29">
        <v>29.44</v>
      </c>
    </row>
    <row r="48" spans="1:20">
      <c r="A48" s="29" t="s">
        <v>87</v>
      </c>
      <c r="B48" s="29">
        <v>19.27</v>
      </c>
      <c r="C48" s="29">
        <v>47.08</v>
      </c>
      <c r="D48" s="29">
        <v>24.62</v>
      </c>
      <c r="E48" s="32">
        <f t="shared" si="4"/>
        <v>1.9122664500406172</v>
      </c>
      <c r="F48" s="29">
        <v>0.187</v>
      </c>
      <c r="G48" s="29">
        <v>277.3</v>
      </c>
      <c r="H48" s="29">
        <v>6.04</v>
      </c>
      <c r="I48" s="29">
        <v>9.17</v>
      </c>
      <c r="J48" s="29">
        <v>1.966</v>
      </c>
      <c r="K48" s="29">
        <v>34.700000000000003</v>
      </c>
      <c r="L48" s="29">
        <v>1.6319999999999999</v>
      </c>
      <c r="M48" s="29">
        <v>0.17599999999999999</v>
      </c>
      <c r="N48" s="32">
        <f t="shared" si="5"/>
        <v>9.2727272727272734</v>
      </c>
      <c r="O48" s="32">
        <f t="shared" si="6"/>
        <v>34.31818181818182</v>
      </c>
      <c r="P48" s="29">
        <v>23.18</v>
      </c>
      <c r="Q48" s="29">
        <v>22.54</v>
      </c>
      <c r="R48" s="32">
        <f t="shared" si="7"/>
        <v>1.0283939662821651</v>
      </c>
      <c r="S48" s="29">
        <v>37.03</v>
      </c>
      <c r="T48" s="29">
        <v>26.15</v>
      </c>
    </row>
    <row r="49" spans="1:20">
      <c r="A49" s="29" t="s">
        <v>88</v>
      </c>
      <c r="B49" s="29">
        <v>16.489999999999998</v>
      </c>
      <c r="C49" s="29">
        <v>45.07</v>
      </c>
      <c r="D49" s="29">
        <v>24.59</v>
      </c>
      <c r="E49" s="32">
        <f t="shared" si="4"/>
        <v>1.8328588857259049</v>
      </c>
      <c r="F49" s="29">
        <v>0.25800000000000001</v>
      </c>
      <c r="G49" s="29">
        <v>210.8</v>
      </c>
      <c r="H49" s="29">
        <v>6.37</v>
      </c>
      <c r="I49" s="29">
        <v>8.81</v>
      </c>
      <c r="J49" s="29">
        <v>1.742</v>
      </c>
      <c r="K49" s="29">
        <v>39.6</v>
      </c>
      <c r="L49" s="29">
        <v>1.5289999999999999</v>
      </c>
      <c r="M49" s="29">
        <v>0.19400000000000001</v>
      </c>
      <c r="N49" s="32">
        <f t="shared" si="5"/>
        <v>7.8814432989690717</v>
      </c>
      <c r="O49" s="32">
        <f t="shared" si="6"/>
        <v>32.835051546391753</v>
      </c>
      <c r="P49" s="29">
        <v>19.37</v>
      </c>
      <c r="Q49" s="29">
        <v>18.63</v>
      </c>
      <c r="R49" s="32">
        <f t="shared" si="7"/>
        <v>1.0397208803005906</v>
      </c>
      <c r="S49" s="29">
        <v>38.22</v>
      </c>
      <c r="T49" s="29">
        <v>36.47</v>
      </c>
    </row>
    <row r="50" spans="1:20">
      <c r="A50" s="30" t="s">
        <v>768</v>
      </c>
      <c r="B50" s="114">
        <v>19.32</v>
      </c>
      <c r="C50" s="114">
        <v>52.16</v>
      </c>
      <c r="D50" s="114">
        <v>19.47</v>
      </c>
      <c r="E50" s="114">
        <v>2.6789930000000002</v>
      </c>
      <c r="F50" s="114">
        <v>0.182</v>
      </c>
      <c r="G50" s="114">
        <v>238.7</v>
      </c>
      <c r="H50" s="114">
        <v>5.96</v>
      </c>
      <c r="I50" s="114">
        <v>8.69</v>
      </c>
      <c r="J50" s="114">
        <v>1.629</v>
      </c>
      <c r="K50" s="114">
        <v>33.4</v>
      </c>
      <c r="L50" s="114">
        <v>1.706</v>
      </c>
      <c r="M50" s="114">
        <v>0.187</v>
      </c>
      <c r="N50" s="114">
        <v>9.1229949999999995</v>
      </c>
      <c r="O50" s="114">
        <v>31.871659999999999</v>
      </c>
      <c r="P50" s="114">
        <v>19.66</v>
      </c>
      <c r="Q50" s="114">
        <v>23.08</v>
      </c>
      <c r="R50" s="114">
        <v>1.1739569999999999</v>
      </c>
      <c r="S50" s="114">
        <v>29.16</v>
      </c>
      <c r="T50" s="114">
        <v>21.76</v>
      </c>
    </row>
    <row r="51" spans="1:20">
      <c r="A51" s="29" t="s">
        <v>90</v>
      </c>
      <c r="B51" s="29">
        <v>24.72</v>
      </c>
      <c r="C51" s="29">
        <v>44.93</v>
      </c>
      <c r="D51" s="29">
        <v>21.88</v>
      </c>
      <c r="E51" s="32">
        <f t="shared" si="4"/>
        <v>2.0534734917733091</v>
      </c>
      <c r="F51" s="29">
        <v>0.215</v>
      </c>
      <c r="G51" s="29">
        <v>197.4</v>
      </c>
      <c r="H51" s="29">
        <v>6.38</v>
      </c>
      <c r="I51" s="29">
        <v>6.42</v>
      </c>
      <c r="J51" s="29">
        <v>1.8169999999999999</v>
      </c>
      <c r="K51" s="29">
        <v>29.3</v>
      </c>
      <c r="L51" s="29">
        <v>2.0270000000000001</v>
      </c>
      <c r="M51" s="29">
        <v>0.215</v>
      </c>
      <c r="N51" s="32">
        <f t="shared" si="5"/>
        <v>9.4279069767441861</v>
      </c>
      <c r="O51" s="32">
        <f t="shared" si="6"/>
        <v>29.674418604651162</v>
      </c>
      <c r="P51" s="29">
        <v>20.46</v>
      </c>
      <c r="Q51" s="29">
        <v>19.52</v>
      </c>
      <c r="R51" s="32">
        <f t="shared" si="7"/>
        <v>1.048155737704918</v>
      </c>
      <c r="S51" s="29">
        <v>27.38</v>
      </c>
      <c r="T51" s="29">
        <v>27.09</v>
      </c>
    </row>
    <row r="52" spans="1:20">
      <c r="A52" s="29" t="s">
        <v>91</v>
      </c>
      <c r="B52" s="29">
        <v>20.77</v>
      </c>
      <c r="C52" s="29">
        <v>49.26</v>
      </c>
      <c r="D52" s="29">
        <v>21.38</v>
      </c>
      <c r="E52" s="32">
        <f t="shared" si="4"/>
        <v>2.3040224508886809</v>
      </c>
      <c r="F52" s="29">
        <v>0.217</v>
      </c>
      <c r="G52" s="29">
        <v>268.10000000000002</v>
      </c>
      <c r="H52" s="29">
        <v>4.63</v>
      </c>
      <c r="I52" s="29">
        <v>10.61</v>
      </c>
      <c r="J52" s="29">
        <v>1.274</v>
      </c>
      <c r="K52" s="29">
        <v>41.7</v>
      </c>
      <c r="L52" s="29">
        <v>1.724</v>
      </c>
      <c r="M52" s="29">
        <v>0.185</v>
      </c>
      <c r="N52" s="32">
        <f t="shared" si="5"/>
        <v>9.3189189189189197</v>
      </c>
      <c r="O52" s="32">
        <f t="shared" si="6"/>
        <v>25.027027027027028</v>
      </c>
      <c r="P52" s="29">
        <v>22.95</v>
      </c>
      <c r="Q52" s="29">
        <v>24.18</v>
      </c>
      <c r="R52" s="32">
        <f t="shared" si="7"/>
        <v>0.9491315136476427</v>
      </c>
      <c r="S52" s="29">
        <v>31.55</v>
      </c>
      <c r="T52" s="29">
        <v>24.71</v>
      </c>
    </row>
    <row r="53" spans="1:20">
      <c r="A53" s="29" t="s">
        <v>92</v>
      </c>
      <c r="B53" s="29">
        <v>17.920000000000002</v>
      </c>
      <c r="C53" s="29">
        <v>40.51</v>
      </c>
      <c r="D53" s="29">
        <v>21.45</v>
      </c>
      <c r="E53" s="32">
        <f t="shared" si="4"/>
        <v>1.8885780885780885</v>
      </c>
      <c r="F53" s="29">
        <v>0.20399999999999999</v>
      </c>
      <c r="G53" s="29">
        <v>238.7</v>
      </c>
      <c r="H53" s="29">
        <v>4.8499999999999996</v>
      </c>
      <c r="I53" s="29">
        <v>7.69</v>
      </c>
      <c r="J53" s="29">
        <v>1.4610000000000001</v>
      </c>
      <c r="K53" s="29">
        <v>40.299999999999997</v>
      </c>
      <c r="L53" s="29">
        <v>1.6359999999999999</v>
      </c>
      <c r="M53" s="29">
        <v>0.216</v>
      </c>
      <c r="N53" s="32">
        <f t="shared" si="5"/>
        <v>7.5740740740740735</v>
      </c>
      <c r="O53" s="32">
        <f t="shared" si="6"/>
        <v>22.453703703703702</v>
      </c>
      <c r="P53" s="29">
        <v>23.15</v>
      </c>
      <c r="Q53" s="29">
        <v>22.85</v>
      </c>
      <c r="R53" s="32">
        <f t="shared" si="7"/>
        <v>1.0131291028446388</v>
      </c>
      <c r="S53" s="29">
        <v>35.03</v>
      </c>
      <c r="T53" s="29">
        <v>30.59</v>
      </c>
    </row>
    <row r="54" spans="1:20">
      <c r="A54" s="29" t="s">
        <v>93</v>
      </c>
      <c r="B54" s="29">
        <v>19.440000000000001</v>
      </c>
      <c r="C54" s="29">
        <v>42.09</v>
      </c>
      <c r="D54" s="29">
        <v>23.19</v>
      </c>
      <c r="E54" s="32">
        <f t="shared" si="4"/>
        <v>1.815006468305304</v>
      </c>
      <c r="F54" s="29">
        <v>0.22500000000000001</v>
      </c>
      <c r="G54" s="29">
        <v>256.39999999999998</v>
      </c>
      <c r="H54" s="29">
        <v>6.45</v>
      </c>
      <c r="I54" s="29">
        <v>11.06</v>
      </c>
      <c r="J54" s="29">
        <v>1.8580000000000001</v>
      </c>
      <c r="K54" s="29">
        <v>41.8</v>
      </c>
      <c r="L54" s="29">
        <v>2.0630000000000002</v>
      </c>
      <c r="M54" s="29">
        <v>0.16700000000000001</v>
      </c>
      <c r="N54" s="32">
        <f t="shared" si="5"/>
        <v>12.353293413173652</v>
      </c>
      <c r="O54" s="32">
        <f t="shared" si="6"/>
        <v>38.622754491017965</v>
      </c>
      <c r="P54" s="29">
        <v>22.03</v>
      </c>
      <c r="Q54" s="29">
        <v>24.91</v>
      </c>
      <c r="R54" s="32">
        <f t="shared" si="7"/>
        <v>0.88438378161380971</v>
      </c>
      <c r="S54" s="29">
        <v>32.78</v>
      </c>
      <c r="T54" s="29">
        <v>23.18</v>
      </c>
    </row>
    <row r="55" spans="1:20">
      <c r="A55" s="29" t="s">
        <v>94</v>
      </c>
      <c r="B55" s="29">
        <v>22.45</v>
      </c>
      <c r="C55" s="29">
        <v>49.63</v>
      </c>
      <c r="D55" s="29">
        <v>24.02</v>
      </c>
      <c r="E55" s="32">
        <f t="shared" si="4"/>
        <v>2.0661948376353041</v>
      </c>
      <c r="F55" s="29">
        <v>0.247</v>
      </c>
      <c r="G55" s="29">
        <v>248.3</v>
      </c>
      <c r="H55" s="29">
        <v>5.93</v>
      </c>
      <c r="I55" s="29">
        <v>7.92</v>
      </c>
      <c r="J55" s="29">
        <v>1.8069999999999999</v>
      </c>
      <c r="K55" s="29">
        <v>42.9</v>
      </c>
      <c r="L55" s="29">
        <v>2.419</v>
      </c>
      <c r="M55" s="29">
        <v>0.219</v>
      </c>
      <c r="N55" s="32">
        <f t="shared" si="5"/>
        <v>11.045662100456621</v>
      </c>
      <c r="O55" s="32">
        <f t="shared" si="6"/>
        <v>27.077625570776256</v>
      </c>
      <c r="P55" s="29">
        <v>17.579999999999998</v>
      </c>
      <c r="Q55" s="29">
        <v>21.61</v>
      </c>
      <c r="R55" s="32">
        <f t="shared" si="7"/>
        <v>0.81351226284127709</v>
      </c>
      <c r="S55" s="29">
        <v>35.630000000000003</v>
      </c>
      <c r="T55" s="29">
        <v>23.69</v>
      </c>
    </row>
    <row r="56" spans="1:20">
      <c r="A56" s="29" t="s">
        <v>95</v>
      </c>
      <c r="B56" s="29">
        <v>20.56</v>
      </c>
      <c r="C56" s="29">
        <v>49.02</v>
      </c>
      <c r="D56" s="29">
        <v>21.54</v>
      </c>
      <c r="E56" s="32">
        <f t="shared" si="4"/>
        <v>2.2757660167130922</v>
      </c>
      <c r="F56" s="29">
        <v>0.22600000000000001</v>
      </c>
      <c r="G56" s="29">
        <v>184.5</v>
      </c>
      <c r="H56" s="29">
        <v>4.16</v>
      </c>
      <c r="I56" s="29">
        <v>7.84</v>
      </c>
      <c r="J56" s="29">
        <v>1.5189999999999999</v>
      </c>
      <c r="K56" s="29">
        <v>28.4</v>
      </c>
      <c r="L56" s="29">
        <v>2.1080000000000001</v>
      </c>
      <c r="M56" s="29">
        <v>0.252</v>
      </c>
      <c r="N56" s="32">
        <f t="shared" si="5"/>
        <v>8.3650793650793656</v>
      </c>
      <c r="O56" s="32">
        <f t="shared" si="6"/>
        <v>16.50793650793651</v>
      </c>
      <c r="P56" s="29">
        <v>21.16</v>
      </c>
      <c r="Q56" s="29">
        <v>20.66</v>
      </c>
      <c r="R56" s="32">
        <f t="shared" si="7"/>
        <v>1.0242013552758955</v>
      </c>
      <c r="S56" s="29">
        <v>26.81</v>
      </c>
      <c r="T56" s="29">
        <v>29.41</v>
      </c>
    </row>
    <row r="57" spans="1:20">
      <c r="A57" s="29" t="s">
        <v>96</v>
      </c>
      <c r="B57" s="29">
        <v>24.18</v>
      </c>
      <c r="C57" s="29">
        <v>55.23</v>
      </c>
      <c r="D57" s="29">
        <v>25.85</v>
      </c>
      <c r="E57" s="32">
        <f t="shared" si="4"/>
        <v>2.1365570599613148</v>
      </c>
      <c r="F57" s="29">
        <v>0.20499999999999999</v>
      </c>
      <c r="G57" s="29">
        <v>181.9</v>
      </c>
      <c r="H57" s="29">
        <v>8.3699999999999992</v>
      </c>
      <c r="I57" s="29">
        <v>7.38</v>
      </c>
      <c r="J57" s="29">
        <v>2.246</v>
      </c>
      <c r="K57" s="29">
        <v>31.8</v>
      </c>
      <c r="L57" s="29">
        <v>1.8089999999999999</v>
      </c>
      <c r="M57" s="29">
        <v>0.22500000000000001</v>
      </c>
      <c r="N57" s="32">
        <f t="shared" si="5"/>
        <v>8.0399999999999991</v>
      </c>
      <c r="O57" s="32">
        <f t="shared" si="6"/>
        <v>37.199999999999996</v>
      </c>
      <c r="P57" s="29">
        <v>20.62</v>
      </c>
      <c r="Q57" s="29">
        <v>23.58</v>
      </c>
      <c r="R57" s="32">
        <f t="shared" si="7"/>
        <v>0.87446988973706541</v>
      </c>
      <c r="S57" s="29">
        <v>31.35</v>
      </c>
      <c r="T57" s="29">
        <v>25.98</v>
      </c>
    </row>
    <row r="58" spans="1:20">
      <c r="A58" s="29" t="s">
        <v>97</v>
      </c>
      <c r="B58" s="29">
        <v>20.84</v>
      </c>
      <c r="C58" s="29">
        <v>44.27</v>
      </c>
      <c r="D58" s="29">
        <v>21.59</v>
      </c>
      <c r="E58" s="32">
        <f t="shared" si="4"/>
        <v>2.0504863362667902</v>
      </c>
      <c r="F58" s="29">
        <v>0.191</v>
      </c>
      <c r="G58" s="29">
        <v>261.7</v>
      </c>
      <c r="H58" s="29">
        <v>6.28</v>
      </c>
      <c r="I58" s="29">
        <v>8.14</v>
      </c>
      <c r="J58" s="29">
        <v>1.661</v>
      </c>
      <c r="K58" s="29">
        <v>42.6</v>
      </c>
      <c r="L58" s="29">
        <v>1.786</v>
      </c>
      <c r="M58" s="29">
        <v>0.22700000000000001</v>
      </c>
      <c r="N58" s="32">
        <f t="shared" si="5"/>
        <v>7.8678414096916303</v>
      </c>
      <c r="O58" s="32">
        <f t="shared" si="6"/>
        <v>27.665198237885463</v>
      </c>
      <c r="P58" s="29">
        <v>19.649999999999999</v>
      </c>
      <c r="Q58" s="29">
        <v>19.32</v>
      </c>
      <c r="R58" s="32">
        <f t="shared" si="7"/>
        <v>1.0170807453416149</v>
      </c>
      <c r="S58" s="29">
        <v>32.96</v>
      </c>
      <c r="T58" s="29">
        <v>25.93</v>
      </c>
    </row>
    <row r="59" spans="1:20">
      <c r="A59" s="29" t="s">
        <v>98</v>
      </c>
      <c r="B59" s="29">
        <v>15.95</v>
      </c>
      <c r="C59" s="29">
        <v>37.159999999999997</v>
      </c>
      <c r="D59" s="29">
        <v>22.95</v>
      </c>
      <c r="E59" s="32">
        <f t="shared" si="4"/>
        <v>1.6191721132897603</v>
      </c>
      <c r="F59" s="29">
        <v>0.214</v>
      </c>
      <c r="G59" s="29">
        <v>206.1</v>
      </c>
      <c r="H59" s="29">
        <v>6.47</v>
      </c>
      <c r="I59" s="29">
        <v>9.5500000000000007</v>
      </c>
      <c r="J59" s="29">
        <v>1.952</v>
      </c>
      <c r="K59" s="29">
        <v>35.700000000000003</v>
      </c>
      <c r="L59" s="29">
        <v>1.7490000000000001</v>
      </c>
      <c r="M59" s="29">
        <v>0.26800000000000002</v>
      </c>
      <c r="N59" s="32">
        <f t="shared" si="5"/>
        <v>6.5261194029850751</v>
      </c>
      <c r="O59" s="32">
        <f t="shared" si="6"/>
        <v>24.141791044776117</v>
      </c>
      <c r="P59" s="29">
        <v>26.36</v>
      </c>
      <c r="Q59" s="29">
        <v>21.04</v>
      </c>
      <c r="R59" s="32">
        <f t="shared" si="7"/>
        <v>1.252851711026616</v>
      </c>
      <c r="S59" s="29">
        <v>37.58</v>
      </c>
      <c r="T59" s="29">
        <v>29.02</v>
      </c>
    </row>
    <row r="60" spans="1:20">
      <c r="A60" s="29" t="s">
        <v>99</v>
      </c>
      <c r="B60" s="29">
        <v>22.48</v>
      </c>
      <c r="C60" s="29">
        <v>58.16</v>
      </c>
      <c r="D60" s="29">
        <v>24.92</v>
      </c>
      <c r="E60" s="32">
        <f t="shared" si="4"/>
        <v>2.3338683788121988</v>
      </c>
      <c r="F60" s="29">
        <v>0.27400000000000002</v>
      </c>
      <c r="G60" s="29">
        <v>215.5</v>
      </c>
      <c r="H60" s="29">
        <v>6.81</v>
      </c>
      <c r="I60" s="29">
        <v>6.45</v>
      </c>
      <c r="J60" s="29">
        <v>1.8959999999999999</v>
      </c>
      <c r="K60" s="29">
        <v>33.799999999999997</v>
      </c>
      <c r="L60" s="29">
        <v>2.016</v>
      </c>
      <c r="M60" s="29">
        <v>0.26900000000000002</v>
      </c>
      <c r="N60" s="32">
        <f t="shared" si="5"/>
        <v>7.4944237918215606</v>
      </c>
      <c r="O60" s="32">
        <f t="shared" si="6"/>
        <v>25.315985130111521</v>
      </c>
      <c r="P60" s="29">
        <v>24.87</v>
      </c>
      <c r="Q60" s="29">
        <v>22.19</v>
      </c>
      <c r="R60" s="32">
        <f t="shared" si="7"/>
        <v>1.1207751239296981</v>
      </c>
      <c r="S60" s="29">
        <v>39.619999999999997</v>
      </c>
      <c r="T60" s="29">
        <v>28.45</v>
      </c>
    </row>
    <row r="61" spans="1:20">
      <c r="A61" s="29" t="s">
        <v>100</v>
      </c>
      <c r="B61" s="29">
        <v>21.42</v>
      </c>
      <c r="C61" s="29">
        <v>48.71</v>
      </c>
      <c r="D61" s="29">
        <v>22.54</v>
      </c>
      <c r="E61" s="32">
        <f t="shared" si="4"/>
        <v>2.1610470275066551</v>
      </c>
      <c r="F61" s="29">
        <v>0.193</v>
      </c>
      <c r="G61" s="29">
        <v>191.8</v>
      </c>
      <c r="H61" s="29">
        <v>4.7300000000000004</v>
      </c>
      <c r="I61" s="29">
        <v>8.18</v>
      </c>
      <c r="J61" s="29">
        <v>1.6120000000000001</v>
      </c>
      <c r="K61" s="29">
        <v>31.3</v>
      </c>
      <c r="L61" s="29">
        <v>2.024</v>
      </c>
      <c r="M61" s="29">
        <v>0.20599999999999999</v>
      </c>
      <c r="N61" s="32">
        <f t="shared" si="5"/>
        <v>9.8252427184466029</v>
      </c>
      <c r="O61" s="32">
        <f t="shared" si="6"/>
        <v>22.961165048543691</v>
      </c>
      <c r="P61" s="29">
        <v>19.75</v>
      </c>
      <c r="Q61" s="29">
        <v>23.73</v>
      </c>
      <c r="R61" s="32">
        <f t="shared" si="7"/>
        <v>0.83227981458069955</v>
      </c>
      <c r="S61" s="29">
        <v>30.52</v>
      </c>
      <c r="T61" s="29">
        <v>26.13</v>
      </c>
    </row>
    <row r="62" spans="1:20">
      <c r="A62" s="29" t="s">
        <v>101</v>
      </c>
      <c r="B62" s="29">
        <v>21.65</v>
      </c>
      <c r="C62" s="29">
        <v>50.35</v>
      </c>
      <c r="D62" s="29">
        <v>22.54</v>
      </c>
      <c r="E62" s="32">
        <f t="shared" si="4"/>
        <v>2.2338065661047031</v>
      </c>
      <c r="F62" s="29">
        <v>0.215</v>
      </c>
      <c r="G62" s="29">
        <v>255.3</v>
      </c>
      <c r="H62" s="29">
        <v>5.69</v>
      </c>
      <c r="I62" s="29">
        <v>6.23</v>
      </c>
      <c r="J62" s="29">
        <v>2.056</v>
      </c>
      <c r="K62" s="29">
        <v>34.700000000000003</v>
      </c>
      <c r="L62" s="29">
        <v>2.1659999999999999</v>
      </c>
      <c r="M62" s="29">
        <v>0.27500000000000002</v>
      </c>
      <c r="N62" s="32">
        <f t="shared" si="5"/>
        <v>7.8763636363636351</v>
      </c>
      <c r="O62" s="32">
        <f t="shared" si="6"/>
        <v>20.690909090909091</v>
      </c>
      <c r="P62" s="29">
        <v>23.79</v>
      </c>
      <c r="Q62" s="29">
        <v>22.05</v>
      </c>
      <c r="R62" s="32">
        <f t="shared" si="7"/>
        <v>1.0789115646258503</v>
      </c>
      <c r="S62" s="29">
        <v>29.41</v>
      </c>
      <c r="T62" s="29">
        <v>27.65</v>
      </c>
    </row>
    <row r="63" spans="1:20">
      <c r="A63" s="29" t="s">
        <v>102</v>
      </c>
      <c r="B63" s="29">
        <v>23.74</v>
      </c>
      <c r="C63" s="29">
        <v>54.03</v>
      </c>
      <c r="D63" s="29">
        <v>25.66</v>
      </c>
      <c r="E63" s="32">
        <f t="shared" si="4"/>
        <v>2.1056118472330474</v>
      </c>
      <c r="F63" s="29">
        <v>0.17199999999999999</v>
      </c>
      <c r="G63" s="29">
        <v>253.1</v>
      </c>
      <c r="H63" s="29">
        <v>4.28</v>
      </c>
      <c r="I63" s="29">
        <v>7.88</v>
      </c>
      <c r="J63" s="29">
        <v>1.522</v>
      </c>
      <c r="K63" s="29">
        <v>45.5</v>
      </c>
      <c r="L63" s="29">
        <v>1.641</v>
      </c>
      <c r="M63" s="29">
        <v>0.22900000000000001</v>
      </c>
      <c r="N63" s="32">
        <f t="shared" si="5"/>
        <v>7.1659388646288207</v>
      </c>
      <c r="O63" s="32">
        <f t="shared" si="6"/>
        <v>18.689956331877731</v>
      </c>
      <c r="P63" s="29">
        <v>20.38</v>
      </c>
      <c r="Q63" s="29">
        <v>23.15</v>
      </c>
      <c r="R63" s="32">
        <f t="shared" si="7"/>
        <v>0.88034557235421163</v>
      </c>
      <c r="S63" s="29">
        <v>30.55</v>
      </c>
      <c r="T63" s="29">
        <v>26.17</v>
      </c>
    </row>
    <row r="64" spans="1:20" s="28" customFormat="1">
      <c r="B64" s="51"/>
      <c r="C64" s="51"/>
      <c r="D64" s="51"/>
      <c r="E64" s="51"/>
      <c r="F64" s="51"/>
      <c r="G64" s="51"/>
      <c r="H64" s="51"/>
      <c r="I64" s="51"/>
      <c r="J64" s="51"/>
      <c r="K64" s="51"/>
      <c r="L64" s="51"/>
      <c r="M64" s="51"/>
      <c r="N64" s="51"/>
      <c r="O64" s="51"/>
      <c r="P64" s="51"/>
      <c r="Q64" s="51"/>
      <c r="R64" s="51"/>
      <c r="S64" s="51"/>
      <c r="T64" s="51"/>
    </row>
    <row r="65" spans="1:20" s="28" customFormat="1">
      <c r="A65" s="28" t="s">
        <v>501</v>
      </c>
      <c r="B65" s="51">
        <f>COUNT(B3:B33)</f>
        <v>30</v>
      </c>
      <c r="C65" s="51">
        <f t="shared" ref="C65:T65" si="8">COUNT(C3:C33)</f>
        <v>30</v>
      </c>
      <c r="D65" s="51">
        <f t="shared" si="8"/>
        <v>30</v>
      </c>
      <c r="E65" s="51">
        <f t="shared" si="8"/>
        <v>30</v>
      </c>
      <c r="F65" s="51">
        <f t="shared" si="8"/>
        <v>30</v>
      </c>
      <c r="G65" s="51">
        <f t="shared" si="8"/>
        <v>30</v>
      </c>
      <c r="H65" s="51">
        <f t="shared" si="8"/>
        <v>30</v>
      </c>
      <c r="I65" s="51">
        <f t="shared" si="8"/>
        <v>30</v>
      </c>
      <c r="J65" s="51">
        <f t="shared" si="8"/>
        <v>30</v>
      </c>
      <c r="K65" s="51">
        <f t="shared" si="8"/>
        <v>30</v>
      </c>
      <c r="L65" s="51">
        <f t="shared" si="8"/>
        <v>30</v>
      </c>
      <c r="M65" s="51">
        <f t="shared" si="8"/>
        <v>30</v>
      </c>
      <c r="N65" s="51">
        <f t="shared" si="8"/>
        <v>30</v>
      </c>
      <c r="O65" s="51">
        <f t="shared" si="8"/>
        <v>30</v>
      </c>
      <c r="P65" s="51">
        <f t="shared" si="8"/>
        <v>30</v>
      </c>
      <c r="Q65" s="51">
        <f t="shared" si="8"/>
        <v>30</v>
      </c>
      <c r="R65" s="51">
        <f t="shared" si="8"/>
        <v>30</v>
      </c>
      <c r="S65" s="51">
        <f t="shared" si="8"/>
        <v>30</v>
      </c>
      <c r="T65" s="51">
        <f t="shared" si="8"/>
        <v>30</v>
      </c>
    </row>
    <row r="66" spans="1:20" s="28" customFormat="1">
      <c r="A66" s="28" t="s">
        <v>502</v>
      </c>
      <c r="B66" s="51">
        <f>COUNT(B35:B63)</f>
        <v>29</v>
      </c>
      <c r="C66" s="51">
        <f t="shared" ref="C66:T66" si="9">COUNT(C35:C63)</f>
        <v>29</v>
      </c>
      <c r="D66" s="51">
        <f t="shared" si="9"/>
        <v>29</v>
      </c>
      <c r="E66" s="51">
        <f t="shared" si="9"/>
        <v>29</v>
      </c>
      <c r="F66" s="51">
        <f t="shared" si="9"/>
        <v>29</v>
      </c>
      <c r="G66" s="51">
        <f t="shared" si="9"/>
        <v>29</v>
      </c>
      <c r="H66" s="51">
        <f t="shared" si="9"/>
        <v>29</v>
      </c>
      <c r="I66" s="51">
        <f t="shared" si="9"/>
        <v>29</v>
      </c>
      <c r="J66" s="51">
        <f t="shared" si="9"/>
        <v>29</v>
      </c>
      <c r="K66" s="51">
        <f t="shared" si="9"/>
        <v>29</v>
      </c>
      <c r="L66" s="51">
        <f t="shared" si="9"/>
        <v>29</v>
      </c>
      <c r="M66" s="51">
        <f t="shared" si="9"/>
        <v>29</v>
      </c>
      <c r="N66" s="51">
        <f t="shared" si="9"/>
        <v>29</v>
      </c>
      <c r="O66" s="51">
        <f t="shared" si="9"/>
        <v>29</v>
      </c>
      <c r="P66" s="51">
        <f t="shared" si="9"/>
        <v>29</v>
      </c>
      <c r="Q66" s="51">
        <f t="shared" si="9"/>
        <v>29</v>
      </c>
      <c r="R66" s="51">
        <f t="shared" si="9"/>
        <v>29</v>
      </c>
      <c r="S66" s="51">
        <f t="shared" si="9"/>
        <v>29</v>
      </c>
      <c r="T66" s="51">
        <f t="shared" si="9"/>
        <v>29</v>
      </c>
    </row>
    <row r="67" spans="1:20" s="28" customFormat="1">
      <c r="B67" s="51"/>
      <c r="C67" s="51"/>
      <c r="D67" s="51"/>
      <c r="E67" s="51"/>
      <c r="F67" s="51"/>
      <c r="G67" s="51"/>
      <c r="H67" s="51"/>
      <c r="I67" s="51"/>
      <c r="J67" s="51"/>
      <c r="L67" s="51"/>
      <c r="M67" s="51"/>
      <c r="N67" s="51"/>
      <c r="O67" s="51"/>
      <c r="P67" s="51"/>
      <c r="Q67" s="51"/>
      <c r="R67" s="51"/>
      <c r="S67" s="51"/>
      <c r="T67" s="51"/>
    </row>
    <row r="68" spans="1:20">
      <c r="A68" s="29" t="s">
        <v>133</v>
      </c>
      <c r="B68" s="32">
        <f t="shared" ref="B68:T68" si="10">AVERAGE(B3:B33)</f>
        <v>19.878999999999994</v>
      </c>
      <c r="C68" s="32">
        <f t="shared" si="10"/>
        <v>47.213333333333331</v>
      </c>
      <c r="D68" s="32">
        <f t="shared" si="10"/>
        <v>24.50033333333333</v>
      </c>
      <c r="E68" s="32">
        <f t="shared" si="10"/>
        <v>1.9415325398317187</v>
      </c>
      <c r="F68" s="32">
        <f t="shared" si="10"/>
        <v>0.2239666666666667</v>
      </c>
      <c r="G68" s="32">
        <f t="shared" si="10"/>
        <v>247.83666666666664</v>
      </c>
      <c r="H68" s="32">
        <f t="shared" si="10"/>
        <v>6.232666666666665</v>
      </c>
      <c r="I68" s="32">
        <f t="shared" si="10"/>
        <v>8.6259999999999994</v>
      </c>
      <c r="J68" s="32">
        <f t="shared" si="10"/>
        <v>1.8882333333333334</v>
      </c>
      <c r="K68" s="32">
        <f t="shared" si="10"/>
        <v>38.700000000000003</v>
      </c>
      <c r="L68" s="32">
        <f t="shared" si="10"/>
        <v>1.8482666666666669</v>
      </c>
      <c r="M68" s="32">
        <f t="shared" si="10"/>
        <v>0.21706666666666669</v>
      </c>
      <c r="N68" s="32">
        <f t="shared" si="10"/>
        <v>8.7249330043987232</v>
      </c>
      <c r="O68" s="32">
        <f t="shared" si="10"/>
        <v>29.479995289238065</v>
      </c>
      <c r="P68" s="32">
        <f t="shared" si="10"/>
        <v>24.07599999999999</v>
      </c>
      <c r="Q68" s="32">
        <f t="shared" si="10"/>
        <v>23.82266666666666</v>
      </c>
      <c r="R68" s="32">
        <f t="shared" si="10"/>
        <v>1.0129917692467876</v>
      </c>
      <c r="S68" s="32">
        <f t="shared" si="10"/>
        <v>32.896333333333338</v>
      </c>
      <c r="T68" s="32">
        <f t="shared" si="10"/>
        <v>26.807333333333329</v>
      </c>
    </row>
    <row r="69" spans="1:20" s="30" customFormat="1">
      <c r="A69" s="30" t="s">
        <v>134</v>
      </c>
      <c r="B69" s="35">
        <f t="shared" ref="B69:T69" si="11">AVERAGE(B35:B63)</f>
        <v>21.004137931034478</v>
      </c>
      <c r="C69" s="35">
        <f t="shared" si="11"/>
        <v>49.691034482758624</v>
      </c>
      <c r="D69" s="35">
        <f t="shared" si="11"/>
        <v>23.55827586206896</v>
      </c>
      <c r="E69" s="35">
        <f t="shared" si="11"/>
        <v>2.1161147842330115</v>
      </c>
      <c r="F69" s="35">
        <f t="shared" si="11"/>
        <v>0.21531034482758618</v>
      </c>
      <c r="G69" s="35">
        <f t="shared" si="11"/>
        <v>233.26896551724138</v>
      </c>
      <c r="H69" s="35">
        <f t="shared" si="11"/>
        <v>5.8834482758620679</v>
      </c>
      <c r="I69" s="35">
        <f t="shared" si="11"/>
        <v>8.2341379310344802</v>
      </c>
      <c r="J69" s="35">
        <f t="shared" si="11"/>
        <v>1.7250344827586208</v>
      </c>
      <c r="K69" s="35">
        <f t="shared" si="11"/>
        <v>37.403448275862061</v>
      </c>
      <c r="L69" s="35">
        <f t="shared" si="11"/>
        <v>1.8996896551724136</v>
      </c>
      <c r="M69" s="35">
        <f t="shared" si="11"/>
        <v>0.21765517241379315</v>
      </c>
      <c r="N69" s="35">
        <f t="shared" si="11"/>
        <v>8.8628540907234985</v>
      </c>
      <c r="O69" s="35">
        <f t="shared" si="11"/>
        <v>27.560990383777156</v>
      </c>
      <c r="P69" s="35">
        <f t="shared" si="11"/>
        <v>22.293103448275861</v>
      </c>
      <c r="Q69" s="35">
        <f t="shared" si="11"/>
        <v>22.578275862068971</v>
      </c>
      <c r="R69" s="35">
        <f t="shared" si="11"/>
        <v>1.001628338709885</v>
      </c>
      <c r="S69" s="35">
        <f t="shared" si="11"/>
        <v>33.536896551724134</v>
      </c>
      <c r="T69" s="35">
        <f t="shared" si="11"/>
        <v>27.081724137931026</v>
      </c>
    </row>
    <row r="70" spans="1:20" s="30" customFormat="1">
      <c r="A70" s="30" t="s">
        <v>465</v>
      </c>
      <c r="B70" s="35">
        <f>STDEV(B3:B33)</f>
        <v>2.5612636294045692</v>
      </c>
      <c r="C70" s="35">
        <f t="shared" ref="C70:T70" si="12">STDEV(C3:C33)</f>
        <v>5.3709103661223292</v>
      </c>
      <c r="D70" s="35">
        <f t="shared" si="12"/>
        <v>2.6590437525849699</v>
      </c>
      <c r="E70" s="35">
        <f t="shared" si="12"/>
        <v>0.24730368708738962</v>
      </c>
      <c r="F70" s="35">
        <f t="shared" si="12"/>
        <v>3.4852876330451303E-2</v>
      </c>
      <c r="G70" s="35">
        <f t="shared" si="12"/>
        <v>23.131699153912717</v>
      </c>
      <c r="H70" s="35">
        <f t="shared" si="12"/>
        <v>0.98372246343034719</v>
      </c>
      <c r="I70" s="35">
        <f t="shared" si="12"/>
        <v>0.97864297318559768</v>
      </c>
      <c r="J70" s="35">
        <f t="shared" si="12"/>
        <v>0.22494346927131656</v>
      </c>
      <c r="K70" s="35">
        <f t="shared" si="12"/>
        <v>5.0568492302946249</v>
      </c>
      <c r="L70" s="35">
        <f t="shared" si="12"/>
        <v>0.32090775700463364</v>
      </c>
      <c r="M70" s="35">
        <f t="shared" si="12"/>
        <v>3.8906548809035733E-2</v>
      </c>
      <c r="N70" s="35">
        <f t="shared" si="12"/>
        <v>2.0773896291797493</v>
      </c>
      <c r="O70" s="35">
        <f t="shared" si="12"/>
        <v>6.2090089915111131</v>
      </c>
      <c r="P70" s="35">
        <f t="shared" si="12"/>
        <v>2.7824618223982815</v>
      </c>
      <c r="Q70" s="35">
        <f t="shared" si="12"/>
        <v>1.8820841956565681</v>
      </c>
      <c r="R70" s="35">
        <f t="shared" si="12"/>
        <v>0.10968119361417934</v>
      </c>
      <c r="S70" s="35">
        <f t="shared" si="12"/>
        <v>6.282774745743076</v>
      </c>
      <c r="T70" s="35">
        <f t="shared" si="12"/>
        <v>4.273520662237968</v>
      </c>
    </row>
    <row r="71" spans="1:20" s="30" customFormat="1">
      <c r="A71" s="30" t="s">
        <v>491</v>
      </c>
      <c r="B71" s="35">
        <f>STDEV(B35:B63)</f>
        <v>2.7173851891128651</v>
      </c>
      <c r="C71" s="35">
        <f t="shared" ref="C71:T71" si="13">STDEV(C35:C63)</f>
        <v>5.5708952504624376</v>
      </c>
      <c r="D71" s="35">
        <f t="shared" si="13"/>
        <v>2.0993656677426529</v>
      </c>
      <c r="E71" s="35">
        <f t="shared" si="13"/>
        <v>0.22757155223172404</v>
      </c>
      <c r="F71" s="35">
        <f t="shared" si="13"/>
        <v>2.9021055716097938E-2</v>
      </c>
      <c r="G71" s="35">
        <f t="shared" si="13"/>
        <v>28.098005819532588</v>
      </c>
      <c r="H71" s="35">
        <f t="shared" si="13"/>
        <v>1.0555170563082548</v>
      </c>
      <c r="I71" s="35">
        <f t="shared" si="13"/>
        <v>1.154632029329147</v>
      </c>
      <c r="J71" s="35">
        <f t="shared" si="13"/>
        <v>0.24178628147876777</v>
      </c>
      <c r="K71" s="35">
        <f t="shared" si="13"/>
        <v>6.4199734511367925</v>
      </c>
      <c r="L71" s="35">
        <f t="shared" si="13"/>
        <v>0.34013160304382817</v>
      </c>
      <c r="M71" s="35">
        <f t="shared" si="13"/>
        <v>3.059910813600953E-2</v>
      </c>
      <c r="N71" s="35">
        <f t="shared" si="13"/>
        <v>1.8265099279873109</v>
      </c>
      <c r="O71" s="35">
        <f t="shared" si="13"/>
        <v>6.1053577062141322</v>
      </c>
      <c r="P71" s="35">
        <f t="shared" si="13"/>
        <v>2.464553137485114</v>
      </c>
      <c r="Q71" s="35">
        <f t="shared" si="13"/>
        <v>1.943617887500225</v>
      </c>
      <c r="R71" s="35">
        <f t="shared" si="13"/>
        <v>0.10879670996955501</v>
      </c>
      <c r="S71" s="35">
        <f t="shared" si="13"/>
        <v>4.7419760072360191</v>
      </c>
      <c r="T71" s="35">
        <f t="shared" si="13"/>
        <v>4.0864428025271415</v>
      </c>
    </row>
    <row r="72" spans="1:20" s="30" customFormat="1">
      <c r="B72" s="35"/>
      <c r="C72" s="35"/>
      <c r="D72" s="35"/>
      <c r="E72" s="35"/>
      <c r="F72" s="35"/>
      <c r="G72" s="35"/>
      <c r="H72" s="35"/>
      <c r="I72" s="35"/>
      <c r="J72" s="35"/>
      <c r="K72" s="35"/>
      <c r="L72" s="35"/>
      <c r="M72" s="35"/>
      <c r="N72" s="35"/>
      <c r="O72" s="35"/>
      <c r="P72" s="35"/>
      <c r="Q72" s="35"/>
      <c r="R72" s="35"/>
      <c r="S72" s="35"/>
      <c r="T72" s="35"/>
    </row>
    <row r="73" spans="1:20" s="30" customFormat="1">
      <c r="A73" s="30" t="s">
        <v>20</v>
      </c>
      <c r="B73" s="104">
        <f t="shared" ref="B73:T73" si="14">TTEST(B3:B33,B35:B63,2,3)</f>
        <v>0.10751218873545651</v>
      </c>
      <c r="C73" s="35">
        <f t="shared" si="14"/>
        <v>8.7590609138248635E-2</v>
      </c>
      <c r="D73" s="35">
        <f t="shared" si="14"/>
        <v>0.13601065370602547</v>
      </c>
      <c r="E73" s="115">
        <f t="shared" si="14"/>
        <v>6.5452243441325572E-3</v>
      </c>
      <c r="F73" s="35">
        <f t="shared" si="14"/>
        <v>0.30370278023761177</v>
      </c>
      <c r="G73" s="104">
        <f t="shared" si="14"/>
        <v>3.4391335428594995E-2</v>
      </c>
      <c r="H73" s="35">
        <f t="shared" si="14"/>
        <v>0.19429952666720759</v>
      </c>
      <c r="I73" s="35">
        <f t="shared" si="14"/>
        <v>0.16594825692658016</v>
      </c>
      <c r="J73" s="115">
        <f t="shared" si="14"/>
        <v>9.5828710089772649E-3</v>
      </c>
      <c r="K73" s="35">
        <f t="shared" si="14"/>
        <v>0.39372360842349874</v>
      </c>
      <c r="L73" s="35">
        <f t="shared" si="14"/>
        <v>0.55296280262514275</v>
      </c>
      <c r="M73" s="35">
        <f t="shared" si="14"/>
        <v>0.94865095412572042</v>
      </c>
      <c r="N73" s="35">
        <f t="shared" si="14"/>
        <v>0.78732940364697446</v>
      </c>
      <c r="O73" s="35">
        <f t="shared" si="14"/>
        <v>0.23628407089278458</v>
      </c>
      <c r="P73" s="115">
        <f t="shared" si="14"/>
        <v>1.1641465324310254E-2</v>
      </c>
      <c r="Q73" s="104">
        <f t="shared" si="14"/>
        <v>1.5447935934987743E-2</v>
      </c>
      <c r="R73" s="35">
        <f t="shared" si="14"/>
        <v>0.69103572619557474</v>
      </c>
      <c r="S73" s="35">
        <f t="shared" si="14"/>
        <v>0.65956594208431141</v>
      </c>
      <c r="T73" s="35">
        <f t="shared" si="14"/>
        <v>0.80186535038798756</v>
      </c>
    </row>
    <row r="74" spans="1:20" s="30" customFormat="1">
      <c r="A74" s="30" t="s">
        <v>21</v>
      </c>
      <c r="B74" s="34">
        <f>-(B69-B68)/B69</f>
        <v>-5.3567441555030265E-2</v>
      </c>
      <c r="C74" s="34">
        <f t="shared" ref="C74:T74" si="15">-(C69-C68)/C69</f>
        <v>-4.986213660504462E-2</v>
      </c>
      <c r="D74" s="34">
        <f t="shared" si="15"/>
        <v>3.9988387808174493E-2</v>
      </c>
      <c r="E74" s="34">
        <f t="shared" si="15"/>
        <v>-8.2501311224745466E-2</v>
      </c>
      <c r="F74" s="34">
        <f t="shared" si="15"/>
        <v>4.0203929105274691E-2</v>
      </c>
      <c r="G74" s="34">
        <f t="shared" si="15"/>
        <v>6.2450232576474182E-2</v>
      </c>
      <c r="H74" s="34">
        <f t="shared" si="15"/>
        <v>5.9356073926464185E-2</v>
      </c>
      <c r="I74" s="34">
        <f t="shared" si="15"/>
        <v>4.7589932576741323E-2</v>
      </c>
      <c r="J74" s="34">
        <f t="shared" si="15"/>
        <v>9.4606138141499735E-2</v>
      </c>
      <c r="K74" s="34">
        <f t="shared" si="15"/>
        <v>3.4663962385913447E-2</v>
      </c>
      <c r="L74" s="34">
        <f t="shared" si="15"/>
        <v>-2.7069152251123659E-2</v>
      </c>
      <c r="M74" s="34">
        <f t="shared" si="15"/>
        <v>-2.7038445289396967E-3</v>
      </c>
      <c r="N74" s="34">
        <f t="shared" si="15"/>
        <v>-1.5561701108126493E-2</v>
      </c>
      <c r="O74" s="34">
        <f t="shared" si="15"/>
        <v>6.9627574290308025E-2</v>
      </c>
      <c r="P74" s="34">
        <f t="shared" si="15"/>
        <v>7.997525135344119E-2</v>
      </c>
      <c r="Q74" s="34">
        <f t="shared" si="15"/>
        <v>5.5114518584133319E-2</v>
      </c>
      <c r="R74" s="34">
        <f t="shared" si="15"/>
        <v>1.1344957104088015E-2</v>
      </c>
      <c r="S74" s="34">
        <f t="shared" si="15"/>
        <v>-1.9100253280826131E-2</v>
      </c>
      <c r="T74" s="34">
        <f t="shared" si="15"/>
        <v>-1.013195478988658E-2</v>
      </c>
    </row>
    <row r="75" spans="1:20" s="28" customFormat="1"/>
    <row r="76" spans="1:20" s="30" customFormat="1">
      <c r="A76" s="30" t="s">
        <v>103</v>
      </c>
      <c r="B76" s="30">
        <v>23.17</v>
      </c>
      <c r="C76" s="30">
        <v>52.18</v>
      </c>
      <c r="D76" s="30">
        <v>25.65</v>
      </c>
      <c r="E76" s="35">
        <f>C76/D76</f>
        <v>2.034307992202729</v>
      </c>
      <c r="F76" s="30">
        <v>0.17899999999999999</v>
      </c>
      <c r="G76" s="30">
        <v>212.9</v>
      </c>
      <c r="H76" s="30">
        <v>7.17</v>
      </c>
      <c r="I76" s="30">
        <v>11.87</v>
      </c>
      <c r="J76" s="30">
        <v>2.1070000000000002</v>
      </c>
      <c r="K76" s="30">
        <v>41.7</v>
      </c>
      <c r="L76" s="30">
        <v>2.2429999999999999</v>
      </c>
      <c r="M76" s="30">
        <v>0.25900000000000001</v>
      </c>
      <c r="N76" s="35">
        <f>L76/M76</f>
        <v>8.6602316602316591</v>
      </c>
      <c r="O76" s="35">
        <f>H76/M76</f>
        <v>27.683397683397683</v>
      </c>
      <c r="P76" s="30">
        <v>21.79</v>
      </c>
      <c r="Q76" s="30">
        <v>22.14</v>
      </c>
      <c r="R76" s="35">
        <f>P76/Q76</f>
        <v>0.98419150858175242</v>
      </c>
      <c r="S76" s="30">
        <v>28.66</v>
      </c>
      <c r="T76" s="30">
        <v>28.51</v>
      </c>
    </row>
    <row r="77" spans="1:20" s="30" customFormat="1">
      <c r="A77" s="30" t="s">
        <v>121</v>
      </c>
      <c r="B77" s="30">
        <v>22.76</v>
      </c>
      <c r="C77" s="30">
        <v>47.08</v>
      </c>
      <c r="D77" s="30">
        <v>22.71</v>
      </c>
      <c r="E77" s="35">
        <f>C77/D77</f>
        <v>2.073095552619991</v>
      </c>
      <c r="F77" s="30">
        <v>0.20399999999999999</v>
      </c>
      <c r="G77" s="30">
        <v>221.6</v>
      </c>
      <c r="H77" s="30">
        <v>6.49</v>
      </c>
      <c r="I77" s="30">
        <v>9.0500000000000007</v>
      </c>
      <c r="J77" s="30">
        <v>1.952</v>
      </c>
      <c r="K77" s="30">
        <v>41.9</v>
      </c>
      <c r="L77" s="30">
        <v>1.9159999999999999</v>
      </c>
      <c r="M77" s="30">
        <v>0.247</v>
      </c>
      <c r="N77" s="35">
        <f>L77/M77</f>
        <v>7.7570850202429149</v>
      </c>
      <c r="O77" s="35">
        <f>H77/M77</f>
        <v>26.275303643724698</v>
      </c>
      <c r="P77" s="30">
        <v>27.13</v>
      </c>
      <c r="Q77" s="30">
        <v>25.44</v>
      </c>
      <c r="R77" s="35">
        <f>P77/Q77</f>
        <v>1.0664308176100628</v>
      </c>
      <c r="S77" s="30">
        <v>31.16</v>
      </c>
      <c r="T77" s="30">
        <v>24.84</v>
      </c>
    </row>
    <row r="78" spans="1:20" s="30" customFormat="1"/>
    <row r="79" spans="1:20" s="30" customFormat="1">
      <c r="A79" s="30" t="s">
        <v>104</v>
      </c>
      <c r="B79" s="30">
        <v>20.41</v>
      </c>
      <c r="C79" s="30">
        <v>42.51</v>
      </c>
      <c r="D79" s="30">
        <v>22.79</v>
      </c>
      <c r="E79" s="35">
        <f>C79/D79</f>
        <v>1.8652917946467749</v>
      </c>
      <c r="F79" s="30">
        <v>0.20499999999999999</v>
      </c>
      <c r="G79" s="30">
        <v>276.2</v>
      </c>
      <c r="H79" s="30">
        <v>6.03</v>
      </c>
      <c r="I79" s="30">
        <v>8.0399999999999991</v>
      </c>
      <c r="J79" s="30">
        <v>1.8440000000000001</v>
      </c>
      <c r="K79" s="30">
        <v>59.6</v>
      </c>
      <c r="L79" s="30">
        <v>2.2530000000000001</v>
      </c>
      <c r="M79" s="30">
        <v>0.28599999999999998</v>
      </c>
      <c r="N79" s="35">
        <f>L79/M79</f>
        <v>7.8776223776223784</v>
      </c>
      <c r="O79" s="35">
        <f>H79/M79</f>
        <v>21.083916083916087</v>
      </c>
      <c r="P79" s="30">
        <v>21.65</v>
      </c>
      <c r="Q79" s="30">
        <v>22.12</v>
      </c>
      <c r="R79" s="35">
        <f>P79/Q79</f>
        <v>0.97875226039782992</v>
      </c>
      <c r="S79" s="30">
        <v>31.54</v>
      </c>
      <c r="T79" s="30">
        <v>23.18</v>
      </c>
    </row>
    <row r="80" spans="1:20">
      <c r="A80" s="30" t="s">
        <v>55</v>
      </c>
      <c r="B80" s="29">
        <v>19.53</v>
      </c>
      <c r="C80" s="29">
        <v>45.39</v>
      </c>
      <c r="D80" s="29">
        <v>24.62</v>
      </c>
      <c r="E80" s="32">
        <f>C80/D80</f>
        <v>1.8436230706742485</v>
      </c>
      <c r="F80" s="29">
        <v>0.22500000000000001</v>
      </c>
      <c r="G80" s="29">
        <v>283.2</v>
      </c>
      <c r="H80" s="29">
        <v>6.44</v>
      </c>
      <c r="I80" s="29">
        <v>9.8699999999999992</v>
      </c>
      <c r="J80" s="29">
        <v>1.911</v>
      </c>
      <c r="K80" s="29">
        <v>48.5</v>
      </c>
      <c r="L80" s="29">
        <v>1.9950000000000001</v>
      </c>
      <c r="M80" s="29">
        <v>0.252</v>
      </c>
      <c r="N80" s="32">
        <f>L80/M80</f>
        <v>7.916666666666667</v>
      </c>
      <c r="O80" s="32">
        <f>H80/M80</f>
        <v>25.555555555555557</v>
      </c>
      <c r="P80" s="29">
        <v>24.08</v>
      </c>
      <c r="Q80" s="29">
        <v>23.65</v>
      </c>
      <c r="R80" s="32">
        <f>P80/Q80</f>
        <v>1.0181818181818181</v>
      </c>
      <c r="S80" s="29">
        <v>35.18</v>
      </c>
      <c r="T80" s="29">
        <v>22.14</v>
      </c>
    </row>
    <row r="82" spans="1:20">
      <c r="A82" s="29" t="s">
        <v>106</v>
      </c>
      <c r="B82" s="29">
        <v>16.97</v>
      </c>
      <c r="C82" s="29">
        <v>38.65</v>
      </c>
      <c r="D82" s="29">
        <v>21.94</v>
      </c>
      <c r="E82" s="32">
        <f>C82/D82</f>
        <v>1.7616226071103007</v>
      </c>
      <c r="F82" s="29">
        <v>0.219</v>
      </c>
      <c r="G82" s="29">
        <v>244.8</v>
      </c>
      <c r="H82" s="29">
        <v>6.04</v>
      </c>
      <c r="I82" s="29">
        <v>10.32</v>
      </c>
      <c r="J82" s="29">
        <v>1.9510000000000001</v>
      </c>
      <c r="K82" s="29">
        <v>43.7</v>
      </c>
      <c r="L82" s="29">
        <v>1.607</v>
      </c>
      <c r="M82" s="29">
        <v>0.216</v>
      </c>
      <c r="N82" s="32">
        <f>L82/M82</f>
        <v>7.4398148148148149</v>
      </c>
      <c r="O82" s="32">
        <f>H82/M82</f>
        <v>27.962962962962962</v>
      </c>
      <c r="P82" s="29">
        <v>25.41</v>
      </c>
      <c r="Q82" s="29">
        <v>22.96</v>
      </c>
      <c r="R82" s="32">
        <f>P82/Q82</f>
        <v>1.1067073170731707</v>
      </c>
      <c r="S82" s="29">
        <v>46.14</v>
      </c>
      <c r="T82" s="29">
        <v>34.85</v>
      </c>
    </row>
    <row r="83" spans="1:20">
      <c r="A83" s="29" t="s">
        <v>123</v>
      </c>
      <c r="B83" s="29">
        <v>17.21</v>
      </c>
      <c r="C83" s="29">
        <v>49.03</v>
      </c>
      <c r="D83" s="29">
        <v>28.71</v>
      </c>
      <c r="E83" s="32">
        <f>C83/D83</f>
        <v>1.7077673284569836</v>
      </c>
      <c r="F83" s="29">
        <v>0.28699999999999998</v>
      </c>
      <c r="G83" s="29">
        <v>253.2</v>
      </c>
      <c r="H83" s="29">
        <v>4.8899999999999997</v>
      </c>
      <c r="I83" s="29">
        <v>10.86</v>
      </c>
      <c r="J83" s="29">
        <v>1.542</v>
      </c>
      <c r="K83" s="29">
        <v>31.9</v>
      </c>
      <c r="L83" s="29">
        <v>1.532</v>
      </c>
      <c r="M83" s="29">
        <v>0.21199999999999999</v>
      </c>
      <c r="N83" s="32">
        <f>L83/M83</f>
        <v>7.2264150943396226</v>
      </c>
      <c r="O83" s="32">
        <f>H83/M83</f>
        <v>23.066037735849054</v>
      </c>
      <c r="P83" s="29">
        <v>22.08</v>
      </c>
      <c r="Q83" s="29">
        <v>20.53</v>
      </c>
      <c r="R83" s="32">
        <f>P83/Q83</f>
        <v>1.0754992693619092</v>
      </c>
      <c r="S83" s="29">
        <v>45.17</v>
      </c>
      <c r="T83" s="29">
        <v>37.31</v>
      </c>
    </row>
    <row r="84" spans="1:20">
      <c r="A84" s="29" t="s">
        <v>59</v>
      </c>
      <c r="B84" s="29">
        <v>19.22</v>
      </c>
      <c r="C84" s="29">
        <v>47.09</v>
      </c>
      <c r="D84" s="29">
        <v>22.71</v>
      </c>
      <c r="E84" s="32">
        <f>C84/D84</f>
        <v>2.0735358872743284</v>
      </c>
      <c r="F84" s="29">
        <v>0.224</v>
      </c>
      <c r="G84" s="29">
        <v>265.2</v>
      </c>
      <c r="H84" s="29">
        <v>4.78</v>
      </c>
      <c r="I84" s="29">
        <v>9.1199999999999992</v>
      </c>
      <c r="J84" s="29">
        <v>1.639</v>
      </c>
      <c r="K84" s="29">
        <v>35.700000000000003</v>
      </c>
      <c r="L84" s="29">
        <v>1.4890000000000001</v>
      </c>
      <c r="M84" s="29">
        <v>0.19700000000000001</v>
      </c>
      <c r="N84" s="32">
        <f>L84/M84</f>
        <v>7.5583756345177671</v>
      </c>
      <c r="O84" s="32">
        <f>H84/M84</f>
        <v>24.263959390862944</v>
      </c>
      <c r="P84" s="29">
        <v>23.65</v>
      </c>
      <c r="Q84" s="29">
        <v>22.68</v>
      </c>
      <c r="R84" s="32">
        <f>P84/Q84</f>
        <v>1.042768959435626</v>
      </c>
      <c r="S84" s="29">
        <v>42.77</v>
      </c>
      <c r="T84" s="29">
        <v>33.56</v>
      </c>
    </row>
    <row r="86" spans="1:20">
      <c r="A86" s="29" t="s">
        <v>107</v>
      </c>
      <c r="B86" s="29">
        <v>16.09</v>
      </c>
      <c r="C86" s="29">
        <v>40.26</v>
      </c>
      <c r="D86" s="29">
        <v>25.17</v>
      </c>
      <c r="E86" s="32">
        <f>C86/D86</f>
        <v>1.5995232419547079</v>
      </c>
      <c r="F86" s="29">
        <v>0.254</v>
      </c>
      <c r="G86" s="29">
        <v>251.9</v>
      </c>
      <c r="H86" s="29">
        <v>5.85</v>
      </c>
      <c r="I86" s="29">
        <v>7.69</v>
      </c>
      <c r="J86" s="29">
        <v>1.843</v>
      </c>
      <c r="K86" s="29">
        <v>48.1</v>
      </c>
      <c r="L86" s="29">
        <v>1.831</v>
      </c>
      <c r="M86" s="29">
        <v>0.221</v>
      </c>
      <c r="N86" s="32">
        <f>L86/M86</f>
        <v>8.2850678733031664</v>
      </c>
      <c r="O86" s="32">
        <f>H86/M86</f>
        <v>26.470588235294116</v>
      </c>
      <c r="P86" s="29">
        <v>20.82</v>
      </c>
      <c r="Q86" s="29">
        <v>21.39</v>
      </c>
      <c r="R86" s="32">
        <f>P86/Q86</f>
        <v>0.97335203366058909</v>
      </c>
      <c r="S86" s="29">
        <v>35.93</v>
      </c>
      <c r="T86" s="29">
        <v>22.59</v>
      </c>
    </row>
    <row r="87" spans="1:20">
      <c r="A87" s="29" t="s">
        <v>124</v>
      </c>
      <c r="B87" s="29">
        <v>15.66</v>
      </c>
      <c r="C87" s="29">
        <v>41.29</v>
      </c>
      <c r="D87" s="29">
        <v>26.19</v>
      </c>
      <c r="E87" s="32">
        <f>C87/D87</f>
        <v>1.5765559373806795</v>
      </c>
      <c r="F87" s="29">
        <v>0.23799999999999999</v>
      </c>
      <c r="G87" s="29">
        <v>246.4</v>
      </c>
      <c r="H87" s="29">
        <v>5.92</v>
      </c>
      <c r="I87" s="29">
        <v>8.66</v>
      </c>
      <c r="J87" s="29">
        <v>2.2610000000000001</v>
      </c>
      <c r="K87" s="29">
        <v>35.1</v>
      </c>
      <c r="L87" s="29">
        <v>1.7909999999999999</v>
      </c>
      <c r="M87" s="29">
        <v>0.19400000000000001</v>
      </c>
      <c r="N87" s="32">
        <f>L87/M87</f>
        <v>9.2319587628865971</v>
      </c>
      <c r="O87" s="32">
        <f>H87/M87</f>
        <v>30.515463917525771</v>
      </c>
      <c r="P87" s="29">
        <v>21.78</v>
      </c>
      <c r="Q87" s="29">
        <v>22.95</v>
      </c>
      <c r="R87" s="32">
        <f>P87/Q87</f>
        <v>0.94901960784313732</v>
      </c>
      <c r="S87" s="29">
        <v>35.28</v>
      </c>
      <c r="T87" s="29">
        <v>22.78</v>
      </c>
    </row>
    <row r="88" spans="1:20">
      <c r="A88" s="29" t="s">
        <v>122</v>
      </c>
      <c r="B88" s="29">
        <v>19.63</v>
      </c>
      <c r="C88" s="29">
        <v>42.58</v>
      </c>
      <c r="D88" s="29">
        <v>23.77</v>
      </c>
      <c r="E88" s="32">
        <f>C88/D88</f>
        <v>1.7913336137989062</v>
      </c>
      <c r="F88" s="29">
        <v>0.24099999999999999</v>
      </c>
      <c r="G88" s="29">
        <v>255.6</v>
      </c>
      <c r="H88" s="29">
        <v>5.23</v>
      </c>
      <c r="I88" s="29">
        <v>9.3699999999999992</v>
      </c>
      <c r="J88" s="29">
        <v>1.714</v>
      </c>
      <c r="K88" s="29">
        <v>39.6</v>
      </c>
      <c r="L88" s="29">
        <v>1.855</v>
      </c>
      <c r="M88" s="29">
        <v>0.24099999999999999</v>
      </c>
      <c r="N88" s="32">
        <f>L88/M88</f>
        <v>7.6970954356846475</v>
      </c>
      <c r="O88" s="32">
        <f>H88/M88</f>
        <v>21.701244813278009</v>
      </c>
      <c r="P88" s="29">
        <v>21.55</v>
      </c>
      <c r="Q88" s="29">
        <v>19.78</v>
      </c>
      <c r="R88" s="32">
        <f>P88/Q88</f>
        <v>1.0894843276036401</v>
      </c>
      <c r="S88" s="29">
        <v>25.92</v>
      </c>
      <c r="T88" s="29">
        <v>31.66</v>
      </c>
    </row>
    <row r="90" spans="1:20">
      <c r="A90" s="29" t="s">
        <v>125</v>
      </c>
      <c r="B90" s="29">
        <v>24.87</v>
      </c>
      <c r="C90" s="29">
        <v>43.81</v>
      </c>
      <c r="D90" s="29">
        <v>22.09</v>
      </c>
      <c r="E90" s="32">
        <f>C90/D90</f>
        <v>1.9832503395201451</v>
      </c>
      <c r="F90" s="29">
        <v>0.18099999999999999</v>
      </c>
      <c r="G90" s="29">
        <v>245.3</v>
      </c>
      <c r="H90" s="29">
        <v>7.12</v>
      </c>
      <c r="I90" s="29">
        <v>9.9499999999999993</v>
      </c>
      <c r="J90" s="29">
        <v>1.952</v>
      </c>
      <c r="K90" s="29">
        <v>45.3</v>
      </c>
      <c r="L90" s="29">
        <v>2.6150000000000002</v>
      </c>
      <c r="M90" s="29">
        <v>0.26800000000000002</v>
      </c>
      <c r="N90" s="32">
        <f>L90/M90</f>
        <v>9.7574626865671643</v>
      </c>
      <c r="O90" s="32">
        <f>H90/M90</f>
        <v>26.567164179104477</v>
      </c>
      <c r="P90" s="29">
        <v>23.54</v>
      </c>
      <c r="Q90" s="29">
        <v>22.48</v>
      </c>
      <c r="R90" s="32">
        <f>P90/Q90</f>
        <v>1.0471530249110319</v>
      </c>
      <c r="S90" s="29">
        <v>38.119999999999997</v>
      </c>
      <c r="T90" s="29">
        <v>26.76</v>
      </c>
    </row>
    <row r="91" spans="1:20">
      <c r="A91" s="29" t="s">
        <v>93</v>
      </c>
      <c r="B91" s="29">
        <v>19.440000000000001</v>
      </c>
      <c r="C91" s="29">
        <v>42.09</v>
      </c>
      <c r="D91" s="29">
        <v>23.19</v>
      </c>
      <c r="E91" s="32">
        <f>C91/D91</f>
        <v>1.815006468305304</v>
      </c>
      <c r="F91" s="29">
        <v>0.22500000000000001</v>
      </c>
      <c r="G91" s="29">
        <v>256.39999999999998</v>
      </c>
      <c r="H91" s="29">
        <v>6.45</v>
      </c>
      <c r="I91" s="29">
        <v>11.06</v>
      </c>
      <c r="J91" s="29">
        <v>1.8580000000000001</v>
      </c>
      <c r="K91" s="29">
        <v>41.8</v>
      </c>
      <c r="L91" s="29">
        <v>2.0630000000000002</v>
      </c>
      <c r="M91" s="29">
        <v>0.16700000000000001</v>
      </c>
      <c r="N91" s="32">
        <f>L91/M91</f>
        <v>12.353293413173652</v>
      </c>
      <c r="O91" s="32">
        <f>H91/M91</f>
        <v>38.622754491017965</v>
      </c>
      <c r="P91" s="29">
        <v>22.03</v>
      </c>
      <c r="Q91" s="29">
        <v>24.91</v>
      </c>
      <c r="R91" s="32">
        <f>P91/Q91</f>
        <v>0.88438378161380971</v>
      </c>
      <c r="S91" s="29">
        <v>32.78</v>
      </c>
      <c r="T91" s="29">
        <v>23.18</v>
      </c>
    </row>
    <row r="92" spans="1:20">
      <c r="E92" s="32"/>
      <c r="N92" s="32"/>
      <c r="O92" s="32"/>
      <c r="R92" s="32"/>
    </row>
    <row r="93" spans="1:20">
      <c r="A93" s="29" t="s">
        <v>110</v>
      </c>
      <c r="B93" s="29">
        <v>18.260000000000002</v>
      </c>
      <c r="C93" s="29">
        <v>41.12</v>
      </c>
      <c r="D93" s="29">
        <v>20.65</v>
      </c>
      <c r="E93" s="32">
        <f>C93/D93</f>
        <v>1.9912832929782083</v>
      </c>
      <c r="F93" s="29">
        <v>0.20300000000000001</v>
      </c>
      <c r="G93" s="29">
        <v>232.7</v>
      </c>
      <c r="H93" s="29">
        <v>5.0599999999999996</v>
      </c>
      <c r="I93" s="29">
        <v>7.43</v>
      </c>
      <c r="J93" s="29">
        <v>1.538</v>
      </c>
      <c r="K93" s="29">
        <v>34.200000000000003</v>
      </c>
      <c r="L93" s="29">
        <v>1.698</v>
      </c>
      <c r="M93" s="29">
        <v>0.193</v>
      </c>
      <c r="N93" s="32">
        <f>L93/M93</f>
        <v>8.7979274611398957</v>
      </c>
      <c r="O93" s="32">
        <f>H93/M93</f>
        <v>26.217616580310878</v>
      </c>
      <c r="P93" s="29">
        <v>18.440000000000001</v>
      </c>
      <c r="Q93" s="29">
        <v>19.59</v>
      </c>
      <c r="R93" s="32">
        <f>P93/Q93</f>
        <v>0.94129657988769788</v>
      </c>
      <c r="S93" s="29">
        <v>29.37</v>
      </c>
      <c r="T93" s="29">
        <v>24.53</v>
      </c>
    </row>
    <row r="94" spans="1:20">
      <c r="A94" s="29" t="s">
        <v>97</v>
      </c>
      <c r="B94" s="29">
        <v>20.84</v>
      </c>
      <c r="C94" s="29">
        <v>44.27</v>
      </c>
      <c r="D94" s="29">
        <v>21.59</v>
      </c>
      <c r="E94" s="32">
        <f>C94/D94</f>
        <v>2.0504863362667902</v>
      </c>
      <c r="F94" s="29">
        <v>0.191</v>
      </c>
      <c r="G94" s="29">
        <v>261.7</v>
      </c>
      <c r="H94" s="29">
        <v>6.28</v>
      </c>
      <c r="I94" s="29">
        <v>8.14</v>
      </c>
      <c r="J94" s="29">
        <v>1.661</v>
      </c>
      <c r="K94" s="29">
        <v>42.6</v>
      </c>
      <c r="L94" s="29">
        <v>1.786</v>
      </c>
      <c r="M94" s="29">
        <v>0.22700000000000001</v>
      </c>
      <c r="N94" s="32">
        <f>L94/M94</f>
        <v>7.8678414096916303</v>
      </c>
      <c r="O94" s="32">
        <f>H94/M94</f>
        <v>27.665198237885463</v>
      </c>
      <c r="P94" s="29">
        <v>19.649999999999999</v>
      </c>
      <c r="Q94" s="29">
        <v>19.32</v>
      </c>
      <c r="R94" s="32">
        <f>P94/Q94</f>
        <v>1.0170807453416149</v>
      </c>
      <c r="S94" s="29">
        <v>32.96</v>
      </c>
      <c r="T94" s="29">
        <v>25.93</v>
      </c>
    </row>
    <row r="97" spans="1:20">
      <c r="A97" s="29" t="s">
        <v>111</v>
      </c>
      <c r="B97" s="29">
        <v>14.58</v>
      </c>
      <c r="C97" s="29">
        <v>38.74</v>
      </c>
      <c r="D97" s="29">
        <v>21.56</v>
      </c>
      <c r="E97" s="32">
        <f>C97/D97</f>
        <v>1.7968460111317257</v>
      </c>
      <c r="F97" s="29">
        <v>0.215</v>
      </c>
      <c r="G97" s="29">
        <v>242.8</v>
      </c>
      <c r="H97" s="29">
        <v>5.48</v>
      </c>
      <c r="I97" s="29">
        <v>8.11</v>
      </c>
      <c r="J97" s="29">
        <v>1.532</v>
      </c>
      <c r="K97" s="29">
        <v>54.3</v>
      </c>
      <c r="L97" s="29">
        <v>1.3759999999999999</v>
      </c>
      <c r="M97" s="29">
        <v>0.153</v>
      </c>
      <c r="N97" s="32">
        <f>L97/M97</f>
        <v>8.9934640522875817</v>
      </c>
      <c r="O97" s="32">
        <f>H97/M97</f>
        <v>35.816993464052288</v>
      </c>
      <c r="P97" s="29">
        <v>20.420000000000002</v>
      </c>
      <c r="Q97" s="29">
        <v>21.06</v>
      </c>
      <c r="R97" s="32">
        <f>P97/Q97</f>
        <v>0.96961063627730304</v>
      </c>
      <c r="S97" s="29">
        <v>42.29</v>
      </c>
      <c r="T97" s="29">
        <v>37.85</v>
      </c>
    </row>
    <row r="99" spans="1:20">
      <c r="A99" s="29" t="s">
        <v>89</v>
      </c>
      <c r="B99" s="29">
        <v>14.25</v>
      </c>
      <c r="C99" s="29">
        <v>41.39</v>
      </c>
      <c r="D99" s="29">
        <v>20.47</v>
      </c>
      <c r="E99" s="32">
        <f>C99/D99</f>
        <v>2.0219833903273083</v>
      </c>
      <c r="F99" s="29">
        <v>0.16500000000000001</v>
      </c>
      <c r="G99" s="29">
        <v>249.6</v>
      </c>
      <c r="H99" s="29">
        <v>4.8600000000000003</v>
      </c>
      <c r="I99" s="29">
        <v>9.65</v>
      </c>
      <c r="J99" s="29">
        <v>1.591</v>
      </c>
      <c r="K99" s="29">
        <v>38.5</v>
      </c>
      <c r="L99" s="29">
        <v>1.4870000000000001</v>
      </c>
      <c r="M99" s="29">
        <v>0.19400000000000001</v>
      </c>
      <c r="N99" s="32">
        <f>L99/M99</f>
        <v>7.6649484536082477</v>
      </c>
      <c r="O99" s="32">
        <f>H99/M99</f>
        <v>25.051546391752577</v>
      </c>
      <c r="P99" s="29">
        <v>24.02</v>
      </c>
      <c r="Q99" s="29">
        <v>22.51</v>
      </c>
      <c r="R99" s="32">
        <f>P99/Q99</f>
        <v>1.0670812972012438</v>
      </c>
      <c r="S99" s="29">
        <v>33.07</v>
      </c>
      <c r="T99" s="29">
        <v>35.270000000000003</v>
      </c>
    </row>
  </sheetData>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4"/>
  <sheetViews>
    <sheetView topLeftCell="C1" workbookViewId="0">
      <pane ySplit="1" topLeftCell="A17" activePane="bottomLeft" state="frozen"/>
      <selection pane="bottomLeft" activeCell="G35" sqref="G35"/>
    </sheetView>
  </sheetViews>
  <sheetFormatPr defaultColWidth="8.85546875" defaultRowHeight="12.75"/>
  <cols>
    <col min="1" max="1" width="18.85546875" style="8" customWidth="1"/>
    <col min="2" max="2" width="13.85546875" style="9" bestFit="1" customWidth="1"/>
    <col min="3" max="5" width="8.85546875" style="9"/>
    <col min="6" max="6" width="8.85546875" style="42"/>
    <col min="7" max="8" width="25" style="10" bestFit="1" customWidth="1"/>
    <col min="9" max="9" width="14.42578125" style="9" bestFit="1" customWidth="1"/>
    <col min="10" max="10" width="9.85546875" style="9" bestFit="1" customWidth="1"/>
    <col min="11" max="16384" width="8.85546875" style="9"/>
  </cols>
  <sheetData>
    <row r="1" spans="1:12" s="40" customFormat="1" ht="16.149999999999999" customHeight="1">
      <c r="A1" s="36" t="s">
        <v>22</v>
      </c>
      <c r="B1" s="37" t="s">
        <v>23</v>
      </c>
      <c r="C1" s="37" t="s">
        <v>24</v>
      </c>
      <c r="D1" s="37" t="s">
        <v>25</v>
      </c>
      <c r="E1" s="37" t="s">
        <v>26</v>
      </c>
      <c r="F1" s="38" t="s">
        <v>27</v>
      </c>
      <c r="G1" s="39" t="s">
        <v>28</v>
      </c>
      <c r="H1" s="39" t="s">
        <v>29</v>
      </c>
      <c r="I1" s="37" t="s">
        <v>30</v>
      </c>
      <c r="J1" s="37" t="s">
        <v>31</v>
      </c>
      <c r="K1" s="40">
        <v>11</v>
      </c>
      <c r="L1" s="120" t="s">
        <v>779</v>
      </c>
    </row>
    <row r="2" spans="1:12" s="40" customFormat="1">
      <c r="A2" s="36" t="s">
        <v>32</v>
      </c>
      <c r="B2" s="37"/>
      <c r="C2" s="37" t="s">
        <v>33</v>
      </c>
      <c r="D2" s="37" t="s">
        <v>34</v>
      </c>
      <c r="E2" s="37" t="s">
        <v>35</v>
      </c>
      <c r="F2" s="38" t="s">
        <v>36</v>
      </c>
      <c r="G2" s="39" t="s">
        <v>37</v>
      </c>
      <c r="H2" s="39" t="s">
        <v>37</v>
      </c>
      <c r="I2" s="37" t="s">
        <v>38</v>
      </c>
      <c r="J2" s="37" t="s">
        <v>39</v>
      </c>
      <c r="L2" s="120"/>
    </row>
    <row r="3" spans="1:12" ht="15">
      <c r="A3" s="41" t="s">
        <v>40</v>
      </c>
      <c r="B3" s="9">
        <v>8</v>
      </c>
      <c r="C3" s="9">
        <v>200</v>
      </c>
      <c r="D3" s="9">
        <v>14.3</v>
      </c>
      <c r="E3" s="9">
        <v>100</v>
      </c>
      <c r="F3" s="42">
        <v>0.13</v>
      </c>
      <c r="G3" s="10">
        <v>0</v>
      </c>
      <c r="H3" s="10">
        <v>1</v>
      </c>
      <c r="I3" s="9">
        <v>0.2</v>
      </c>
      <c r="J3" s="43">
        <v>7.2</v>
      </c>
      <c r="L3" s="116">
        <v>31</v>
      </c>
    </row>
    <row r="4" spans="1:12" ht="15">
      <c r="A4" s="41" t="s">
        <v>41</v>
      </c>
      <c r="B4" s="9">
        <v>7</v>
      </c>
      <c r="C4" s="9">
        <v>280</v>
      </c>
      <c r="D4" s="43">
        <v>22</v>
      </c>
      <c r="E4" s="9">
        <v>31</v>
      </c>
      <c r="F4" s="42">
        <v>0.13</v>
      </c>
      <c r="G4" s="10">
        <v>0</v>
      </c>
      <c r="H4" s="10">
        <v>1</v>
      </c>
      <c r="I4" s="9">
        <v>0.2</v>
      </c>
      <c r="J4" s="43">
        <v>7.1</v>
      </c>
      <c r="L4" s="117">
        <v>23</v>
      </c>
    </row>
    <row r="5" spans="1:12" ht="15">
      <c r="A5" s="41" t="s">
        <v>42</v>
      </c>
      <c r="B5" s="9">
        <v>6</v>
      </c>
      <c r="C5" s="9">
        <v>420</v>
      </c>
      <c r="D5" s="9">
        <v>19.2</v>
      </c>
      <c r="E5" s="9">
        <v>23</v>
      </c>
      <c r="F5" s="42">
        <v>0.14000000000000001</v>
      </c>
      <c r="G5" s="10">
        <v>1</v>
      </c>
      <c r="H5" s="10">
        <v>1</v>
      </c>
      <c r="I5" s="9">
        <v>0.3</v>
      </c>
      <c r="J5" s="43">
        <v>7.5</v>
      </c>
      <c r="L5" s="117">
        <v>14</v>
      </c>
    </row>
    <row r="6" spans="1:12" ht="15">
      <c r="A6" s="41" t="s">
        <v>43</v>
      </c>
      <c r="B6" s="9">
        <v>10</v>
      </c>
      <c r="C6" s="9">
        <v>189</v>
      </c>
      <c r="D6" s="9">
        <v>13.3</v>
      </c>
      <c r="E6" s="9">
        <v>22</v>
      </c>
      <c r="F6" s="42">
        <v>0.1</v>
      </c>
      <c r="G6" s="10">
        <v>1</v>
      </c>
      <c r="H6" s="10">
        <v>1</v>
      </c>
      <c r="I6" s="9">
        <v>7.0000000000000007E-2</v>
      </c>
      <c r="J6" s="43">
        <v>8.6999999999999993</v>
      </c>
      <c r="L6" s="117">
        <v>32</v>
      </c>
    </row>
    <row r="7" spans="1:12" ht="15">
      <c r="A7" s="41" t="s">
        <v>44</v>
      </c>
      <c r="B7" s="9">
        <v>9</v>
      </c>
      <c r="C7" s="9">
        <v>1077</v>
      </c>
      <c r="D7" s="9">
        <v>25</v>
      </c>
      <c r="E7" s="9">
        <v>9</v>
      </c>
      <c r="F7" s="42">
        <v>0.12</v>
      </c>
      <c r="G7" s="10">
        <v>0</v>
      </c>
      <c r="H7" s="10">
        <v>2</v>
      </c>
      <c r="I7" s="9">
        <v>0.2</v>
      </c>
      <c r="J7" s="43">
        <v>7.5</v>
      </c>
      <c r="L7" s="117">
        <v>20</v>
      </c>
    </row>
    <row r="8" spans="1:12" ht="15">
      <c r="A8" s="41" t="s">
        <v>45</v>
      </c>
      <c r="B8" s="9">
        <v>8</v>
      </c>
      <c r="C8" s="9">
        <v>675</v>
      </c>
      <c r="D8" s="9">
        <v>20.5</v>
      </c>
      <c r="E8" s="9">
        <v>16</v>
      </c>
      <c r="F8" s="42">
        <v>0.08</v>
      </c>
      <c r="G8" s="10">
        <v>1</v>
      </c>
      <c r="H8" s="10">
        <v>1</v>
      </c>
      <c r="I8" s="9" t="s">
        <v>46</v>
      </c>
      <c r="J8" s="43">
        <v>7.6</v>
      </c>
      <c r="L8" s="117">
        <v>20</v>
      </c>
    </row>
    <row r="9" spans="1:12" ht="15">
      <c r="A9" s="41" t="s">
        <v>47</v>
      </c>
      <c r="B9" s="9">
        <v>12</v>
      </c>
      <c r="C9" s="9">
        <v>179</v>
      </c>
      <c r="D9" s="9">
        <v>13.8</v>
      </c>
      <c r="E9" s="9">
        <v>27</v>
      </c>
      <c r="F9" s="42">
        <v>0.13</v>
      </c>
      <c r="G9" s="10">
        <v>1</v>
      </c>
      <c r="H9" s="10">
        <v>1</v>
      </c>
      <c r="I9" s="9">
        <v>0.2</v>
      </c>
      <c r="J9" s="43">
        <v>13.1</v>
      </c>
      <c r="L9" s="117">
        <v>41</v>
      </c>
    </row>
    <row r="10" spans="1:12" ht="15">
      <c r="A10" s="41" t="s">
        <v>48</v>
      </c>
      <c r="B10" s="9">
        <v>7</v>
      </c>
      <c r="C10" s="9">
        <v>414</v>
      </c>
      <c r="D10" s="9">
        <v>9.6999999999999993</v>
      </c>
      <c r="E10" s="9">
        <v>22</v>
      </c>
      <c r="F10" s="42">
        <v>0.06</v>
      </c>
      <c r="G10" s="10">
        <v>0</v>
      </c>
      <c r="H10" s="10">
        <v>1</v>
      </c>
      <c r="I10" s="9">
        <v>0.2</v>
      </c>
      <c r="J10" s="43">
        <v>6.5</v>
      </c>
      <c r="L10" s="117">
        <v>24</v>
      </c>
    </row>
    <row r="11" spans="1:12" ht="15">
      <c r="A11" s="41" t="s">
        <v>49</v>
      </c>
      <c r="B11" s="9">
        <v>6</v>
      </c>
      <c r="C11" s="9">
        <v>242</v>
      </c>
      <c r="D11" s="9">
        <v>14.3</v>
      </c>
      <c r="E11" s="9">
        <v>22</v>
      </c>
      <c r="F11" s="42">
        <v>0.12</v>
      </c>
      <c r="G11" s="10">
        <v>1</v>
      </c>
      <c r="H11" s="10">
        <v>1</v>
      </c>
      <c r="I11" s="9">
        <v>0.1</v>
      </c>
      <c r="J11" s="43">
        <v>16.5</v>
      </c>
      <c r="L11" s="117">
        <v>33</v>
      </c>
    </row>
    <row r="12" spans="1:12" ht="15">
      <c r="A12" s="41" t="s">
        <v>50</v>
      </c>
      <c r="B12" s="9">
        <v>9</v>
      </c>
      <c r="C12" s="9">
        <v>272</v>
      </c>
      <c r="D12" s="9">
        <v>16.5</v>
      </c>
      <c r="E12" s="9">
        <v>52</v>
      </c>
      <c r="F12" s="9">
        <v>0.24</v>
      </c>
      <c r="G12" s="10">
        <v>0</v>
      </c>
      <c r="H12" s="10">
        <v>1</v>
      </c>
      <c r="I12" s="9">
        <v>0.05</v>
      </c>
      <c r="J12" s="9">
        <v>12.3</v>
      </c>
      <c r="L12" s="117">
        <v>35</v>
      </c>
    </row>
    <row r="13" spans="1:12" ht="15">
      <c r="A13" s="41" t="s">
        <v>51</v>
      </c>
      <c r="B13" s="9">
        <v>9</v>
      </c>
      <c r="C13" s="9">
        <v>180</v>
      </c>
      <c r="D13" s="9">
        <v>15.9</v>
      </c>
      <c r="E13" s="9">
        <v>67</v>
      </c>
      <c r="F13" s="42">
        <v>0.09</v>
      </c>
      <c r="G13" s="10">
        <v>1</v>
      </c>
      <c r="H13" s="10">
        <v>1</v>
      </c>
      <c r="I13" s="9">
        <v>0.1</v>
      </c>
      <c r="J13" s="43">
        <v>8.9</v>
      </c>
      <c r="L13" s="117">
        <v>45</v>
      </c>
    </row>
    <row r="14" spans="1:12" ht="15">
      <c r="A14" s="41" t="s">
        <v>52</v>
      </c>
      <c r="B14" s="9">
        <v>9</v>
      </c>
      <c r="C14" s="9">
        <v>376</v>
      </c>
      <c r="D14" s="9">
        <v>7.5</v>
      </c>
      <c r="E14" s="9">
        <v>51</v>
      </c>
      <c r="F14" s="42">
        <v>0.09</v>
      </c>
      <c r="G14" s="10">
        <v>1</v>
      </c>
      <c r="H14" s="10">
        <v>0</v>
      </c>
      <c r="I14" s="9">
        <v>0.3</v>
      </c>
      <c r="J14" s="43">
        <v>7.6</v>
      </c>
      <c r="L14" s="117">
        <v>30</v>
      </c>
    </row>
    <row r="15" spans="1:12" ht="15">
      <c r="A15" s="41" t="s">
        <v>53</v>
      </c>
      <c r="B15" s="9">
        <v>8</v>
      </c>
      <c r="C15" s="9">
        <v>330</v>
      </c>
      <c r="D15" s="9">
        <v>19.899999999999999</v>
      </c>
      <c r="E15" s="9">
        <v>3</v>
      </c>
      <c r="F15" s="42">
        <v>0.21</v>
      </c>
      <c r="G15" s="10">
        <v>1</v>
      </c>
      <c r="H15" s="10">
        <v>1</v>
      </c>
      <c r="I15" s="9">
        <v>0.04</v>
      </c>
      <c r="J15" s="9">
        <v>7.2</v>
      </c>
      <c r="L15" s="117">
        <v>25</v>
      </c>
    </row>
    <row r="16" spans="1:12" ht="15">
      <c r="A16" s="41" t="s">
        <v>54</v>
      </c>
      <c r="B16" s="9">
        <v>5</v>
      </c>
      <c r="C16" s="9">
        <v>655</v>
      </c>
      <c r="D16" s="9">
        <v>24</v>
      </c>
      <c r="E16" s="9">
        <v>7</v>
      </c>
      <c r="F16" s="9">
        <v>0.09</v>
      </c>
      <c r="G16" s="10">
        <v>1</v>
      </c>
      <c r="H16" s="10">
        <v>0</v>
      </c>
      <c r="I16" s="9">
        <v>7.0000000000000007E-2</v>
      </c>
      <c r="J16" s="43">
        <v>10.9</v>
      </c>
      <c r="L16" s="117">
        <v>17</v>
      </c>
    </row>
    <row r="17" spans="1:12" ht="14.25" customHeight="1">
      <c r="A17" s="8" t="s">
        <v>55</v>
      </c>
      <c r="B17" s="9">
        <v>12</v>
      </c>
      <c r="C17" s="9">
        <v>225</v>
      </c>
      <c r="D17" s="9">
        <v>16.3</v>
      </c>
      <c r="E17" s="9">
        <v>40</v>
      </c>
      <c r="F17" s="42">
        <v>0.18</v>
      </c>
      <c r="G17" s="10">
        <v>1</v>
      </c>
      <c r="H17" s="10">
        <v>1</v>
      </c>
      <c r="I17" s="9">
        <v>0.1</v>
      </c>
      <c r="J17" s="9">
        <v>9.9</v>
      </c>
      <c r="L17" s="117">
        <v>17</v>
      </c>
    </row>
    <row r="18" spans="1:12">
      <c r="A18" s="8" t="s">
        <v>56</v>
      </c>
      <c r="B18" s="9">
        <v>5</v>
      </c>
      <c r="C18" s="9">
        <v>287</v>
      </c>
      <c r="D18" s="9">
        <v>19.899999999999999</v>
      </c>
      <c r="E18" s="9">
        <v>157</v>
      </c>
      <c r="F18" s="42">
        <v>0.14000000000000001</v>
      </c>
      <c r="G18" s="10">
        <v>1</v>
      </c>
      <c r="H18" s="10">
        <v>1</v>
      </c>
      <c r="I18" s="9">
        <v>0.3</v>
      </c>
      <c r="J18" s="9">
        <v>8.8000000000000007</v>
      </c>
      <c r="L18" s="117">
        <v>22</v>
      </c>
    </row>
    <row r="19" spans="1:12">
      <c r="A19" s="8" t="s">
        <v>57</v>
      </c>
      <c r="B19" s="9">
        <v>8</v>
      </c>
      <c r="C19" s="9">
        <v>497</v>
      </c>
      <c r="D19" s="9">
        <v>16.3</v>
      </c>
      <c r="E19" s="9">
        <v>29</v>
      </c>
      <c r="F19" s="42">
        <v>0.12</v>
      </c>
      <c r="G19" s="10">
        <v>1</v>
      </c>
      <c r="H19" s="10">
        <v>0</v>
      </c>
      <c r="I19" s="9">
        <v>0.06</v>
      </c>
      <c r="J19" s="9">
        <v>10.5</v>
      </c>
      <c r="L19" s="117">
        <v>25</v>
      </c>
    </row>
    <row r="20" spans="1:12">
      <c r="A20" s="8" t="s">
        <v>58</v>
      </c>
      <c r="B20" s="9">
        <v>9</v>
      </c>
      <c r="C20" s="9">
        <v>335</v>
      </c>
      <c r="D20" s="9">
        <v>26</v>
      </c>
      <c r="E20" s="9">
        <v>27</v>
      </c>
      <c r="F20" s="42">
        <v>0.09</v>
      </c>
      <c r="G20" s="10">
        <v>0</v>
      </c>
      <c r="H20" s="10">
        <v>1</v>
      </c>
      <c r="I20" s="9">
        <v>0.04</v>
      </c>
      <c r="J20" s="9">
        <v>6</v>
      </c>
      <c r="L20" s="117">
        <v>33</v>
      </c>
    </row>
    <row r="21" spans="1:12">
      <c r="L21" s="117"/>
    </row>
    <row r="22" spans="1:12">
      <c r="A22" s="8" t="s">
        <v>59</v>
      </c>
      <c r="B22" s="9">
        <v>14</v>
      </c>
      <c r="C22" s="9">
        <v>137</v>
      </c>
      <c r="D22" s="9">
        <v>9.6999999999999993</v>
      </c>
      <c r="E22" s="9">
        <v>11</v>
      </c>
      <c r="F22" s="42">
        <v>0.34</v>
      </c>
      <c r="G22" s="10">
        <v>1</v>
      </c>
      <c r="H22" s="10">
        <v>1</v>
      </c>
      <c r="I22" s="9">
        <v>0.1</v>
      </c>
      <c r="J22" s="9">
        <v>12.4</v>
      </c>
      <c r="L22" s="117">
        <v>29</v>
      </c>
    </row>
    <row r="23" spans="1:12">
      <c r="A23" s="8" t="s">
        <v>60</v>
      </c>
      <c r="B23" s="9">
        <v>8</v>
      </c>
      <c r="C23" s="9">
        <v>289</v>
      </c>
      <c r="D23" s="9">
        <v>15.9</v>
      </c>
      <c r="E23" s="9">
        <v>21</v>
      </c>
      <c r="F23" s="42">
        <v>0.22</v>
      </c>
      <c r="G23" s="10">
        <v>1</v>
      </c>
      <c r="H23" s="10">
        <v>0</v>
      </c>
      <c r="I23" s="9">
        <v>0.2</v>
      </c>
      <c r="J23" s="9">
        <v>9.8000000000000007</v>
      </c>
      <c r="L23" s="117">
        <v>28</v>
      </c>
    </row>
    <row r="24" spans="1:12" ht="15">
      <c r="A24" s="8" t="s">
        <v>61</v>
      </c>
      <c r="B24" s="44">
        <v>6</v>
      </c>
      <c r="C24" s="9">
        <v>326</v>
      </c>
      <c r="D24" s="9">
        <v>22.9</v>
      </c>
      <c r="E24" s="9">
        <v>37</v>
      </c>
      <c r="F24" s="44">
        <v>0.17</v>
      </c>
      <c r="G24" s="45">
        <v>0</v>
      </c>
      <c r="H24" s="45">
        <v>0</v>
      </c>
      <c r="I24" s="45" t="s">
        <v>62</v>
      </c>
      <c r="J24" s="44">
        <v>6.4</v>
      </c>
      <c r="L24" s="117">
        <v>24</v>
      </c>
    </row>
    <row r="25" spans="1:12" ht="15">
      <c r="A25" s="8" t="s">
        <v>63</v>
      </c>
      <c r="B25" s="9">
        <v>9</v>
      </c>
      <c r="C25" s="9">
        <v>451</v>
      </c>
      <c r="D25" s="9">
        <v>18.899999999999999</v>
      </c>
      <c r="E25" s="9">
        <v>55</v>
      </c>
      <c r="F25" s="42">
        <v>0.12</v>
      </c>
      <c r="G25" s="10">
        <v>2</v>
      </c>
      <c r="H25" s="10">
        <v>0</v>
      </c>
      <c r="I25" s="44">
        <v>0.1</v>
      </c>
      <c r="J25" s="9">
        <v>8.1</v>
      </c>
      <c r="L25" s="117">
        <v>18</v>
      </c>
    </row>
    <row r="26" spans="1:12" ht="15">
      <c r="A26" s="41" t="s">
        <v>64</v>
      </c>
      <c r="B26" s="44">
        <v>7</v>
      </c>
      <c r="C26" s="9">
        <v>522</v>
      </c>
      <c r="D26" s="9">
        <v>13.9</v>
      </c>
      <c r="E26" s="9">
        <v>20</v>
      </c>
      <c r="F26" s="42">
        <v>0.15</v>
      </c>
      <c r="G26" s="10">
        <v>1</v>
      </c>
      <c r="H26" s="10">
        <v>0</v>
      </c>
      <c r="I26" s="9">
        <v>0.4</v>
      </c>
      <c r="J26" s="43">
        <v>8.1999999999999993</v>
      </c>
      <c r="L26" s="117">
        <v>13</v>
      </c>
    </row>
    <row r="27" spans="1:12" ht="15">
      <c r="A27" s="41" t="s">
        <v>65</v>
      </c>
      <c r="B27" s="44">
        <v>10</v>
      </c>
      <c r="C27" s="9">
        <v>162</v>
      </c>
      <c r="D27" s="9">
        <v>10.3</v>
      </c>
      <c r="E27" s="9">
        <v>20</v>
      </c>
      <c r="F27" s="44">
        <v>0.14000000000000001</v>
      </c>
      <c r="G27" s="45">
        <v>1</v>
      </c>
      <c r="H27" s="45">
        <v>1</v>
      </c>
      <c r="I27" s="44">
        <v>0.2</v>
      </c>
      <c r="J27" s="44">
        <v>8.6</v>
      </c>
      <c r="L27" s="117">
        <v>28</v>
      </c>
    </row>
    <row r="28" spans="1:12" ht="15">
      <c r="A28" s="41" t="s">
        <v>66</v>
      </c>
      <c r="B28" s="44">
        <v>7</v>
      </c>
      <c r="C28" s="9">
        <v>285</v>
      </c>
      <c r="D28" s="9">
        <v>35</v>
      </c>
      <c r="E28" s="9">
        <v>35</v>
      </c>
      <c r="F28" s="44">
        <v>0.14000000000000001</v>
      </c>
      <c r="G28" s="45">
        <v>0</v>
      </c>
      <c r="H28" s="45">
        <v>2</v>
      </c>
      <c r="I28" s="44">
        <v>0.1</v>
      </c>
      <c r="J28" s="44">
        <v>8.6999999999999993</v>
      </c>
      <c r="L28" s="117">
        <v>15</v>
      </c>
    </row>
    <row r="29" spans="1:12" ht="15">
      <c r="A29" s="41" t="s">
        <v>67</v>
      </c>
      <c r="B29" s="44">
        <v>6</v>
      </c>
      <c r="C29" s="9">
        <v>573</v>
      </c>
      <c r="D29" s="9">
        <v>28</v>
      </c>
      <c r="E29" s="9">
        <v>34</v>
      </c>
      <c r="F29" s="44">
        <v>0.12</v>
      </c>
      <c r="G29" s="45">
        <v>1</v>
      </c>
      <c r="H29" s="45">
        <v>1</v>
      </c>
      <c r="I29" s="44">
        <v>0.3</v>
      </c>
      <c r="J29" s="44">
        <v>14.4</v>
      </c>
      <c r="L29" s="117">
        <v>46</v>
      </c>
    </row>
    <row r="30" spans="1:12" ht="15">
      <c r="A30" s="41" t="s">
        <v>68</v>
      </c>
      <c r="B30" s="44">
        <v>12</v>
      </c>
      <c r="C30" s="9">
        <v>243</v>
      </c>
      <c r="D30" s="9">
        <v>15.6</v>
      </c>
      <c r="E30" s="9">
        <v>63</v>
      </c>
      <c r="F30" s="44">
        <v>0.16</v>
      </c>
      <c r="G30" s="45">
        <v>2</v>
      </c>
      <c r="H30" s="45">
        <v>0</v>
      </c>
      <c r="I30" s="44">
        <v>0.08</v>
      </c>
      <c r="J30" s="44">
        <v>9.3000000000000007</v>
      </c>
      <c r="L30" s="117">
        <v>40</v>
      </c>
    </row>
    <row r="31" spans="1:12" ht="15">
      <c r="A31" s="41" t="s">
        <v>69</v>
      </c>
      <c r="B31" s="44">
        <v>5</v>
      </c>
      <c r="C31" s="44">
        <v>266</v>
      </c>
      <c r="D31" s="44">
        <v>22</v>
      </c>
      <c r="E31" s="44">
        <v>22</v>
      </c>
      <c r="F31" s="44">
        <v>0.21</v>
      </c>
      <c r="G31" s="45">
        <v>0</v>
      </c>
      <c r="H31" s="45">
        <v>1</v>
      </c>
      <c r="I31" s="44">
        <v>0.1</v>
      </c>
      <c r="J31" s="44">
        <v>7.6</v>
      </c>
      <c r="L31" s="117">
        <v>32</v>
      </c>
    </row>
    <row r="32" spans="1:12" ht="15">
      <c r="A32" s="41" t="s">
        <v>70</v>
      </c>
      <c r="B32" s="44">
        <v>10</v>
      </c>
      <c r="C32" s="9">
        <v>272</v>
      </c>
      <c r="D32" s="9">
        <v>10.1</v>
      </c>
      <c r="E32" s="9">
        <v>15</v>
      </c>
      <c r="F32" s="44">
        <v>0.13</v>
      </c>
      <c r="G32" s="45">
        <v>0</v>
      </c>
      <c r="H32" s="45">
        <v>0</v>
      </c>
      <c r="I32" s="44">
        <v>0.06</v>
      </c>
      <c r="J32" s="44">
        <v>11.9</v>
      </c>
      <c r="L32" s="118"/>
    </row>
    <row r="33" spans="1:12" ht="15">
      <c r="A33" s="41" t="s">
        <v>71</v>
      </c>
      <c r="B33" s="44">
        <v>8</v>
      </c>
      <c r="C33" s="9">
        <v>288</v>
      </c>
      <c r="D33" s="9">
        <v>12.5</v>
      </c>
      <c r="E33" s="9">
        <v>14</v>
      </c>
      <c r="F33" s="44">
        <v>0.19</v>
      </c>
      <c r="G33" s="45">
        <v>0</v>
      </c>
      <c r="H33" s="45">
        <v>2</v>
      </c>
      <c r="I33" s="44">
        <v>0.1</v>
      </c>
      <c r="J33" s="44">
        <v>7.7</v>
      </c>
      <c r="L33" s="118"/>
    </row>
    <row r="34" spans="1:12" s="147" customFormat="1" ht="15">
      <c r="A34" s="145"/>
      <c r="B34" s="146"/>
      <c r="F34" s="146"/>
      <c r="G34" s="148"/>
      <c r="H34" s="148"/>
      <c r="I34" s="148"/>
      <c r="J34" s="146"/>
      <c r="L34" s="149"/>
    </row>
    <row r="35" spans="1:12" ht="15">
      <c r="A35" s="41" t="s">
        <v>72</v>
      </c>
      <c r="B35" s="9">
        <v>7</v>
      </c>
      <c r="C35" s="9">
        <v>512</v>
      </c>
      <c r="D35" s="9">
        <v>28</v>
      </c>
      <c r="E35" s="9">
        <v>17</v>
      </c>
      <c r="F35" s="42">
        <v>0.12</v>
      </c>
      <c r="G35" s="10">
        <v>1</v>
      </c>
      <c r="H35" s="10">
        <v>1</v>
      </c>
      <c r="I35" s="9" t="s">
        <v>73</v>
      </c>
      <c r="J35" s="43">
        <v>4.5</v>
      </c>
      <c r="L35" s="117">
        <v>23</v>
      </c>
    </row>
    <row r="36" spans="1:12" ht="15">
      <c r="A36" s="41" t="s">
        <v>74</v>
      </c>
      <c r="B36" s="9">
        <v>7</v>
      </c>
      <c r="C36" s="9">
        <v>630</v>
      </c>
      <c r="D36" s="9">
        <v>24</v>
      </c>
      <c r="E36" s="9">
        <v>29</v>
      </c>
      <c r="F36" s="42">
        <v>0.11</v>
      </c>
      <c r="G36" s="10">
        <v>1</v>
      </c>
      <c r="H36" s="10">
        <v>1</v>
      </c>
      <c r="I36" s="9" t="s">
        <v>75</v>
      </c>
      <c r="J36" s="43">
        <v>13.1</v>
      </c>
      <c r="L36" s="117">
        <v>31</v>
      </c>
    </row>
    <row r="37" spans="1:12" ht="15">
      <c r="A37" s="41" t="s">
        <v>76</v>
      </c>
      <c r="B37" s="9">
        <v>7</v>
      </c>
      <c r="C37" s="9">
        <v>566</v>
      </c>
      <c r="D37" s="46">
        <v>40</v>
      </c>
      <c r="E37" s="9">
        <v>41</v>
      </c>
      <c r="F37" s="42">
        <v>0.12</v>
      </c>
      <c r="G37" s="10">
        <v>1</v>
      </c>
      <c r="H37" s="10">
        <v>1</v>
      </c>
      <c r="I37" s="9">
        <v>7.0000000000000007E-2</v>
      </c>
      <c r="J37" s="43">
        <v>6</v>
      </c>
      <c r="L37" s="117">
        <v>33</v>
      </c>
    </row>
    <row r="38" spans="1:12" ht="15">
      <c r="A38" s="41" t="s">
        <v>77</v>
      </c>
      <c r="B38" s="9">
        <v>8</v>
      </c>
      <c r="C38" s="9">
        <v>345</v>
      </c>
      <c r="D38" s="9">
        <v>14.9</v>
      </c>
      <c r="E38" s="9">
        <v>26</v>
      </c>
      <c r="F38" s="42">
        <v>0.3</v>
      </c>
      <c r="G38" s="10">
        <v>1</v>
      </c>
      <c r="H38" s="10">
        <v>1</v>
      </c>
      <c r="I38" s="9">
        <v>0.1</v>
      </c>
      <c r="J38" s="43">
        <v>13</v>
      </c>
      <c r="L38" s="117">
        <v>26</v>
      </c>
    </row>
    <row r="39" spans="1:12" ht="15">
      <c r="A39" s="41" t="s">
        <v>78</v>
      </c>
      <c r="B39" s="9">
        <v>7</v>
      </c>
      <c r="C39" s="9">
        <v>427</v>
      </c>
      <c r="D39" s="9">
        <v>11.5</v>
      </c>
      <c r="E39" s="9">
        <v>121</v>
      </c>
      <c r="F39" s="9">
        <v>0.15</v>
      </c>
      <c r="G39" s="10">
        <v>1</v>
      </c>
      <c r="H39" s="10">
        <v>0</v>
      </c>
      <c r="I39" s="9">
        <v>0.06</v>
      </c>
      <c r="J39" s="9">
        <v>14.8</v>
      </c>
      <c r="L39" s="117">
        <v>25</v>
      </c>
    </row>
    <row r="40" spans="1:12" ht="15">
      <c r="A40" s="41" t="s">
        <v>79</v>
      </c>
      <c r="B40" s="9">
        <v>7</v>
      </c>
      <c r="C40" s="9">
        <v>358</v>
      </c>
      <c r="D40" s="9">
        <v>18.399999999999999</v>
      </c>
      <c r="E40" s="9">
        <v>9</v>
      </c>
      <c r="F40" s="44">
        <v>0.21</v>
      </c>
      <c r="G40" s="10">
        <v>0</v>
      </c>
      <c r="H40" s="10">
        <v>1</v>
      </c>
      <c r="I40" s="9">
        <v>0.2</v>
      </c>
      <c r="J40" s="44">
        <v>11.5</v>
      </c>
      <c r="L40" s="117">
        <v>22</v>
      </c>
    </row>
    <row r="41" spans="1:12" ht="15">
      <c r="A41" s="41" t="s">
        <v>80</v>
      </c>
      <c r="B41" s="9">
        <v>7</v>
      </c>
      <c r="C41" s="9">
        <v>1025</v>
      </c>
      <c r="D41" s="9">
        <v>14.6</v>
      </c>
      <c r="E41" s="9">
        <v>10</v>
      </c>
      <c r="F41" s="44">
        <v>0.13</v>
      </c>
      <c r="G41" s="10">
        <v>0</v>
      </c>
      <c r="H41" s="10">
        <v>1</v>
      </c>
      <c r="I41" s="9">
        <v>0.09</v>
      </c>
      <c r="J41" s="44">
        <v>11</v>
      </c>
      <c r="L41" s="117">
        <v>35</v>
      </c>
    </row>
    <row r="42" spans="1:12" ht="15">
      <c r="A42" s="41" t="s">
        <v>81</v>
      </c>
      <c r="B42" s="9">
        <v>7</v>
      </c>
      <c r="C42" s="9">
        <v>509</v>
      </c>
      <c r="D42" s="9">
        <v>17.8</v>
      </c>
      <c r="E42" s="9">
        <v>33</v>
      </c>
      <c r="F42" s="42">
        <v>0.1</v>
      </c>
      <c r="G42" s="10">
        <v>0</v>
      </c>
      <c r="H42" s="10">
        <v>0</v>
      </c>
      <c r="I42" s="9">
        <v>0.5</v>
      </c>
      <c r="J42" s="44">
        <v>8.4</v>
      </c>
      <c r="L42" s="117">
        <v>30</v>
      </c>
    </row>
    <row r="43" spans="1:12" ht="15">
      <c r="A43" s="41" t="s">
        <v>82</v>
      </c>
      <c r="B43" s="9">
        <v>9</v>
      </c>
      <c r="C43" s="9">
        <v>496</v>
      </c>
      <c r="D43" s="9">
        <v>15.2</v>
      </c>
      <c r="E43" s="9">
        <v>25</v>
      </c>
      <c r="F43" s="42">
        <v>0.2</v>
      </c>
      <c r="G43" s="10">
        <v>1</v>
      </c>
      <c r="H43" s="10">
        <v>1</v>
      </c>
      <c r="I43" s="9">
        <v>0.2</v>
      </c>
      <c r="J43" s="43">
        <v>6.4</v>
      </c>
      <c r="L43" s="117">
        <v>20</v>
      </c>
    </row>
    <row r="44" spans="1:12" ht="15">
      <c r="A44" s="41" t="s">
        <v>83</v>
      </c>
      <c r="B44" s="9">
        <v>5</v>
      </c>
      <c r="C44" s="9">
        <v>720</v>
      </c>
      <c r="D44" s="9">
        <v>28</v>
      </c>
      <c r="E44" s="9">
        <v>10</v>
      </c>
      <c r="F44" s="9">
        <v>7.0000000000000007E-2</v>
      </c>
      <c r="G44" s="10">
        <v>0</v>
      </c>
      <c r="H44" s="10">
        <v>1</v>
      </c>
      <c r="I44" s="45" t="s">
        <v>62</v>
      </c>
      <c r="J44" s="10">
        <v>6.4</v>
      </c>
      <c r="L44" s="117">
        <v>15</v>
      </c>
    </row>
    <row r="45" spans="1:12" ht="15">
      <c r="A45" s="41" t="s">
        <v>84</v>
      </c>
      <c r="B45" s="44">
        <v>6</v>
      </c>
      <c r="C45" s="9">
        <v>570</v>
      </c>
      <c r="D45" s="9">
        <v>19.899999999999999</v>
      </c>
      <c r="E45" s="9">
        <v>20</v>
      </c>
      <c r="F45" s="44">
        <v>0.06</v>
      </c>
      <c r="G45" s="10">
        <v>1</v>
      </c>
      <c r="H45" s="10">
        <v>0</v>
      </c>
      <c r="I45" s="44" t="s">
        <v>62</v>
      </c>
      <c r="J45" s="44">
        <v>13</v>
      </c>
      <c r="L45" s="117">
        <v>34</v>
      </c>
    </row>
    <row r="46" spans="1:12" ht="15">
      <c r="A46" s="41" t="s">
        <v>85</v>
      </c>
      <c r="B46" s="9">
        <v>8</v>
      </c>
      <c r="C46" s="9">
        <v>535</v>
      </c>
      <c r="D46" s="9">
        <v>10.9</v>
      </c>
      <c r="E46" s="9">
        <v>50</v>
      </c>
      <c r="F46" s="44">
        <v>0.12</v>
      </c>
      <c r="G46" s="10">
        <v>1</v>
      </c>
      <c r="H46" s="10">
        <v>0</v>
      </c>
      <c r="I46" s="44">
        <v>0.06</v>
      </c>
      <c r="J46" s="44">
        <v>6.6</v>
      </c>
      <c r="L46" s="117">
        <v>21</v>
      </c>
    </row>
    <row r="47" spans="1:12" ht="15">
      <c r="A47" s="41" t="s">
        <v>86</v>
      </c>
      <c r="B47" s="44">
        <v>8</v>
      </c>
      <c r="C47" s="9">
        <v>348</v>
      </c>
      <c r="D47" s="9">
        <v>12.1</v>
      </c>
      <c r="E47" s="9">
        <v>11</v>
      </c>
      <c r="F47" s="44">
        <v>0.15</v>
      </c>
      <c r="G47" s="45">
        <v>2</v>
      </c>
      <c r="H47" s="45">
        <v>0</v>
      </c>
      <c r="I47" s="44">
        <v>0.2</v>
      </c>
      <c r="J47" s="44">
        <v>6.7</v>
      </c>
      <c r="L47" s="117">
        <v>27</v>
      </c>
    </row>
    <row r="48" spans="1:12" ht="15">
      <c r="A48" s="41" t="s">
        <v>87</v>
      </c>
      <c r="B48" s="9">
        <v>8</v>
      </c>
      <c r="C48" s="9">
        <v>286</v>
      </c>
      <c r="D48" s="9">
        <v>20.7</v>
      </c>
      <c r="E48" s="9">
        <v>22</v>
      </c>
      <c r="F48" s="44">
        <v>0.16</v>
      </c>
      <c r="G48" s="45">
        <v>1</v>
      </c>
      <c r="H48" s="45">
        <v>0</v>
      </c>
      <c r="I48" s="44">
        <v>0.09</v>
      </c>
      <c r="J48" s="44">
        <v>15.4</v>
      </c>
      <c r="L48" s="117">
        <v>22</v>
      </c>
    </row>
    <row r="49" spans="1:12" ht="15">
      <c r="A49" s="41" t="s">
        <v>88</v>
      </c>
      <c r="B49" s="44">
        <v>6</v>
      </c>
      <c r="C49" s="9">
        <v>626</v>
      </c>
      <c r="D49" s="9">
        <v>16.100000000000001</v>
      </c>
      <c r="E49" s="9">
        <v>34</v>
      </c>
      <c r="F49" s="42">
        <v>0.11</v>
      </c>
      <c r="G49" s="10">
        <v>1</v>
      </c>
      <c r="H49" s="10">
        <v>0</v>
      </c>
      <c r="I49" s="46">
        <v>0.2</v>
      </c>
      <c r="J49" s="44">
        <v>10.6</v>
      </c>
      <c r="L49" s="117">
        <v>38</v>
      </c>
    </row>
    <row r="50" spans="1:12">
      <c r="A50" s="8" t="s">
        <v>768</v>
      </c>
      <c r="B50" s="9">
        <v>9</v>
      </c>
      <c r="C50" s="9">
        <v>297</v>
      </c>
      <c r="D50" s="9">
        <v>16.2</v>
      </c>
      <c r="E50" s="9">
        <v>25</v>
      </c>
      <c r="F50" s="42">
        <v>0.1</v>
      </c>
      <c r="G50" s="10">
        <v>1</v>
      </c>
      <c r="H50" s="10">
        <v>0</v>
      </c>
      <c r="I50" s="9">
        <v>0.2</v>
      </c>
      <c r="J50" s="9">
        <v>8.5</v>
      </c>
      <c r="L50" s="117">
        <v>18</v>
      </c>
    </row>
    <row r="51" spans="1:12">
      <c r="A51" s="47" t="s">
        <v>90</v>
      </c>
      <c r="B51" s="9">
        <v>7</v>
      </c>
      <c r="C51" s="9">
        <v>573</v>
      </c>
      <c r="D51" s="9">
        <v>26</v>
      </c>
      <c r="E51" s="9">
        <v>45</v>
      </c>
      <c r="F51" s="42">
        <v>0.11</v>
      </c>
      <c r="G51" s="10">
        <v>1</v>
      </c>
      <c r="H51" s="10">
        <v>0</v>
      </c>
      <c r="I51" s="9">
        <v>0.3</v>
      </c>
      <c r="J51" s="43">
        <v>7.3</v>
      </c>
      <c r="L51" s="117">
        <v>16</v>
      </c>
    </row>
    <row r="52" spans="1:12" ht="15">
      <c r="A52" s="47" t="s">
        <v>91</v>
      </c>
      <c r="B52" s="44">
        <v>9</v>
      </c>
      <c r="C52" s="9">
        <v>315</v>
      </c>
      <c r="D52" s="9">
        <v>33</v>
      </c>
      <c r="E52" s="9">
        <v>29</v>
      </c>
      <c r="F52" s="44">
        <v>0.18</v>
      </c>
      <c r="G52" s="10">
        <v>1</v>
      </c>
      <c r="H52" s="10">
        <v>0</v>
      </c>
      <c r="I52" s="44">
        <v>7.0000000000000007E-2</v>
      </c>
      <c r="J52" s="44">
        <v>10.6</v>
      </c>
      <c r="L52" s="117">
        <v>23</v>
      </c>
    </row>
    <row r="53" spans="1:12">
      <c r="A53" s="47" t="s">
        <v>92</v>
      </c>
      <c r="B53" s="9">
        <v>5</v>
      </c>
      <c r="C53" s="9">
        <v>628</v>
      </c>
      <c r="D53" s="9">
        <v>34</v>
      </c>
      <c r="E53" s="9">
        <v>3</v>
      </c>
      <c r="F53" s="42">
        <v>0.16</v>
      </c>
      <c r="G53" s="10">
        <v>1</v>
      </c>
      <c r="H53" s="10">
        <v>1</v>
      </c>
      <c r="I53" s="9">
        <v>0.2</v>
      </c>
      <c r="J53" s="43">
        <v>6.7</v>
      </c>
      <c r="L53" s="117">
        <v>29</v>
      </c>
    </row>
    <row r="54" spans="1:12" ht="15">
      <c r="A54" s="47" t="s">
        <v>93</v>
      </c>
      <c r="B54" s="44">
        <v>14</v>
      </c>
      <c r="C54" s="9">
        <v>230</v>
      </c>
      <c r="D54" s="9">
        <v>9.3000000000000007</v>
      </c>
      <c r="E54" s="9">
        <v>23</v>
      </c>
      <c r="F54" s="44">
        <v>0.12</v>
      </c>
      <c r="G54" s="45">
        <v>2</v>
      </c>
      <c r="H54" s="45">
        <v>0</v>
      </c>
      <c r="I54" s="9">
        <v>0.1</v>
      </c>
      <c r="J54" s="44">
        <v>9.4</v>
      </c>
      <c r="L54" s="117">
        <v>22</v>
      </c>
    </row>
    <row r="55" spans="1:12" ht="15">
      <c r="A55" s="47" t="s">
        <v>94</v>
      </c>
      <c r="B55" s="44">
        <v>7</v>
      </c>
      <c r="C55" s="9">
        <v>323</v>
      </c>
      <c r="D55" s="9">
        <v>16.3</v>
      </c>
      <c r="E55" s="9">
        <v>30</v>
      </c>
      <c r="F55" s="44">
        <v>0.13</v>
      </c>
      <c r="G55" s="45">
        <v>1</v>
      </c>
      <c r="H55" s="45">
        <v>0</v>
      </c>
      <c r="I55" s="9">
        <v>0.1</v>
      </c>
      <c r="J55" s="44">
        <v>6.6</v>
      </c>
      <c r="L55" s="117">
        <v>21</v>
      </c>
    </row>
    <row r="56" spans="1:12" ht="15">
      <c r="A56" s="47" t="s">
        <v>95</v>
      </c>
      <c r="B56" s="44">
        <v>6</v>
      </c>
      <c r="C56" s="9">
        <v>307</v>
      </c>
      <c r="D56" s="9">
        <v>39</v>
      </c>
      <c r="E56" s="9">
        <v>14</v>
      </c>
      <c r="F56" s="44">
        <v>0.11</v>
      </c>
      <c r="G56" s="45">
        <v>0</v>
      </c>
      <c r="H56" s="45">
        <v>1</v>
      </c>
      <c r="I56" s="44">
        <v>0.2</v>
      </c>
      <c r="J56" s="44">
        <v>10.1</v>
      </c>
      <c r="L56" s="117">
        <v>24</v>
      </c>
    </row>
    <row r="57" spans="1:12" ht="15">
      <c r="A57" s="47" t="s">
        <v>96</v>
      </c>
      <c r="B57" s="44">
        <v>7</v>
      </c>
      <c r="C57" s="9">
        <v>254</v>
      </c>
      <c r="D57" s="9">
        <v>38</v>
      </c>
      <c r="E57" s="9">
        <v>2</v>
      </c>
      <c r="F57" s="42">
        <v>0.08</v>
      </c>
      <c r="G57" s="45">
        <v>0</v>
      </c>
      <c r="H57" s="45">
        <v>1</v>
      </c>
      <c r="I57" s="44">
        <v>0.3</v>
      </c>
      <c r="J57" s="44">
        <v>8.5</v>
      </c>
      <c r="L57" s="117">
        <v>27</v>
      </c>
    </row>
    <row r="58" spans="1:12" ht="15">
      <c r="A58" s="47" t="s">
        <v>97</v>
      </c>
      <c r="B58" s="44">
        <v>10</v>
      </c>
      <c r="C58" s="9">
        <v>359</v>
      </c>
      <c r="D58" s="9">
        <v>17.3</v>
      </c>
      <c r="E58" s="9">
        <v>14</v>
      </c>
      <c r="F58" s="44">
        <v>0.41</v>
      </c>
      <c r="G58" s="10">
        <v>0</v>
      </c>
      <c r="H58" s="10">
        <v>1</v>
      </c>
      <c r="I58" s="9">
        <v>0.2</v>
      </c>
      <c r="J58" s="44">
        <v>7.6</v>
      </c>
      <c r="L58" s="117">
        <v>19</v>
      </c>
    </row>
    <row r="59" spans="1:12" ht="15">
      <c r="A59" s="47" t="s">
        <v>98</v>
      </c>
      <c r="B59" s="44">
        <v>9</v>
      </c>
      <c r="C59" s="9">
        <v>368</v>
      </c>
      <c r="D59" s="9">
        <v>16.8</v>
      </c>
      <c r="E59" s="9">
        <v>13</v>
      </c>
      <c r="F59" s="44">
        <v>0.15</v>
      </c>
      <c r="G59" s="10">
        <v>1</v>
      </c>
      <c r="H59" s="10">
        <v>0</v>
      </c>
      <c r="I59" s="9">
        <v>0.1</v>
      </c>
      <c r="J59" s="44">
        <v>7.3</v>
      </c>
      <c r="L59" s="117">
        <v>29</v>
      </c>
    </row>
    <row r="60" spans="1:12" ht="15">
      <c r="A60" s="47" t="s">
        <v>99</v>
      </c>
      <c r="B60" s="44">
        <v>8</v>
      </c>
      <c r="C60" s="9">
        <v>282</v>
      </c>
      <c r="D60" s="9">
        <v>21.8</v>
      </c>
      <c r="E60" s="9">
        <v>32</v>
      </c>
      <c r="F60" s="44">
        <v>0.17</v>
      </c>
      <c r="G60" s="45">
        <v>0</v>
      </c>
      <c r="H60" s="45">
        <v>1</v>
      </c>
      <c r="I60" s="44">
        <v>0.2</v>
      </c>
      <c r="J60" s="46">
        <v>14.2</v>
      </c>
      <c r="L60" s="117">
        <v>17</v>
      </c>
    </row>
    <row r="61" spans="1:12" ht="15">
      <c r="A61" s="47" t="s">
        <v>100</v>
      </c>
      <c r="B61" s="44">
        <v>9</v>
      </c>
      <c r="C61" s="9">
        <v>580</v>
      </c>
      <c r="D61" s="9">
        <v>11.5</v>
      </c>
      <c r="E61" s="9">
        <v>99</v>
      </c>
      <c r="F61" s="44">
        <v>0.32</v>
      </c>
      <c r="G61" s="10">
        <v>1</v>
      </c>
      <c r="H61" s="10">
        <v>1</v>
      </c>
      <c r="I61" s="44">
        <v>0.06</v>
      </c>
      <c r="J61" s="44">
        <v>10.7</v>
      </c>
      <c r="L61" s="117">
        <v>30</v>
      </c>
    </row>
    <row r="62" spans="1:12" ht="15">
      <c r="A62" s="47" t="s">
        <v>101</v>
      </c>
      <c r="B62" s="44">
        <v>8</v>
      </c>
      <c r="C62" s="9">
        <v>559</v>
      </c>
      <c r="D62" s="9">
        <v>9.6999999999999993</v>
      </c>
      <c r="E62" s="9">
        <v>20</v>
      </c>
      <c r="F62" s="44">
        <v>0.17</v>
      </c>
      <c r="G62" s="10">
        <v>1</v>
      </c>
      <c r="H62" s="10">
        <v>0</v>
      </c>
      <c r="I62" s="9">
        <v>0.05</v>
      </c>
      <c r="J62" s="44">
        <v>15.4</v>
      </c>
      <c r="L62" s="117">
        <v>19</v>
      </c>
    </row>
    <row r="63" spans="1:12" ht="14.25">
      <c r="A63" s="8" t="s">
        <v>102</v>
      </c>
      <c r="B63" s="9">
        <v>7</v>
      </c>
      <c r="C63" s="9">
        <v>393</v>
      </c>
      <c r="D63" s="9">
        <v>16.600000000000001</v>
      </c>
      <c r="E63" s="9">
        <v>17</v>
      </c>
      <c r="F63" s="9">
        <v>0.11</v>
      </c>
      <c r="G63" s="10">
        <v>0</v>
      </c>
      <c r="H63" s="10">
        <v>1</v>
      </c>
      <c r="I63" s="9">
        <v>0.6</v>
      </c>
      <c r="J63" s="11">
        <v>8.8000000000000007</v>
      </c>
      <c r="L63" s="119"/>
    </row>
    <row r="64" spans="1:12" s="40" customFormat="1" ht="14.25">
      <c r="A64" s="69"/>
      <c r="G64" s="70"/>
      <c r="H64" s="70"/>
      <c r="J64" s="71"/>
    </row>
    <row r="65" spans="1:12" s="40" customFormat="1">
      <c r="A65" s="69" t="s">
        <v>459</v>
      </c>
      <c r="B65" s="40">
        <f>COUNT(B3:B33)</f>
        <v>30</v>
      </c>
      <c r="C65" s="40">
        <f t="shared" ref="C65:J65" si="0">COUNT(C3:C33)</f>
        <v>30</v>
      </c>
      <c r="D65" s="40">
        <f t="shared" si="0"/>
        <v>30</v>
      </c>
      <c r="E65" s="40">
        <f t="shared" si="0"/>
        <v>30</v>
      </c>
      <c r="F65" s="40">
        <f t="shared" si="0"/>
        <v>30</v>
      </c>
      <c r="G65" s="40">
        <f t="shared" si="0"/>
        <v>30</v>
      </c>
      <c r="H65" s="40">
        <f t="shared" si="0"/>
        <v>30</v>
      </c>
      <c r="I65" s="40">
        <f t="shared" si="0"/>
        <v>28</v>
      </c>
      <c r="J65" s="40">
        <f t="shared" si="0"/>
        <v>30</v>
      </c>
      <c r="L65" s="40">
        <f>COUNT(L3:L33)</f>
        <v>28</v>
      </c>
    </row>
    <row r="66" spans="1:12" s="40" customFormat="1">
      <c r="A66" s="69" t="s">
        <v>460</v>
      </c>
      <c r="B66" s="40">
        <f>COUNT(B35:B63)</f>
        <v>29</v>
      </c>
      <c r="C66" s="40">
        <f t="shared" ref="C66:J66" si="1">COUNT(C35:C63)</f>
        <v>29</v>
      </c>
      <c r="D66" s="40">
        <f t="shared" si="1"/>
        <v>29</v>
      </c>
      <c r="E66" s="40">
        <f t="shared" si="1"/>
        <v>29</v>
      </c>
      <c r="F66" s="40">
        <f t="shared" si="1"/>
        <v>29</v>
      </c>
      <c r="G66" s="40">
        <f t="shared" si="1"/>
        <v>29</v>
      </c>
      <c r="H66" s="40">
        <f t="shared" si="1"/>
        <v>29</v>
      </c>
      <c r="I66" s="40">
        <f t="shared" si="1"/>
        <v>25</v>
      </c>
      <c r="J66" s="40">
        <f t="shared" si="1"/>
        <v>29</v>
      </c>
      <c r="L66" s="40">
        <f>COUNT(L35:L63)</f>
        <v>28</v>
      </c>
    </row>
    <row r="67" spans="1:12" s="40" customFormat="1">
      <c r="A67" s="69"/>
      <c r="F67" s="72"/>
      <c r="G67" s="70"/>
      <c r="H67" s="70"/>
    </row>
    <row r="68" spans="1:12" ht="15">
      <c r="A68" s="29" t="s">
        <v>133</v>
      </c>
      <c r="B68" s="42">
        <f t="shared" ref="B68:J68" si="2">AVERAGE(B3:B33)</f>
        <v>8.3000000000000007</v>
      </c>
      <c r="C68" s="42">
        <f t="shared" si="2"/>
        <v>354.9</v>
      </c>
      <c r="D68" s="42">
        <f t="shared" si="2"/>
        <v>17.639999999999997</v>
      </c>
      <c r="E68" s="42">
        <f t="shared" si="2"/>
        <v>35.06666666666667</v>
      </c>
      <c r="F68" s="42">
        <f t="shared" si="2"/>
        <v>0.14500000000000002</v>
      </c>
      <c r="G68" s="42">
        <f t="shared" si="2"/>
        <v>0.7</v>
      </c>
      <c r="H68" s="42">
        <f t="shared" si="2"/>
        <v>0.8</v>
      </c>
      <c r="I68" s="42">
        <f t="shared" si="2"/>
        <v>0.1525</v>
      </c>
      <c r="J68" s="42">
        <f t="shared" si="2"/>
        <v>9.2299999999999986</v>
      </c>
      <c r="L68" s="42">
        <f>AVERAGE(L3:L33)</f>
        <v>27.142857142857142</v>
      </c>
    </row>
    <row r="69" spans="1:12" ht="15">
      <c r="A69" s="29" t="s">
        <v>134</v>
      </c>
      <c r="B69" s="42">
        <f>AVERAGE(B35:B63)</f>
        <v>7.6551724137931032</v>
      </c>
      <c r="C69" s="42">
        <f t="shared" ref="C69:J69" si="3">AVERAGE(C35:C63)</f>
        <v>462.79310344827587</v>
      </c>
      <c r="D69" s="42">
        <f t="shared" si="3"/>
        <v>20.606896551724137</v>
      </c>
      <c r="E69" s="42">
        <f t="shared" si="3"/>
        <v>28.413793103448278</v>
      </c>
      <c r="F69" s="42">
        <f t="shared" si="3"/>
        <v>0.15275862068965521</v>
      </c>
      <c r="G69" s="42">
        <f t="shared" si="3"/>
        <v>0.75862068965517238</v>
      </c>
      <c r="H69" s="42">
        <f t="shared" si="3"/>
        <v>0.51724137931034486</v>
      </c>
      <c r="I69" s="42">
        <f t="shared" si="3"/>
        <v>0.17800000000000002</v>
      </c>
      <c r="J69" s="42">
        <f t="shared" si="3"/>
        <v>9.6241379310344808</v>
      </c>
      <c r="L69" s="42">
        <f>AVERAGE(L35:L63)</f>
        <v>24.857142857142858</v>
      </c>
    </row>
    <row r="70" spans="1:12" ht="15">
      <c r="A70" s="29" t="s">
        <v>465</v>
      </c>
      <c r="B70" s="42">
        <f>STDEV(B3:B33)</f>
        <v>2.2460693636232394</v>
      </c>
      <c r="C70" s="42">
        <f t="shared" ref="C70:J70" si="4">STDEV(C3:C33)</f>
        <v>196.02521829319963</v>
      </c>
      <c r="D70" s="42">
        <f t="shared" si="4"/>
        <v>6.1933000506387117</v>
      </c>
      <c r="E70" s="42">
        <f t="shared" si="4"/>
        <v>30.96152599524163</v>
      </c>
      <c r="F70" s="42">
        <f t="shared" si="4"/>
        <v>5.7220083284057477E-2</v>
      </c>
      <c r="G70" s="42">
        <f t="shared" si="4"/>
        <v>0.59596343326843759</v>
      </c>
      <c r="H70" s="42">
        <f t="shared" si="4"/>
        <v>0.61025715325872931</v>
      </c>
      <c r="I70" s="42">
        <f t="shared" si="4"/>
        <v>9.7738312742638403E-2</v>
      </c>
      <c r="J70" s="42">
        <f t="shared" si="4"/>
        <v>2.5250674282564027</v>
      </c>
      <c r="L70" s="42">
        <f>STDEV(L3:L33)</f>
        <v>9.0705640549599948</v>
      </c>
    </row>
    <row r="71" spans="1:12" ht="15">
      <c r="A71" s="30" t="s">
        <v>491</v>
      </c>
      <c r="B71" s="42">
        <f>STDEV(B35:B63)</f>
        <v>1.7170544144170161</v>
      </c>
      <c r="C71" s="42">
        <f t="shared" ref="C71:J71" si="5">STDEV(C35:C63)</f>
        <v>174.34517882439522</v>
      </c>
      <c r="D71" s="42">
        <f t="shared" si="5"/>
        <v>9.0463067063100695</v>
      </c>
      <c r="E71" s="42">
        <f t="shared" si="5"/>
        <v>25.620189083415266</v>
      </c>
      <c r="F71" s="42">
        <f t="shared" si="5"/>
        <v>7.6433750572642886E-2</v>
      </c>
      <c r="G71" s="42">
        <f t="shared" si="5"/>
        <v>0.57663880832886716</v>
      </c>
      <c r="H71" s="42">
        <f t="shared" si="5"/>
        <v>0.5085476277156078</v>
      </c>
      <c r="I71" s="42">
        <f t="shared" si="5"/>
        <v>0.13496913227351903</v>
      </c>
      <c r="J71" s="42">
        <f t="shared" si="5"/>
        <v>3.1239461277152323</v>
      </c>
      <c r="L71" s="42">
        <f>STDEV(L35:L63)</f>
        <v>6.0840671442607412</v>
      </c>
    </row>
    <row r="72" spans="1:12" ht="15">
      <c r="A72" s="29"/>
      <c r="B72" s="42"/>
      <c r="C72" s="42"/>
      <c r="D72" s="42"/>
      <c r="E72" s="42"/>
      <c r="G72" s="42"/>
      <c r="H72" s="42"/>
      <c r="I72" s="42"/>
      <c r="J72" s="42"/>
      <c r="L72" s="42"/>
    </row>
    <row r="73" spans="1:12" ht="15">
      <c r="A73" s="29" t="s">
        <v>20</v>
      </c>
      <c r="B73" s="42">
        <f t="shared" ref="B73:J73" si="6">TTEST(B3:B33, B35:B63, 2, 3)</f>
        <v>0.21981777009204098</v>
      </c>
      <c r="C73" s="100">
        <f t="shared" si="6"/>
        <v>2.9332934780520969E-2</v>
      </c>
      <c r="D73" s="42">
        <f t="shared" si="6"/>
        <v>0.14922106685910136</v>
      </c>
      <c r="E73" s="42">
        <f t="shared" si="6"/>
        <v>0.37175761389895445</v>
      </c>
      <c r="F73" s="42">
        <f t="shared" si="6"/>
        <v>0.66159199490547516</v>
      </c>
      <c r="G73" s="42">
        <f t="shared" si="6"/>
        <v>0.70241051123982157</v>
      </c>
      <c r="H73" s="42">
        <f t="shared" si="6"/>
        <v>5.7940745754870855E-2</v>
      </c>
      <c r="I73" s="42">
        <f t="shared" si="6"/>
        <v>0.43985715755261345</v>
      </c>
      <c r="J73" s="42">
        <f t="shared" si="6"/>
        <v>0.59697437763208394</v>
      </c>
      <c r="L73" s="42">
        <f>TTEST(L3:L33, L35:L63, 2, 3)</f>
        <v>0.27374019542382283</v>
      </c>
    </row>
    <row r="74" spans="1:12" ht="15">
      <c r="A74" s="30" t="s">
        <v>21</v>
      </c>
      <c r="B74" s="48">
        <f t="shared" ref="B74:J74" si="7">(B68-B69)/B69</f>
        <v>8.4234234234234359E-2</v>
      </c>
      <c r="C74" s="48">
        <f t="shared" si="7"/>
        <v>-0.23313463974368534</v>
      </c>
      <c r="D74" s="48">
        <f t="shared" si="7"/>
        <v>-0.14397590361445795</v>
      </c>
      <c r="E74" s="48">
        <f t="shared" si="7"/>
        <v>0.23414239482200652</v>
      </c>
      <c r="F74" s="48">
        <f t="shared" si="7"/>
        <v>-5.0790067720090384E-2</v>
      </c>
      <c r="G74" s="48">
        <f t="shared" si="7"/>
        <v>-7.7272727272727285E-2</v>
      </c>
      <c r="H74" s="48">
        <f t="shared" si="7"/>
        <v>0.54666666666666663</v>
      </c>
      <c r="I74" s="48">
        <f t="shared" si="7"/>
        <v>-0.14325842696629223</v>
      </c>
      <c r="J74" s="48">
        <f t="shared" si="7"/>
        <v>-4.0953063418129647E-2</v>
      </c>
      <c r="L74" s="48">
        <f>(L68-L69)/L69</f>
        <v>9.1954022988505704E-2</v>
      </c>
    </row>
    <row r="75" spans="1:12" ht="15">
      <c r="A75" s="30"/>
      <c r="B75" s="48"/>
      <c r="C75" s="48"/>
      <c r="D75" s="48"/>
      <c r="E75" s="48"/>
      <c r="F75" s="48"/>
      <c r="G75" s="48"/>
      <c r="H75" s="48"/>
      <c r="I75" s="48"/>
      <c r="J75" s="48"/>
      <c r="L75" s="48"/>
    </row>
    <row r="76" spans="1:12" ht="15">
      <c r="A76" s="30" t="s">
        <v>496</v>
      </c>
      <c r="B76" s="102">
        <f>_xlfn.PERCENTILE.EXC(B35:B63,0.1)</f>
        <v>6</v>
      </c>
      <c r="C76" s="102">
        <f t="shared" ref="C76:J76" si="8">_xlfn.PERCENTILE.EXC(C35:C63,0.1)</f>
        <v>282</v>
      </c>
      <c r="D76" s="102">
        <f t="shared" si="8"/>
        <v>10.9</v>
      </c>
      <c r="E76" s="102">
        <f t="shared" si="8"/>
        <v>9</v>
      </c>
      <c r="F76" s="102">
        <f t="shared" si="8"/>
        <v>0.08</v>
      </c>
      <c r="G76" s="102"/>
      <c r="H76" s="102"/>
      <c r="I76" s="102">
        <f t="shared" si="8"/>
        <v>0.06</v>
      </c>
      <c r="J76" s="102">
        <f t="shared" si="8"/>
        <v>6.4</v>
      </c>
      <c r="L76" s="102">
        <f>_xlfn.PERCENTILE.EXC(L35:L63,0.1)</f>
        <v>16.899999999999999</v>
      </c>
    </row>
    <row r="77" spans="1:12" ht="15">
      <c r="A77" s="30" t="s">
        <v>497</v>
      </c>
      <c r="B77" s="102">
        <f>_xlfn.PERCENTILE.EXC(B35:B63,0.9)</f>
        <v>9</v>
      </c>
      <c r="C77" s="102">
        <f t="shared" ref="C77:J77" si="9">_xlfn.PERCENTILE.EXC(C35:C63,0.9)</f>
        <v>630</v>
      </c>
      <c r="D77" s="102">
        <f t="shared" si="9"/>
        <v>38</v>
      </c>
      <c r="E77" s="102">
        <f t="shared" si="9"/>
        <v>50</v>
      </c>
      <c r="F77" s="102">
        <f t="shared" si="9"/>
        <v>0.3</v>
      </c>
      <c r="G77" s="102"/>
      <c r="H77" s="102"/>
      <c r="I77" s="102">
        <f t="shared" si="9"/>
        <v>0.38000000000000045</v>
      </c>
      <c r="J77" s="102">
        <f t="shared" si="9"/>
        <v>14.8</v>
      </c>
      <c r="L77" s="102">
        <f>_xlfn.PERCENTILE.EXC(L35:L63,0.9)</f>
        <v>34.1</v>
      </c>
    </row>
    <row r="78" spans="1:12" ht="15">
      <c r="A78" s="30" t="s">
        <v>498</v>
      </c>
      <c r="B78" s="102">
        <f>COUNTIF(B3:B33,"&lt;5.9")</f>
        <v>3</v>
      </c>
      <c r="C78" s="102">
        <f>COUNTIF(C3:C33,"&lt;279.2")</f>
        <v>12</v>
      </c>
      <c r="D78" s="102">
        <f>COUNTIF(D3:D33,"&lt;10.78")</f>
        <v>5</v>
      </c>
      <c r="E78" s="102">
        <f>COUNTIF(E3:E33,"&lt;8.4")</f>
        <v>2</v>
      </c>
      <c r="F78" s="102">
        <f>COUNTIF(F3:F33,"&lt;0.08")</f>
        <v>1</v>
      </c>
      <c r="G78" s="102"/>
      <c r="H78" s="102"/>
      <c r="I78" s="102">
        <f>COUNTIF(I3:I33,"&lt;0.06")</f>
        <v>3</v>
      </c>
      <c r="J78" s="102">
        <f>COUNTIF(J3:J33,"&lt;6.36")</f>
        <v>1</v>
      </c>
      <c r="L78" s="102">
        <f>COUNTIF(L3:L33,"&lt;6.36")</f>
        <v>0</v>
      </c>
    </row>
    <row r="79" spans="1:12" ht="15">
      <c r="A79" s="30" t="s">
        <v>499</v>
      </c>
      <c r="B79" s="102">
        <f>COUNTIF(B3:B33,"&gt;9.1")</f>
        <v>7</v>
      </c>
      <c r="C79" s="102">
        <f>COUNTIF(C3:C33,"639")</f>
        <v>0</v>
      </c>
      <c r="D79" s="102">
        <f>COUNTIF(D3:D33,"&gt;38.1")</f>
        <v>0</v>
      </c>
      <c r="E79" s="102">
        <f>COUNTIF(E3:E33,"&gt;54.9")</f>
        <v>5</v>
      </c>
      <c r="F79" s="102">
        <f>COUNTIF(F3:F33,"&gt;0.3")</f>
        <v>1</v>
      </c>
      <c r="G79" s="102"/>
      <c r="H79" s="102"/>
      <c r="I79" s="102">
        <f>COUNTIF(I3:I33,"&gt;0.40")</f>
        <v>0</v>
      </c>
      <c r="J79" s="102">
        <f>COUNTIF(J3:J33,"&gt;14.86")</f>
        <v>1</v>
      </c>
      <c r="L79" s="102">
        <f>COUNTIF(L3:L33,"&gt;14.86")</f>
        <v>26</v>
      </c>
    </row>
    <row r="80" spans="1:12" ht="15">
      <c r="A80" s="30"/>
      <c r="B80" s="103" t="s">
        <v>500</v>
      </c>
      <c r="C80" s="103"/>
      <c r="D80" s="103"/>
      <c r="E80" s="103"/>
      <c r="F80" s="103"/>
      <c r="G80" s="102"/>
      <c r="H80" s="102"/>
      <c r="I80" s="102"/>
      <c r="J80" s="102"/>
    </row>
    <row r="81" spans="1:10" s="40" customFormat="1">
      <c r="A81" s="69"/>
      <c r="F81" s="72"/>
      <c r="G81" s="70"/>
      <c r="H81" s="70"/>
    </row>
    <row r="82" spans="1:10" ht="15">
      <c r="A82" s="41" t="s">
        <v>103</v>
      </c>
      <c r="B82" s="9">
        <v>11</v>
      </c>
      <c r="C82" s="9">
        <v>218</v>
      </c>
      <c r="D82" s="9">
        <v>15.5</v>
      </c>
      <c r="E82" s="9">
        <v>24</v>
      </c>
      <c r="F82" s="9">
        <v>0.32</v>
      </c>
      <c r="I82" s="9">
        <v>0.2</v>
      </c>
      <c r="J82" s="44">
        <v>10.5</v>
      </c>
    </row>
    <row r="83" spans="1:10" ht="15">
      <c r="A83" s="41" t="s">
        <v>47</v>
      </c>
      <c r="B83" s="9">
        <v>12</v>
      </c>
      <c r="C83" s="9">
        <v>179</v>
      </c>
      <c r="D83" s="9">
        <v>13.8</v>
      </c>
      <c r="E83" s="9">
        <v>27</v>
      </c>
      <c r="F83" s="42">
        <v>0.13</v>
      </c>
      <c r="G83" s="10">
        <v>1</v>
      </c>
      <c r="H83" s="10">
        <v>1</v>
      </c>
      <c r="I83" s="9">
        <v>0.2</v>
      </c>
      <c r="J83" s="43">
        <v>13.1</v>
      </c>
    </row>
    <row r="85" spans="1:10">
      <c r="A85" s="8" t="s">
        <v>104</v>
      </c>
      <c r="B85" s="9">
        <v>10</v>
      </c>
      <c r="C85" s="9">
        <v>308</v>
      </c>
      <c r="D85" s="9">
        <v>22</v>
      </c>
      <c r="E85" s="9">
        <v>57</v>
      </c>
      <c r="F85" s="9">
        <v>0.18</v>
      </c>
      <c r="I85" s="9">
        <v>0.2</v>
      </c>
      <c r="J85" s="46">
        <v>11.7</v>
      </c>
    </row>
    <row r="86" spans="1:10" ht="14.25" customHeight="1">
      <c r="A86" s="8" t="s">
        <v>55</v>
      </c>
      <c r="B86" s="9">
        <v>12</v>
      </c>
      <c r="C86" s="9">
        <v>225</v>
      </c>
      <c r="D86" s="9">
        <v>16.3</v>
      </c>
      <c r="E86" s="9">
        <v>40</v>
      </c>
      <c r="F86" s="42">
        <v>0.18</v>
      </c>
      <c r="G86" s="10">
        <v>1</v>
      </c>
      <c r="H86" s="10">
        <v>1</v>
      </c>
      <c r="I86" s="9">
        <v>0.1</v>
      </c>
      <c r="J86" s="9">
        <v>9.9</v>
      </c>
    </row>
    <row r="88" spans="1:10">
      <c r="A88" s="49" t="s">
        <v>106</v>
      </c>
      <c r="B88" s="9">
        <v>12</v>
      </c>
      <c r="C88" s="9">
        <v>122</v>
      </c>
      <c r="D88" s="9">
        <v>12.3</v>
      </c>
      <c r="E88" s="9">
        <v>10</v>
      </c>
      <c r="F88" s="9">
        <v>0.25</v>
      </c>
      <c r="G88" s="9"/>
      <c r="H88" s="9"/>
      <c r="I88" s="9">
        <v>0.3</v>
      </c>
      <c r="J88" s="9">
        <v>10.5</v>
      </c>
    </row>
    <row r="89" spans="1:10">
      <c r="A89" s="8" t="s">
        <v>105</v>
      </c>
      <c r="B89" s="9">
        <v>14</v>
      </c>
      <c r="C89" s="9">
        <v>142</v>
      </c>
      <c r="D89" s="9">
        <v>6.4</v>
      </c>
      <c r="E89" s="9">
        <v>11</v>
      </c>
      <c r="F89" s="9">
        <v>0.3</v>
      </c>
      <c r="G89" s="9"/>
      <c r="H89" s="9"/>
      <c r="I89" s="9">
        <v>0.2</v>
      </c>
      <c r="J89" s="9">
        <v>12.1</v>
      </c>
    </row>
    <row r="90" spans="1:10">
      <c r="A90" s="49" t="s">
        <v>59</v>
      </c>
      <c r="B90" s="9">
        <v>14</v>
      </c>
      <c r="C90" s="9">
        <v>137</v>
      </c>
      <c r="D90" s="9">
        <v>9.6999999999999993</v>
      </c>
      <c r="E90" s="9">
        <v>11</v>
      </c>
      <c r="F90" s="42">
        <v>0.34</v>
      </c>
      <c r="G90" s="10">
        <v>1</v>
      </c>
      <c r="H90" s="10">
        <v>1</v>
      </c>
      <c r="I90" s="9">
        <v>0.1</v>
      </c>
      <c r="J90" s="9">
        <v>12.4</v>
      </c>
    </row>
    <row r="91" spans="1:10">
      <c r="A91" s="49"/>
    </row>
    <row r="92" spans="1:10">
      <c r="A92" s="49" t="s">
        <v>107</v>
      </c>
      <c r="B92" s="9">
        <v>7</v>
      </c>
      <c r="C92" s="9">
        <v>261</v>
      </c>
      <c r="D92" s="9">
        <v>24</v>
      </c>
      <c r="E92" s="9">
        <v>32</v>
      </c>
      <c r="F92" s="9">
        <v>0.16</v>
      </c>
      <c r="G92" s="9"/>
      <c r="H92" s="9"/>
      <c r="I92" s="9">
        <v>0.1</v>
      </c>
      <c r="J92" s="9">
        <v>8.1</v>
      </c>
    </row>
    <row r="93" spans="1:10">
      <c r="A93" s="49" t="s">
        <v>108</v>
      </c>
      <c r="B93" s="9">
        <v>10</v>
      </c>
      <c r="C93" s="9">
        <v>263</v>
      </c>
      <c r="D93" s="9">
        <v>22</v>
      </c>
      <c r="E93" s="9">
        <v>30</v>
      </c>
      <c r="F93" s="9">
        <v>0.2</v>
      </c>
      <c r="I93" s="9">
        <v>0.2</v>
      </c>
      <c r="J93" s="9">
        <v>10.3</v>
      </c>
    </row>
    <row r="94" spans="1:10" ht="15">
      <c r="A94" s="50" t="s">
        <v>65</v>
      </c>
      <c r="B94" s="44">
        <v>10</v>
      </c>
      <c r="C94" s="9">
        <v>162</v>
      </c>
      <c r="D94" s="9">
        <v>10.3</v>
      </c>
      <c r="E94" s="9">
        <v>20</v>
      </c>
      <c r="F94" s="44">
        <v>0.14000000000000001</v>
      </c>
      <c r="G94" s="45">
        <v>1</v>
      </c>
      <c r="H94" s="45">
        <v>1</v>
      </c>
      <c r="I94" s="44">
        <v>0.2</v>
      </c>
      <c r="J94" s="44">
        <v>8.6</v>
      </c>
    </row>
    <row r="96" spans="1:10">
      <c r="A96" s="8" t="s">
        <v>109</v>
      </c>
      <c r="B96" s="9">
        <v>9</v>
      </c>
      <c r="C96" s="9">
        <v>245</v>
      </c>
      <c r="D96" s="9">
        <v>26</v>
      </c>
      <c r="E96" s="9">
        <v>30</v>
      </c>
      <c r="F96" s="9">
        <v>0.14000000000000001</v>
      </c>
      <c r="G96" s="9"/>
      <c r="H96" s="9"/>
      <c r="I96" s="9">
        <v>0.1</v>
      </c>
      <c r="J96" s="9">
        <v>10</v>
      </c>
    </row>
    <row r="97" spans="1:10" ht="15">
      <c r="A97" s="47" t="s">
        <v>93</v>
      </c>
      <c r="B97" s="44">
        <v>14</v>
      </c>
      <c r="C97" s="9">
        <v>230</v>
      </c>
      <c r="D97" s="9">
        <v>9.3000000000000007</v>
      </c>
      <c r="E97" s="9">
        <v>23</v>
      </c>
      <c r="F97" s="44">
        <v>0.12</v>
      </c>
      <c r="G97" s="45">
        <v>2</v>
      </c>
      <c r="H97" s="45">
        <v>0</v>
      </c>
      <c r="I97" s="9">
        <v>0.1</v>
      </c>
      <c r="J97" s="44">
        <v>9.4</v>
      </c>
    </row>
    <row r="99" spans="1:10">
      <c r="A99" s="8" t="s">
        <v>110</v>
      </c>
      <c r="B99" s="9">
        <v>9</v>
      </c>
      <c r="C99" s="9">
        <v>334</v>
      </c>
      <c r="D99" s="9">
        <v>28</v>
      </c>
      <c r="E99" s="9">
        <v>19</v>
      </c>
      <c r="F99" s="9">
        <v>0.3</v>
      </c>
      <c r="I99" s="9">
        <v>0.2</v>
      </c>
      <c r="J99" s="9">
        <v>6.9</v>
      </c>
    </row>
    <row r="100" spans="1:10" ht="15">
      <c r="A100" s="47" t="s">
        <v>97</v>
      </c>
      <c r="B100" s="44">
        <v>10</v>
      </c>
      <c r="C100" s="9">
        <v>359</v>
      </c>
      <c r="D100" s="9">
        <v>17.3</v>
      </c>
      <c r="E100" s="9">
        <v>14</v>
      </c>
      <c r="F100" s="44">
        <v>0.41</v>
      </c>
      <c r="G100" s="10">
        <v>0</v>
      </c>
      <c r="H100" s="10">
        <v>1</v>
      </c>
      <c r="I100" s="9">
        <v>0.2</v>
      </c>
      <c r="J100" s="44">
        <v>7.6</v>
      </c>
    </row>
    <row r="103" spans="1:10" ht="15">
      <c r="A103" s="8" t="s">
        <v>111</v>
      </c>
      <c r="B103" s="9">
        <v>6</v>
      </c>
      <c r="C103" s="9">
        <v>648</v>
      </c>
      <c r="D103" s="9">
        <v>16.2</v>
      </c>
      <c r="E103" s="9">
        <v>20</v>
      </c>
      <c r="F103" s="44">
        <v>0.18</v>
      </c>
      <c r="G103" s="45">
        <v>1</v>
      </c>
      <c r="H103" s="45">
        <v>0</v>
      </c>
      <c r="I103" s="9">
        <v>0.2</v>
      </c>
      <c r="J103" s="44">
        <v>6.3</v>
      </c>
    </row>
    <row r="105" spans="1:10" ht="15">
      <c r="A105" s="41" t="s">
        <v>89</v>
      </c>
      <c r="B105" s="9">
        <v>7</v>
      </c>
      <c r="C105" s="9">
        <v>592</v>
      </c>
      <c r="D105" s="9">
        <v>30</v>
      </c>
      <c r="E105" s="9">
        <v>55</v>
      </c>
      <c r="F105" s="42">
        <v>7.0000000000000007E-2</v>
      </c>
      <c r="G105" s="10">
        <v>1</v>
      </c>
      <c r="H105" s="10">
        <v>1</v>
      </c>
      <c r="I105" s="44">
        <v>0.04</v>
      </c>
      <c r="J105" s="44">
        <v>14.1</v>
      </c>
    </row>
    <row r="108" spans="1:10">
      <c r="G108" s="10" t="s">
        <v>443</v>
      </c>
      <c r="H108" s="10" t="s">
        <v>443</v>
      </c>
    </row>
    <row r="109" spans="1:10">
      <c r="G109" s="10">
        <v>0</v>
      </c>
      <c r="H109" s="10">
        <v>0</v>
      </c>
    </row>
    <row r="110" spans="1:10">
      <c r="F110" s="9"/>
      <c r="G110" s="10">
        <v>0</v>
      </c>
      <c r="H110" s="10">
        <v>0</v>
      </c>
    </row>
    <row r="111" spans="1:10">
      <c r="G111" s="10">
        <v>0</v>
      </c>
      <c r="H111" s="10">
        <v>0</v>
      </c>
    </row>
    <row r="112" spans="1:10">
      <c r="G112" s="10">
        <v>0</v>
      </c>
      <c r="H112" s="10">
        <v>0</v>
      </c>
    </row>
    <row r="113" spans="7:8" ht="15">
      <c r="G113" s="10">
        <v>0</v>
      </c>
      <c r="H113" s="45">
        <v>0</v>
      </c>
    </row>
    <row r="114" spans="7:8">
      <c r="G114" s="10">
        <v>0</v>
      </c>
      <c r="H114" s="10">
        <v>0</v>
      </c>
    </row>
    <row r="115" spans="7:8" ht="15">
      <c r="G115" s="45">
        <v>0</v>
      </c>
      <c r="H115" s="10">
        <v>0</v>
      </c>
    </row>
    <row r="116" spans="7:8" ht="15">
      <c r="G116" s="45">
        <v>0</v>
      </c>
      <c r="H116" s="45">
        <v>0</v>
      </c>
    </row>
    <row r="117" spans="7:8" ht="15">
      <c r="G117" s="45">
        <v>0</v>
      </c>
      <c r="H117" s="45">
        <v>0</v>
      </c>
    </row>
    <row r="118" spans="7:8" ht="15">
      <c r="G118" s="45">
        <v>0</v>
      </c>
      <c r="H118" s="10">
        <v>1</v>
      </c>
    </row>
    <row r="119" spans="7:8" ht="15">
      <c r="G119" s="45">
        <v>0</v>
      </c>
      <c r="H119" s="10">
        <v>1</v>
      </c>
    </row>
    <row r="120" spans="7:8">
      <c r="G120" s="10">
        <v>1</v>
      </c>
      <c r="H120" s="10">
        <v>1</v>
      </c>
    </row>
    <row r="121" spans="7:8">
      <c r="G121" s="10">
        <v>1</v>
      </c>
      <c r="H121" s="10">
        <v>1</v>
      </c>
    </row>
    <row r="122" spans="7:8">
      <c r="G122" s="10">
        <v>1</v>
      </c>
      <c r="H122" s="10">
        <v>1</v>
      </c>
    </row>
    <row r="123" spans="7:8">
      <c r="G123" s="10">
        <v>1</v>
      </c>
      <c r="H123" s="10">
        <v>1</v>
      </c>
    </row>
    <row r="124" spans="7:8">
      <c r="G124" s="10">
        <v>1</v>
      </c>
      <c r="H124" s="10">
        <v>1</v>
      </c>
    </row>
    <row r="125" spans="7:8">
      <c r="G125" s="10">
        <v>1</v>
      </c>
      <c r="H125" s="10">
        <v>1</v>
      </c>
    </row>
    <row r="126" spans="7:8">
      <c r="G126" s="10">
        <v>1</v>
      </c>
      <c r="H126" s="10">
        <v>1</v>
      </c>
    </row>
    <row r="127" spans="7:8">
      <c r="G127" s="10">
        <v>1</v>
      </c>
      <c r="H127" s="10">
        <v>1</v>
      </c>
    </row>
    <row r="128" spans="7:8">
      <c r="G128" s="10">
        <v>1</v>
      </c>
      <c r="H128" s="10">
        <v>1</v>
      </c>
    </row>
    <row r="129" spans="6:8">
      <c r="G129" s="10">
        <v>1</v>
      </c>
      <c r="H129" s="10">
        <v>1</v>
      </c>
    </row>
    <row r="130" spans="6:8">
      <c r="G130" s="10">
        <v>1</v>
      </c>
      <c r="H130" s="10">
        <v>1</v>
      </c>
    </row>
    <row r="131" spans="6:8">
      <c r="G131" s="10">
        <v>1</v>
      </c>
      <c r="H131" s="10">
        <v>1</v>
      </c>
    </row>
    <row r="132" spans="6:8">
      <c r="G132" s="10">
        <v>1</v>
      </c>
      <c r="H132" s="10">
        <v>1</v>
      </c>
    </row>
    <row r="133" spans="6:8" ht="15">
      <c r="G133" s="10">
        <v>1</v>
      </c>
      <c r="H133" s="45">
        <v>1</v>
      </c>
    </row>
    <row r="134" spans="6:8" ht="15">
      <c r="G134" s="10">
        <v>1</v>
      </c>
      <c r="H134" s="45">
        <v>1</v>
      </c>
    </row>
    <row r="135" spans="6:8" ht="15">
      <c r="G135" s="45">
        <v>1</v>
      </c>
      <c r="H135" s="45">
        <v>1</v>
      </c>
    </row>
    <row r="136" spans="6:8" ht="15">
      <c r="G136" s="45">
        <v>1</v>
      </c>
      <c r="H136" s="10">
        <v>2</v>
      </c>
    </row>
    <row r="137" spans="6:8" ht="15">
      <c r="G137" s="10">
        <v>2</v>
      </c>
      <c r="H137" s="45">
        <v>2</v>
      </c>
    </row>
    <row r="138" spans="6:8" ht="15">
      <c r="G138" s="45">
        <v>2</v>
      </c>
      <c r="H138" s="45">
        <v>2</v>
      </c>
    </row>
    <row r="139" spans="6:8">
      <c r="F139" s="42" t="s">
        <v>492</v>
      </c>
      <c r="G139" s="101">
        <f>11/30</f>
        <v>0.36666666666666664</v>
      </c>
      <c r="H139" s="101">
        <f>9/30</f>
        <v>0.3</v>
      </c>
    </row>
    <row r="140" spans="6:8">
      <c r="F140" s="42" t="s">
        <v>493</v>
      </c>
      <c r="G140" s="101">
        <f>17/30</f>
        <v>0.56666666666666665</v>
      </c>
      <c r="H140" s="101">
        <f>18/30</f>
        <v>0.6</v>
      </c>
    </row>
    <row r="141" spans="6:8">
      <c r="F141" s="42" t="s">
        <v>494</v>
      </c>
      <c r="G141" s="101">
        <f>2/30</f>
        <v>6.6666666666666666E-2</v>
      </c>
      <c r="H141" s="101">
        <f>3/30</f>
        <v>0.1</v>
      </c>
    </row>
    <row r="143" spans="6:8">
      <c r="G143" s="10" t="s">
        <v>495</v>
      </c>
      <c r="H143" s="10" t="s">
        <v>495</v>
      </c>
    </row>
    <row r="144" spans="6:8">
      <c r="G144" s="10">
        <v>0</v>
      </c>
      <c r="H144" s="10">
        <v>0</v>
      </c>
    </row>
    <row r="145" spans="7:8">
      <c r="G145" s="10">
        <v>0</v>
      </c>
      <c r="H145" s="10">
        <v>0</v>
      </c>
    </row>
    <row r="146" spans="7:8">
      <c r="G146" s="10">
        <v>0</v>
      </c>
      <c r="H146" s="10">
        <v>0</v>
      </c>
    </row>
    <row r="147" spans="7:8">
      <c r="G147" s="10">
        <v>0</v>
      </c>
      <c r="H147" s="10">
        <v>0</v>
      </c>
    </row>
    <row r="148" spans="7:8" ht="15">
      <c r="G148" s="45">
        <v>0</v>
      </c>
      <c r="H148" s="45">
        <v>0</v>
      </c>
    </row>
    <row r="149" spans="7:8" ht="15">
      <c r="G149" s="45">
        <v>0</v>
      </c>
      <c r="H149" s="45">
        <v>0</v>
      </c>
    </row>
    <row r="150" spans="7:8">
      <c r="G150" s="10">
        <v>0</v>
      </c>
      <c r="H150" s="10">
        <v>0</v>
      </c>
    </row>
    <row r="151" spans="7:8" ht="15">
      <c r="G151" s="45">
        <v>0</v>
      </c>
      <c r="H151" s="10">
        <v>0</v>
      </c>
    </row>
    <row r="152" spans="7:8">
      <c r="G152" s="10">
        <v>0</v>
      </c>
      <c r="H152" s="10">
        <v>0</v>
      </c>
    </row>
    <row r="153" spans="7:8" ht="15">
      <c r="G153" s="10">
        <v>1</v>
      </c>
      <c r="H153" s="45">
        <v>0</v>
      </c>
    </row>
    <row r="154" spans="7:8" ht="15">
      <c r="G154" s="10">
        <v>1</v>
      </c>
      <c r="H154" s="45">
        <v>0</v>
      </c>
    </row>
    <row r="155" spans="7:8">
      <c r="G155" s="10">
        <v>1</v>
      </c>
      <c r="H155" s="10">
        <v>0</v>
      </c>
    </row>
    <row r="156" spans="7:8">
      <c r="G156" s="10">
        <v>1</v>
      </c>
      <c r="H156" s="10">
        <v>0</v>
      </c>
    </row>
    <row r="157" spans="7:8">
      <c r="G157" s="10">
        <v>1</v>
      </c>
      <c r="H157" s="10">
        <v>1</v>
      </c>
    </row>
    <row r="158" spans="7:8">
      <c r="G158" s="10">
        <v>1</v>
      </c>
      <c r="H158" s="10">
        <v>1</v>
      </c>
    </row>
    <row r="159" spans="7:8">
      <c r="G159" s="10">
        <v>1</v>
      </c>
      <c r="H159" s="10">
        <v>1</v>
      </c>
    </row>
    <row r="160" spans="7:8">
      <c r="G160" s="10">
        <v>1</v>
      </c>
      <c r="H160" s="10">
        <v>1</v>
      </c>
    </row>
    <row r="161" spans="6:8" ht="15">
      <c r="G161" s="45">
        <v>1</v>
      </c>
      <c r="H161" s="10">
        <v>1</v>
      </c>
    </row>
    <row r="162" spans="6:8">
      <c r="G162" s="10">
        <v>1</v>
      </c>
      <c r="H162" s="10">
        <v>1</v>
      </c>
    </row>
    <row r="163" spans="6:8">
      <c r="G163" s="10">
        <v>1</v>
      </c>
      <c r="H163" s="10">
        <v>1</v>
      </c>
    </row>
    <row r="164" spans="6:8">
      <c r="G164" s="10">
        <v>1</v>
      </c>
      <c r="H164" s="10">
        <v>1</v>
      </c>
    </row>
    <row r="165" spans="6:8">
      <c r="G165" s="10">
        <v>1</v>
      </c>
      <c r="H165" s="10">
        <v>1</v>
      </c>
    </row>
    <row r="166" spans="6:8" ht="15">
      <c r="G166" s="45">
        <v>1</v>
      </c>
      <c r="H166" s="45">
        <v>1</v>
      </c>
    </row>
    <row r="167" spans="6:8" ht="15">
      <c r="G167" s="10">
        <v>1</v>
      </c>
      <c r="H167" s="45">
        <v>1</v>
      </c>
    </row>
    <row r="168" spans="6:8">
      <c r="G168" s="10">
        <v>1</v>
      </c>
      <c r="H168" s="10">
        <v>1</v>
      </c>
    </row>
    <row r="169" spans="6:8" ht="15">
      <c r="G169" s="10">
        <v>1</v>
      </c>
      <c r="H169" s="45">
        <v>1</v>
      </c>
    </row>
    <row r="170" spans="6:8" ht="15">
      <c r="G170" s="45">
        <v>2</v>
      </c>
      <c r="H170" s="10">
        <v>1</v>
      </c>
    </row>
    <row r="171" spans="6:8" ht="15">
      <c r="G171" s="45">
        <v>2</v>
      </c>
      <c r="H171" s="10">
        <v>1</v>
      </c>
    </row>
    <row r="172" spans="6:8">
      <c r="F172" s="42" t="s">
        <v>492</v>
      </c>
      <c r="G172" s="101">
        <f>9/29</f>
        <v>0.31034482758620691</v>
      </c>
      <c r="H172" s="101">
        <f>14/29</f>
        <v>0.48275862068965519</v>
      </c>
    </row>
    <row r="173" spans="6:8">
      <c r="F173" s="42" t="s">
        <v>493</v>
      </c>
      <c r="G173" s="101">
        <f>18/29</f>
        <v>0.62068965517241381</v>
      </c>
      <c r="H173" s="101">
        <f>15/29</f>
        <v>0.51724137931034486</v>
      </c>
    </row>
    <row r="174" spans="6:8">
      <c r="F174" s="42" t="s">
        <v>494</v>
      </c>
      <c r="G174" s="101">
        <f>2/29</f>
        <v>6.8965517241379309E-2</v>
      </c>
      <c r="H174" s="101">
        <v>0</v>
      </c>
    </row>
  </sheetData>
  <sortState ref="H138:H166">
    <sortCondition ref="H138"/>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2"/>
  <sheetViews>
    <sheetView zoomScale="70" zoomScaleNormal="70" workbookViewId="0">
      <selection activeCell="M2" sqref="M2"/>
    </sheetView>
  </sheetViews>
  <sheetFormatPr defaultColWidth="9.140625" defaultRowHeight="15"/>
  <cols>
    <col min="1" max="1" width="21.42578125" style="88" customWidth="1"/>
    <col min="2" max="2" width="23.5703125" style="88" customWidth="1"/>
    <col min="3" max="3" width="29.28515625" style="88" customWidth="1"/>
    <col min="4" max="4" width="19.5703125" style="144" bestFit="1" customWidth="1"/>
    <col min="5" max="5" width="12.42578125" style="144" bestFit="1" customWidth="1"/>
    <col min="6" max="8" width="10.5703125" style="144" bestFit="1" customWidth="1"/>
    <col min="9" max="9" width="9.140625" style="29"/>
    <col min="10" max="10" width="25.42578125" style="88" customWidth="1"/>
    <col min="11" max="11" width="13.42578125" style="144" bestFit="1" customWidth="1"/>
    <col min="12" max="14" width="9.140625" style="29"/>
    <col min="15" max="15" width="12.42578125" style="29" bestFit="1" customWidth="1"/>
    <col min="16" max="16" width="9.140625" style="29"/>
    <col min="17" max="17" width="15.28515625" style="29" bestFit="1" customWidth="1"/>
    <col min="18" max="16384" width="9.140625" style="29"/>
  </cols>
  <sheetData>
    <row r="1" spans="1:21" s="86" customFormat="1" ht="45">
      <c r="A1" s="84" t="s">
        <v>126</v>
      </c>
      <c r="B1" s="85" t="s">
        <v>426</v>
      </c>
      <c r="C1" s="85" t="s">
        <v>425</v>
      </c>
      <c r="D1" s="144">
        <v>4</v>
      </c>
      <c r="E1" s="144"/>
      <c r="F1" s="144"/>
      <c r="G1" s="144"/>
      <c r="H1" s="144"/>
      <c r="J1" s="85" t="s">
        <v>424</v>
      </c>
      <c r="K1" s="144">
        <v>11</v>
      </c>
      <c r="L1" s="86">
        <v>12</v>
      </c>
      <c r="M1" s="86" t="s">
        <v>786</v>
      </c>
      <c r="N1" s="86">
        <v>14</v>
      </c>
      <c r="O1" s="86">
        <v>15</v>
      </c>
      <c r="P1" s="86">
        <v>16</v>
      </c>
      <c r="Q1" s="86">
        <v>17</v>
      </c>
      <c r="R1" s="86">
        <v>18</v>
      </c>
      <c r="S1" s="86">
        <v>19</v>
      </c>
      <c r="T1" s="86">
        <v>20</v>
      </c>
      <c r="U1" s="86">
        <v>21</v>
      </c>
    </row>
    <row r="2" spans="1:21" s="86" customFormat="1">
      <c r="A2" s="87"/>
      <c r="B2" s="85"/>
      <c r="C2" s="85"/>
      <c r="D2" s="144" t="s">
        <v>429</v>
      </c>
      <c r="E2" s="144" t="s">
        <v>438</v>
      </c>
      <c r="F2" s="144" t="s">
        <v>438</v>
      </c>
      <c r="G2" s="144" t="s">
        <v>438</v>
      </c>
      <c r="H2" s="144" t="s">
        <v>438</v>
      </c>
      <c r="J2" s="85"/>
      <c r="K2" s="144" t="s">
        <v>430</v>
      </c>
      <c r="M2" s="86" t="s">
        <v>787</v>
      </c>
      <c r="N2" s="86" t="s">
        <v>432</v>
      </c>
      <c r="O2" s="86" t="s">
        <v>431</v>
      </c>
      <c r="P2" s="86" t="s">
        <v>434</v>
      </c>
      <c r="Q2" s="86" t="s">
        <v>788</v>
      </c>
      <c r="R2" s="86" t="s">
        <v>789</v>
      </c>
      <c r="S2" s="86" t="s">
        <v>632</v>
      </c>
      <c r="T2" s="86" t="s">
        <v>790</v>
      </c>
      <c r="U2" s="86" t="s">
        <v>791</v>
      </c>
    </row>
    <row r="3" spans="1:21" ht="30">
      <c r="A3" s="88" t="s">
        <v>40</v>
      </c>
      <c r="B3" s="88" t="s">
        <v>361</v>
      </c>
      <c r="C3" s="88" t="s">
        <v>347</v>
      </c>
      <c r="D3" s="144">
        <v>0</v>
      </c>
      <c r="J3" s="88" t="s">
        <v>423</v>
      </c>
      <c r="K3" s="144">
        <v>1</v>
      </c>
      <c r="M3" s="29">
        <v>0</v>
      </c>
      <c r="N3" s="29">
        <v>0</v>
      </c>
      <c r="O3" s="30">
        <v>0</v>
      </c>
      <c r="P3" s="30">
        <v>0</v>
      </c>
      <c r="Q3" s="30">
        <v>0</v>
      </c>
      <c r="R3" s="30">
        <v>0</v>
      </c>
      <c r="S3" s="30">
        <v>0</v>
      </c>
      <c r="T3" s="30">
        <v>0</v>
      </c>
      <c r="U3" s="30">
        <v>0</v>
      </c>
    </row>
    <row r="4" spans="1:21" ht="30">
      <c r="A4" s="88" t="s">
        <v>41</v>
      </c>
      <c r="B4" s="88" t="s">
        <v>422</v>
      </c>
      <c r="C4" s="88" t="s">
        <v>421</v>
      </c>
      <c r="D4" s="144">
        <v>1</v>
      </c>
      <c r="E4" s="144" t="s">
        <v>431</v>
      </c>
      <c r="J4" s="88" t="s">
        <v>347</v>
      </c>
      <c r="K4" s="144">
        <v>0</v>
      </c>
      <c r="M4" s="29">
        <v>0</v>
      </c>
      <c r="N4" s="29">
        <v>0</v>
      </c>
      <c r="O4" s="30">
        <v>1</v>
      </c>
      <c r="P4" s="30">
        <v>0</v>
      </c>
      <c r="Q4" s="30">
        <v>0</v>
      </c>
      <c r="R4" s="30">
        <v>0</v>
      </c>
      <c r="S4" s="30">
        <v>0</v>
      </c>
      <c r="T4" s="30">
        <v>0</v>
      </c>
      <c r="U4" s="30">
        <v>0</v>
      </c>
    </row>
    <row r="5" spans="1:21" ht="120">
      <c r="A5" s="88" t="s">
        <v>42</v>
      </c>
      <c r="B5" s="88" t="s">
        <v>420</v>
      </c>
      <c r="C5" s="88" t="s">
        <v>347</v>
      </c>
      <c r="D5" s="144">
        <v>0</v>
      </c>
      <c r="J5" s="88" t="s">
        <v>347</v>
      </c>
      <c r="K5" s="144">
        <v>0</v>
      </c>
      <c r="M5" s="29">
        <v>0</v>
      </c>
      <c r="N5" s="29">
        <v>0</v>
      </c>
      <c r="O5" s="30">
        <v>0</v>
      </c>
      <c r="P5" s="30">
        <v>0</v>
      </c>
      <c r="Q5" s="30">
        <v>0</v>
      </c>
      <c r="R5" s="30">
        <v>0</v>
      </c>
      <c r="S5" s="30">
        <v>0</v>
      </c>
      <c r="T5" s="30">
        <v>0</v>
      </c>
      <c r="U5" s="30">
        <v>0</v>
      </c>
    </row>
    <row r="6" spans="1:21" ht="45">
      <c r="A6" s="88" t="s">
        <v>43</v>
      </c>
      <c r="B6" s="88" t="s">
        <v>419</v>
      </c>
      <c r="C6" s="88" t="s">
        <v>418</v>
      </c>
      <c r="D6" s="144">
        <v>1</v>
      </c>
      <c r="E6" s="144" t="s">
        <v>431</v>
      </c>
      <c r="F6" s="144" t="s">
        <v>435</v>
      </c>
      <c r="J6" s="88" t="s">
        <v>348</v>
      </c>
      <c r="K6" s="144">
        <v>0</v>
      </c>
      <c r="M6" s="30">
        <v>1</v>
      </c>
      <c r="N6" s="30">
        <v>0</v>
      </c>
      <c r="O6" s="30">
        <v>1</v>
      </c>
      <c r="P6" s="30">
        <v>0</v>
      </c>
      <c r="Q6" s="30">
        <v>0</v>
      </c>
      <c r="R6" s="30">
        <v>0</v>
      </c>
      <c r="S6" s="30">
        <v>0</v>
      </c>
      <c r="T6" s="30">
        <v>0</v>
      </c>
      <c r="U6" s="30">
        <v>0</v>
      </c>
    </row>
    <row r="7" spans="1:21" ht="60">
      <c r="A7" s="88" t="s">
        <v>44</v>
      </c>
      <c r="B7" s="88" t="s">
        <v>417</v>
      </c>
      <c r="C7" s="88" t="s">
        <v>416</v>
      </c>
      <c r="D7" s="144">
        <v>1</v>
      </c>
      <c r="E7" s="144" t="s">
        <v>435</v>
      </c>
      <c r="J7" s="88" t="s">
        <v>415</v>
      </c>
      <c r="K7" s="144">
        <v>0</v>
      </c>
      <c r="M7" s="30">
        <v>1</v>
      </c>
      <c r="N7" s="30">
        <v>0</v>
      </c>
      <c r="O7" s="30">
        <v>0</v>
      </c>
      <c r="P7" s="30">
        <v>0</v>
      </c>
      <c r="Q7" s="30">
        <v>0</v>
      </c>
      <c r="R7" s="30">
        <v>0</v>
      </c>
      <c r="S7" s="30">
        <v>0</v>
      </c>
      <c r="T7" s="30">
        <v>0</v>
      </c>
      <c r="U7" s="30">
        <v>0</v>
      </c>
    </row>
    <row r="8" spans="1:21">
      <c r="A8" s="88" t="s">
        <v>45</v>
      </c>
      <c r="B8" s="88" t="s">
        <v>414</v>
      </c>
      <c r="C8" s="88" t="s">
        <v>347</v>
      </c>
      <c r="D8" s="144">
        <v>0</v>
      </c>
      <c r="J8" s="88" t="s">
        <v>347</v>
      </c>
      <c r="K8" s="144">
        <v>0</v>
      </c>
      <c r="M8" s="30">
        <v>0</v>
      </c>
      <c r="N8" s="30">
        <v>0</v>
      </c>
      <c r="O8" s="30">
        <v>0</v>
      </c>
      <c r="P8" s="30">
        <v>0</v>
      </c>
      <c r="Q8" s="30">
        <v>0</v>
      </c>
      <c r="R8" s="30">
        <v>0</v>
      </c>
      <c r="S8" s="30">
        <v>0</v>
      </c>
      <c r="T8" s="30">
        <v>0</v>
      </c>
      <c r="U8" s="30">
        <v>0</v>
      </c>
    </row>
    <row r="9" spans="1:21" ht="30">
      <c r="A9" s="89" t="s">
        <v>121</v>
      </c>
      <c r="B9" s="88" t="s">
        <v>354</v>
      </c>
      <c r="C9" s="88" t="s">
        <v>413</v>
      </c>
      <c r="D9" s="144">
        <v>1</v>
      </c>
      <c r="E9" s="144" t="s">
        <v>431</v>
      </c>
      <c r="F9" s="144" t="s">
        <v>437</v>
      </c>
      <c r="J9" s="88" t="s">
        <v>412</v>
      </c>
      <c r="K9" s="144">
        <v>0</v>
      </c>
      <c r="M9" s="30">
        <v>0</v>
      </c>
      <c r="N9" s="30">
        <v>0</v>
      </c>
      <c r="O9" s="30">
        <v>1</v>
      </c>
      <c r="P9" s="30">
        <v>0</v>
      </c>
      <c r="Q9" s="30">
        <v>0</v>
      </c>
      <c r="R9" s="30">
        <v>1</v>
      </c>
      <c r="S9" s="30">
        <v>0</v>
      </c>
      <c r="T9" s="30">
        <v>0</v>
      </c>
      <c r="U9" s="30">
        <v>0</v>
      </c>
    </row>
    <row r="10" spans="1:21">
      <c r="A10" s="88" t="s">
        <v>48</v>
      </c>
      <c r="B10" s="88" t="s">
        <v>363</v>
      </c>
      <c r="C10" s="88" t="s">
        <v>347</v>
      </c>
      <c r="D10" s="144">
        <v>0</v>
      </c>
      <c r="J10" s="88" t="s">
        <v>347</v>
      </c>
      <c r="K10" s="144">
        <v>0</v>
      </c>
      <c r="M10" s="30">
        <v>0</v>
      </c>
      <c r="N10" s="30">
        <v>0</v>
      </c>
      <c r="O10" s="30">
        <v>0</v>
      </c>
      <c r="P10" s="30">
        <v>0</v>
      </c>
      <c r="Q10" s="30">
        <v>0</v>
      </c>
      <c r="R10" s="30">
        <v>0</v>
      </c>
      <c r="S10" s="30">
        <v>0</v>
      </c>
      <c r="T10" s="30">
        <v>0</v>
      </c>
      <c r="U10" s="30">
        <v>0</v>
      </c>
    </row>
    <row r="11" spans="1:21" ht="75">
      <c r="A11" s="88" t="s">
        <v>49</v>
      </c>
      <c r="B11" s="88" t="s">
        <v>411</v>
      </c>
      <c r="C11" s="88" t="s">
        <v>347</v>
      </c>
      <c r="D11" s="144">
        <v>0</v>
      </c>
      <c r="J11" s="88" t="s">
        <v>410</v>
      </c>
      <c r="K11" s="144">
        <v>0</v>
      </c>
      <c r="M11" s="30">
        <v>0</v>
      </c>
      <c r="N11" s="30">
        <v>0</v>
      </c>
      <c r="O11" s="30">
        <v>0</v>
      </c>
      <c r="P11" s="30">
        <v>0</v>
      </c>
      <c r="Q11" s="30">
        <v>0</v>
      </c>
      <c r="R11" s="30">
        <v>0</v>
      </c>
      <c r="S11" s="30">
        <v>0</v>
      </c>
      <c r="T11" s="30">
        <v>0</v>
      </c>
      <c r="U11" s="30">
        <v>0</v>
      </c>
    </row>
    <row r="12" spans="1:21" ht="60">
      <c r="A12" s="88" t="s">
        <v>50</v>
      </c>
      <c r="B12" s="88" t="s">
        <v>409</v>
      </c>
      <c r="C12" s="88" t="s">
        <v>347</v>
      </c>
      <c r="D12" s="144">
        <v>0</v>
      </c>
      <c r="J12" s="88" t="s">
        <v>408</v>
      </c>
      <c r="K12" s="144">
        <v>0</v>
      </c>
      <c r="M12" s="30">
        <v>0</v>
      </c>
      <c r="N12" s="30">
        <v>0</v>
      </c>
      <c r="O12" s="30">
        <v>0</v>
      </c>
      <c r="P12" s="30">
        <v>0</v>
      </c>
      <c r="Q12" s="30">
        <v>0</v>
      </c>
      <c r="R12" s="30">
        <v>0</v>
      </c>
      <c r="S12" s="30">
        <v>0</v>
      </c>
      <c r="T12" s="30">
        <v>0</v>
      </c>
      <c r="U12" s="30">
        <v>0</v>
      </c>
    </row>
    <row r="13" spans="1:21" ht="90">
      <c r="A13" s="88" t="s">
        <v>51</v>
      </c>
      <c r="B13" s="88" t="s">
        <v>407</v>
      </c>
      <c r="C13" s="88" t="s">
        <v>406</v>
      </c>
      <c r="D13" s="144">
        <v>1</v>
      </c>
      <c r="E13" s="144" t="s">
        <v>431</v>
      </c>
      <c r="F13" s="144" t="s">
        <v>439</v>
      </c>
      <c r="J13" s="88" t="s">
        <v>347</v>
      </c>
      <c r="K13" s="144">
        <v>0</v>
      </c>
      <c r="M13" s="30">
        <v>0</v>
      </c>
      <c r="N13" s="30">
        <v>0</v>
      </c>
      <c r="O13" s="30">
        <v>1</v>
      </c>
      <c r="P13" s="30">
        <v>0</v>
      </c>
      <c r="Q13" s="30">
        <v>1</v>
      </c>
      <c r="R13" s="30">
        <v>0</v>
      </c>
      <c r="S13" s="30">
        <v>0</v>
      </c>
      <c r="T13" s="30">
        <v>0</v>
      </c>
      <c r="U13" s="30">
        <v>0</v>
      </c>
    </row>
    <row r="14" spans="1:21">
      <c r="A14" s="88" t="s">
        <v>52</v>
      </c>
      <c r="B14" s="88" t="s">
        <v>389</v>
      </c>
      <c r="C14" s="88" t="s">
        <v>389</v>
      </c>
      <c r="D14" s="144">
        <v>0</v>
      </c>
      <c r="J14" s="88" t="s">
        <v>389</v>
      </c>
      <c r="K14" s="144">
        <v>0</v>
      </c>
      <c r="M14" s="30">
        <v>0</v>
      </c>
      <c r="N14" s="30">
        <v>0</v>
      </c>
      <c r="O14" s="30">
        <v>0</v>
      </c>
      <c r="P14" s="30">
        <v>0</v>
      </c>
      <c r="Q14" s="30">
        <v>0</v>
      </c>
      <c r="R14" s="30">
        <v>0</v>
      </c>
      <c r="S14" s="30">
        <v>0</v>
      </c>
      <c r="T14" s="30">
        <v>0</v>
      </c>
      <c r="U14" s="30">
        <v>0</v>
      </c>
    </row>
    <row r="15" spans="1:21" ht="30">
      <c r="A15" s="88" t="s">
        <v>53</v>
      </c>
      <c r="B15" s="88" t="s">
        <v>405</v>
      </c>
      <c r="C15" s="88" t="s">
        <v>237</v>
      </c>
      <c r="D15" s="144">
        <v>0</v>
      </c>
      <c r="J15" s="88" t="s">
        <v>237</v>
      </c>
      <c r="K15" s="144">
        <v>0</v>
      </c>
      <c r="M15" s="30">
        <v>0</v>
      </c>
      <c r="N15" s="30">
        <v>0</v>
      </c>
      <c r="O15" s="30">
        <v>0</v>
      </c>
      <c r="P15" s="30">
        <v>0</v>
      </c>
      <c r="Q15" s="30">
        <v>0</v>
      </c>
      <c r="R15" s="30">
        <v>0</v>
      </c>
      <c r="S15" s="30">
        <v>0</v>
      </c>
      <c r="T15" s="30">
        <v>0</v>
      </c>
      <c r="U15" s="30">
        <v>0</v>
      </c>
    </row>
    <row r="16" spans="1:21" ht="45">
      <c r="A16" s="88" t="s">
        <v>54</v>
      </c>
      <c r="B16" s="88" t="s">
        <v>404</v>
      </c>
      <c r="C16" s="88" t="s">
        <v>403</v>
      </c>
      <c r="D16" s="144">
        <v>0</v>
      </c>
      <c r="J16" s="88" t="s">
        <v>402</v>
      </c>
      <c r="K16" s="144">
        <v>1</v>
      </c>
      <c r="M16" s="30">
        <v>0</v>
      </c>
      <c r="N16" s="30">
        <v>0</v>
      </c>
      <c r="O16" s="30">
        <v>0</v>
      </c>
      <c r="P16" s="30">
        <v>0</v>
      </c>
      <c r="Q16" s="30">
        <v>0</v>
      </c>
      <c r="R16" s="30">
        <v>0</v>
      </c>
      <c r="S16" s="30">
        <v>0</v>
      </c>
      <c r="T16" s="30">
        <v>0</v>
      </c>
      <c r="U16" s="30">
        <v>0</v>
      </c>
    </row>
    <row r="17" spans="1:21">
      <c r="A17" s="89" t="s">
        <v>55</v>
      </c>
      <c r="B17" s="88" t="s">
        <v>401</v>
      </c>
      <c r="C17" s="88" t="s">
        <v>400</v>
      </c>
      <c r="D17" s="144">
        <v>1</v>
      </c>
      <c r="E17" s="144" t="s">
        <v>431</v>
      </c>
      <c r="F17" s="144" t="s">
        <v>435</v>
      </c>
      <c r="J17" s="88" t="s">
        <v>347</v>
      </c>
      <c r="K17" s="144">
        <v>0</v>
      </c>
      <c r="M17" s="30">
        <v>1</v>
      </c>
      <c r="N17" s="30">
        <v>0</v>
      </c>
      <c r="O17" s="30">
        <v>1</v>
      </c>
      <c r="P17" s="30">
        <v>0</v>
      </c>
      <c r="Q17" s="30">
        <v>0</v>
      </c>
      <c r="R17" s="30">
        <v>0</v>
      </c>
      <c r="S17" s="30">
        <v>0</v>
      </c>
      <c r="T17" s="30">
        <v>0</v>
      </c>
      <c r="U17" s="30">
        <v>0</v>
      </c>
    </row>
    <row r="18" spans="1:21" ht="30">
      <c r="A18" s="88" t="s">
        <v>56</v>
      </c>
      <c r="B18" s="88" t="s">
        <v>399</v>
      </c>
      <c r="C18" s="88" t="s">
        <v>398</v>
      </c>
      <c r="D18" s="144">
        <v>1</v>
      </c>
      <c r="E18" s="144" t="s">
        <v>431</v>
      </c>
      <c r="F18" s="144" t="s">
        <v>432</v>
      </c>
      <c r="J18" s="88" t="s">
        <v>284</v>
      </c>
      <c r="K18" s="144">
        <v>0</v>
      </c>
      <c r="M18" s="30">
        <v>0</v>
      </c>
      <c r="N18" s="30">
        <v>1</v>
      </c>
      <c r="O18" s="30">
        <v>1</v>
      </c>
      <c r="P18" s="30">
        <v>0</v>
      </c>
      <c r="Q18" s="30">
        <v>0</v>
      </c>
      <c r="R18" s="30">
        <v>0</v>
      </c>
      <c r="S18" s="30">
        <v>0</v>
      </c>
      <c r="T18" s="30">
        <v>0</v>
      </c>
      <c r="U18" s="30">
        <v>0</v>
      </c>
    </row>
    <row r="19" spans="1:21">
      <c r="A19" s="88" t="s">
        <v>114</v>
      </c>
      <c r="B19" s="88" t="s">
        <v>397</v>
      </c>
      <c r="C19" s="88" t="s">
        <v>347</v>
      </c>
      <c r="D19" s="144">
        <v>0</v>
      </c>
      <c r="J19" s="88" t="s">
        <v>347</v>
      </c>
      <c r="K19" s="144">
        <v>0</v>
      </c>
      <c r="M19" s="30">
        <v>0</v>
      </c>
      <c r="N19" s="30">
        <v>0</v>
      </c>
      <c r="O19" s="30">
        <v>0</v>
      </c>
      <c r="P19" s="30">
        <v>0</v>
      </c>
      <c r="Q19" s="30">
        <v>0</v>
      </c>
      <c r="R19" s="30">
        <v>0</v>
      </c>
      <c r="S19" s="30">
        <v>0</v>
      </c>
      <c r="T19" s="30">
        <v>0</v>
      </c>
      <c r="U19" s="30">
        <v>0</v>
      </c>
    </row>
    <row r="20" spans="1:21" ht="60">
      <c r="A20" s="88" t="s">
        <v>58</v>
      </c>
      <c r="B20" s="88" t="s">
        <v>396</v>
      </c>
      <c r="C20" s="88" t="s">
        <v>347</v>
      </c>
      <c r="D20" s="144">
        <v>0</v>
      </c>
      <c r="J20" s="88" t="s">
        <v>395</v>
      </c>
      <c r="K20" s="144">
        <v>0</v>
      </c>
      <c r="M20" s="30">
        <v>0</v>
      </c>
      <c r="N20" s="30">
        <v>0</v>
      </c>
      <c r="O20" s="30">
        <v>0</v>
      </c>
      <c r="P20" s="30">
        <v>0</v>
      </c>
      <c r="Q20" s="30">
        <v>0</v>
      </c>
      <c r="R20" s="30">
        <v>0</v>
      </c>
      <c r="S20" s="30">
        <v>0</v>
      </c>
      <c r="T20" s="30">
        <v>0</v>
      </c>
      <c r="U20" s="30">
        <v>0</v>
      </c>
    </row>
    <row r="21" spans="1:21">
      <c r="M21" s="30"/>
      <c r="N21" s="30"/>
      <c r="P21" s="30"/>
      <c r="U21" s="30">
        <v>0</v>
      </c>
    </row>
    <row r="22" spans="1:21" ht="60">
      <c r="A22" s="88" t="s">
        <v>59</v>
      </c>
      <c r="B22" s="88" t="s">
        <v>394</v>
      </c>
      <c r="C22" s="88" t="s">
        <v>393</v>
      </c>
      <c r="D22" s="144">
        <v>1</v>
      </c>
      <c r="E22" s="144" t="s">
        <v>431</v>
      </c>
      <c r="F22" s="144" t="s">
        <v>439</v>
      </c>
      <c r="G22" s="144" t="s">
        <v>433</v>
      </c>
      <c r="J22" s="88" t="s">
        <v>347</v>
      </c>
      <c r="K22" s="144">
        <v>0</v>
      </c>
      <c r="M22" s="30">
        <v>0</v>
      </c>
      <c r="N22" s="30">
        <v>0</v>
      </c>
      <c r="O22" s="30">
        <v>1</v>
      </c>
      <c r="P22" s="30">
        <v>0</v>
      </c>
      <c r="Q22" s="30">
        <v>1</v>
      </c>
      <c r="R22" s="30">
        <v>0</v>
      </c>
      <c r="S22" s="30">
        <v>0</v>
      </c>
      <c r="T22" s="30">
        <v>0</v>
      </c>
      <c r="U22" s="30">
        <v>1</v>
      </c>
    </row>
    <row r="23" spans="1:21">
      <c r="A23" s="88" t="s">
        <v>60</v>
      </c>
      <c r="B23" s="88" t="s">
        <v>392</v>
      </c>
      <c r="C23" s="88" t="s">
        <v>347</v>
      </c>
      <c r="D23" s="144">
        <v>0</v>
      </c>
      <c r="J23" s="88" t="s">
        <v>347</v>
      </c>
      <c r="K23" s="144">
        <v>0</v>
      </c>
      <c r="M23" s="30">
        <v>0</v>
      </c>
      <c r="N23" s="30">
        <v>0</v>
      </c>
      <c r="O23" s="30">
        <v>0</v>
      </c>
      <c r="P23" s="30">
        <v>0</v>
      </c>
      <c r="Q23" s="30">
        <v>0</v>
      </c>
      <c r="R23" s="30">
        <v>0</v>
      </c>
      <c r="S23" s="30">
        <v>0</v>
      </c>
      <c r="T23" s="30">
        <v>0</v>
      </c>
      <c r="U23" s="30">
        <v>0</v>
      </c>
    </row>
    <row r="24" spans="1:21">
      <c r="A24" s="88" t="s">
        <v>61</v>
      </c>
      <c r="B24" s="88" t="s">
        <v>355</v>
      </c>
      <c r="C24" s="88" t="s">
        <v>347</v>
      </c>
      <c r="D24" s="144">
        <v>0</v>
      </c>
      <c r="J24" s="88" t="s">
        <v>347</v>
      </c>
      <c r="K24" s="144">
        <v>0</v>
      </c>
      <c r="M24" s="30">
        <v>0</v>
      </c>
      <c r="N24" s="30">
        <v>0</v>
      </c>
      <c r="O24" s="30">
        <v>0</v>
      </c>
      <c r="P24" s="30">
        <v>0</v>
      </c>
      <c r="Q24" s="30">
        <v>0</v>
      </c>
      <c r="R24" s="30">
        <v>0</v>
      </c>
      <c r="S24" s="30">
        <v>0</v>
      </c>
      <c r="T24" s="30">
        <v>0</v>
      </c>
      <c r="U24" s="30">
        <v>0</v>
      </c>
    </row>
    <row r="25" spans="1:21">
      <c r="A25" s="88" t="s">
        <v>63</v>
      </c>
      <c r="B25" s="88" t="s">
        <v>347</v>
      </c>
      <c r="C25" s="88" t="s">
        <v>347</v>
      </c>
      <c r="D25" s="144">
        <v>0</v>
      </c>
      <c r="J25" s="88" t="s">
        <v>348</v>
      </c>
      <c r="K25" s="144">
        <v>0</v>
      </c>
      <c r="M25" s="30">
        <v>0</v>
      </c>
      <c r="N25" s="30">
        <v>0</v>
      </c>
      <c r="O25" s="30">
        <v>0</v>
      </c>
      <c r="P25" s="30">
        <v>0</v>
      </c>
      <c r="Q25" s="30">
        <v>0</v>
      </c>
      <c r="R25" s="30">
        <v>0</v>
      </c>
      <c r="S25" s="30">
        <v>0</v>
      </c>
      <c r="T25" s="30">
        <v>0</v>
      </c>
      <c r="U25" s="30">
        <v>0</v>
      </c>
    </row>
    <row r="26" spans="1:21">
      <c r="A26" s="88" t="s">
        <v>64</v>
      </c>
      <c r="B26" s="88" t="s">
        <v>361</v>
      </c>
      <c r="C26" s="88" t="s">
        <v>347</v>
      </c>
      <c r="D26" s="144">
        <v>0</v>
      </c>
      <c r="J26" s="88" t="s">
        <v>347</v>
      </c>
      <c r="K26" s="144">
        <v>0</v>
      </c>
      <c r="M26" s="30">
        <v>0</v>
      </c>
      <c r="N26" s="30">
        <v>0</v>
      </c>
      <c r="O26" s="30">
        <v>0</v>
      </c>
      <c r="P26" s="30">
        <v>0</v>
      </c>
      <c r="Q26" s="30">
        <v>0</v>
      </c>
      <c r="R26" s="30">
        <v>0</v>
      </c>
      <c r="S26" s="30">
        <v>0</v>
      </c>
      <c r="T26" s="30">
        <v>0</v>
      </c>
      <c r="U26" s="30">
        <v>0</v>
      </c>
    </row>
    <row r="27" spans="1:21">
      <c r="A27" s="88" t="s">
        <v>122</v>
      </c>
      <c r="B27" s="88" t="s">
        <v>385</v>
      </c>
      <c r="C27" s="88" t="s">
        <v>391</v>
      </c>
      <c r="D27" s="144">
        <v>1</v>
      </c>
      <c r="E27" s="144" t="s">
        <v>431</v>
      </c>
      <c r="J27" s="88" t="s">
        <v>347</v>
      </c>
      <c r="K27" s="144">
        <v>0</v>
      </c>
      <c r="M27" s="30">
        <v>0</v>
      </c>
      <c r="N27" s="30">
        <v>0</v>
      </c>
      <c r="O27" s="30">
        <v>1</v>
      </c>
      <c r="P27" s="30">
        <v>0</v>
      </c>
      <c r="Q27" s="30">
        <v>0</v>
      </c>
      <c r="R27" s="30">
        <v>0</v>
      </c>
      <c r="S27" s="30">
        <v>0</v>
      </c>
      <c r="T27" s="30">
        <v>0</v>
      </c>
      <c r="U27" s="30">
        <v>0</v>
      </c>
    </row>
    <row r="28" spans="1:21">
      <c r="A28" s="88" t="s">
        <v>66</v>
      </c>
      <c r="B28" s="88" t="s">
        <v>355</v>
      </c>
      <c r="C28" s="88" t="s">
        <v>347</v>
      </c>
      <c r="D28" s="144">
        <v>0</v>
      </c>
      <c r="J28" s="88" t="s">
        <v>347</v>
      </c>
      <c r="K28" s="144">
        <v>0</v>
      </c>
      <c r="M28" s="30">
        <v>0</v>
      </c>
      <c r="N28" s="30">
        <v>0</v>
      </c>
      <c r="O28" s="30">
        <v>0</v>
      </c>
      <c r="P28" s="30">
        <v>0</v>
      </c>
      <c r="Q28" s="30">
        <v>0</v>
      </c>
      <c r="R28" s="30">
        <v>0</v>
      </c>
      <c r="S28" s="30">
        <v>0</v>
      </c>
      <c r="T28" s="30">
        <v>0</v>
      </c>
      <c r="U28" s="30">
        <v>0</v>
      </c>
    </row>
    <row r="29" spans="1:21" ht="45">
      <c r="A29" s="88" t="s">
        <v>67</v>
      </c>
      <c r="B29" s="88" t="s">
        <v>347</v>
      </c>
      <c r="C29" s="88" t="s">
        <v>390</v>
      </c>
      <c r="D29" s="144">
        <v>1</v>
      </c>
      <c r="E29" s="144" t="s">
        <v>432</v>
      </c>
      <c r="F29" s="144" t="s">
        <v>431</v>
      </c>
      <c r="G29" s="144" t="s">
        <v>435</v>
      </c>
      <c r="J29" s="88" t="s">
        <v>389</v>
      </c>
      <c r="K29" s="144">
        <v>0</v>
      </c>
      <c r="M29" s="30">
        <v>1</v>
      </c>
      <c r="N29" s="30">
        <v>1</v>
      </c>
      <c r="O29" s="30">
        <v>1</v>
      </c>
      <c r="P29" s="30">
        <v>0</v>
      </c>
      <c r="Q29" s="30">
        <v>0</v>
      </c>
      <c r="R29" s="30">
        <v>0</v>
      </c>
      <c r="S29" s="30">
        <v>0</v>
      </c>
      <c r="T29" s="30">
        <v>0</v>
      </c>
      <c r="U29" s="30">
        <v>0</v>
      </c>
    </row>
    <row r="30" spans="1:21" ht="60">
      <c r="A30" s="88" t="s">
        <v>68</v>
      </c>
      <c r="B30" s="88" t="s">
        <v>388</v>
      </c>
      <c r="C30" s="88" t="s">
        <v>387</v>
      </c>
      <c r="D30" s="144">
        <v>1</v>
      </c>
      <c r="E30" s="144" t="s">
        <v>431</v>
      </c>
      <c r="F30" s="144" t="s">
        <v>437</v>
      </c>
      <c r="G30" s="144" t="s">
        <v>435</v>
      </c>
      <c r="J30" s="88" t="s">
        <v>386</v>
      </c>
      <c r="K30" s="144">
        <v>0</v>
      </c>
      <c r="M30" s="30">
        <v>1</v>
      </c>
      <c r="N30" s="30">
        <v>0</v>
      </c>
      <c r="O30" s="30">
        <v>1</v>
      </c>
      <c r="P30" s="30">
        <v>0</v>
      </c>
      <c r="Q30" s="30">
        <v>0</v>
      </c>
      <c r="R30" s="30">
        <v>1</v>
      </c>
      <c r="S30" s="30">
        <v>0</v>
      </c>
      <c r="T30" s="30">
        <v>0</v>
      </c>
      <c r="U30" s="30">
        <v>0</v>
      </c>
    </row>
    <row r="31" spans="1:21" ht="30">
      <c r="A31" s="88" t="s">
        <v>69</v>
      </c>
      <c r="B31" s="88" t="s">
        <v>385</v>
      </c>
      <c r="C31" s="88" t="s">
        <v>384</v>
      </c>
      <c r="D31" s="144">
        <v>1</v>
      </c>
      <c r="E31" s="144" t="s">
        <v>432</v>
      </c>
      <c r="J31" s="88" t="s">
        <v>347</v>
      </c>
      <c r="K31" s="144">
        <v>0</v>
      </c>
      <c r="M31" s="30">
        <v>0</v>
      </c>
      <c r="N31" s="30">
        <v>1</v>
      </c>
      <c r="O31" s="30">
        <v>0</v>
      </c>
      <c r="P31" s="30">
        <v>0</v>
      </c>
      <c r="Q31" s="30">
        <v>0</v>
      </c>
      <c r="R31" s="30">
        <v>0</v>
      </c>
      <c r="S31" s="30">
        <v>0</v>
      </c>
      <c r="T31" s="30">
        <v>0</v>
      </c>
      <c r="U31" s="30">
        <v>0</v>
      </c>
    </row>
    <row r="32" spans="1:21">
      <c r="A32" s="88" t="s">
        <v>70</v>
      </c>
      <c r="B32" s="88" t="s">
        <v>383</v>
      </c>
      <c r="C32" s="88" t="s">
        <v>382</v>
      </c>
      <c r="D32" s="144">
        <v>1</v>
      </c>
      <c r="E32" s="144" t="s">
        <v>437</v>
      </c>
      <c r="J32" s="88" t="s">
        <v>347</v>
      </c>
      <c r="K32" s="144">
        <v>0</v>
      </c>
      <c r="M32" s="30">
        <v>0</v>
      </c>
      <c r="N32" s="30">
        <v>0</v>
      </c>
      <c r="O32" s="30">
        <v>0</v>
      </c>
      <c r="P32" s="30">
        <v>0</v>
      </c>
      <c r="Q32" s="30">
        <v>0</v>
      </c>
      <c r="R32" s="30">
        <v>1</v>
      </c>
      <c r="S32" s="30">
        <v>0</v>
      </c>
      <c r="T32" s="30">
        <v>0</v>
      </c>
      <c r="U32" s="30">
        <v>0</v>
      </c>
    </row>
    <row r="33" spans="1:21">
      <c r="A33" s="88" t="s">
        <v>71</v>
      </c>
      <c r="B33" s="88" t="s">
        <v>381</v>
      </c>
      <c r="C33" s="88" t="s">
        <v>284</v>
      </c>
      <c r="D33" s="144">
        <v>0</v>
      </c>
      <c r="J33" s="88" t="s">
        <v>284</v>
      </c>
      <c r="K33" s="144">
        <v>0</v>
      </c>
      <c r="M33" s="30">
        <v>0</v>
      </c>
      <c r="N33" s="30">
        <v>0</v>
      </c>
      <c r="O33" s="30">
        <v>0</v>
      </c>
      <c r="P33" s="30">
        <v>0</v>
      </c>
      <c r="Q33" s="30">
        <v>0</v>
      </c>
      <c r="R33" s="30">
        <v>0</v>
      </c>
      <c r="S33" s="30">
        <v>0</v>
      </c>
      <c r="T33" s="30">
        <v>0</v>
      </c>
      <c r="U33" s="30">
        <v>0</v>
      </c>
    </row>
    <row r="34" spans="1:21">
      <c r="K34" s="144">
        <v>0</v>
      </c>
      <c r="M34" s="30"/>
      <c r="U34" s="30">
        <v>0</v>
      </c>
    </row>
    <row r="35" spans="1:21">
      <c r="A35" s="88" t="s">
        <v>72</v>
      </c>
      <c r="B35" s="88" t="s">
        <v>380</v>
      </c>
      <c r="C35" s="88" t="s">
        <v>347</v>
      </c>
      <c r="D35" s="144">
        <v>0</v>
      </c>
      <c r="J35" s="88" t="s">
        <v>347</v>
      </c>
      <c r="K35" s="144">
        <v>0</v>
      </c>
      <c r="M35" s="30">
        <v>0</v>
      </c>
      <c r="N35" s="30">
        <v>0</v>
      </c>
      <c r="O35" s="30">
        <v>0</v>
      </c>
      <c r="P35" s="30">
        <v>0</v>
      </c>
      <c r="Q35" s="30">
        <v>0</v>
      </c>
      <c r="R35" s="30">
        <v>0</v>
      </c>
      <c r="S35" s="30">
        <v>0</v>
      </c>
      <c r="T35" s="30">
        <v>0</v>
      </c>
      <c r="U35" s="30">
        <v>0</v>
      </c>
    </row>
    <row r="36" spans="1:21">
      <c r="A36" s="88" t="s">
        <v>74</v>
      </c>
      <c r="B36" s="88" t="s">
        <v>355</v>
      </c>
      <c r="C36" s="88" t="s">
        <v>237</v>
      </c>
      <c r="D36" s="144">
        <v>0</v>
      </c>
      <c r="J36" s="88" t="s">
        <v>379</v>
      </c>
      <c r="K36" s="144">
        <v>0</v>
      </c>
      <c r="M36" s="30">
        <v>0</v>
      </c>
      <c r="N36" s="30">
        <v>0</v>
      </c>
      <c r="O36" s="30">
        <v>0</v>
      </c>
      <c r="P36" s="30">
        <v>0</v>
      </c>
      <c r="Q36" s="30">
        <v>0</v>
      </c>
      <c r="R36" s="30">
        <v>0</v>
      </c>
      <c r="S36" s="30">
        <v>0</v>
      </c>
      <c r="T36" s="30">
        <v>0</v>
      </c>
      <c r="U36" s="30">
        <v>0</v>
      </c>
    </row>
    <row r="37" spans="1:21" ht="30">
      <c r="A37" s="88" t="s">
        <v>76</v>
      </c>
      <c r="B37" s="88" t="s">
        <v>378</v>
      </c>
      <c r="C37" s="88" t="s">
        <v>347</v>
      </c>
      <c r="D37" s="144">
        <v>0</v>
      </c>
      <c r="J37" s="88" t="s">
        <v>347</v>
      </c>
      <c r="K37" s="144">
        <v>0</v>
      </c>
      <c r="M37" s="30">
        <v>0</v>
      </c>
      <c r="N37" s="30">
        <v>0</v>
      </c>
      <c r="O37" s="30">
        <v>0</v>
      </c>
      <c r="P37" s="30">
        <v>0</v>
      </c>
      <c r="Q37" s="30">
        <v>0</v>
      </c>
      <c r="R37" s="30">
        <v>0</v>
      </c>
      <c r="S37" s="30">
        <v>0</v>
      </c>
      <c r="T37" s="30">
        <v>0</v>
      </c>
      <c r="U37" s="30">
        <v>0</v>
      </c>
    </row>
    <row r="38" spans="1:21">
      <c r="A38" s="88" t="s">
        <v>77</v>
      </c>
      <c r="B38" s="88" t="s">
        <v>355</v>
      </c>
      <c r="C38" s="88" t="s">
        <v>377</v>
      </c>
      <c r="D38" s="144">
        <v>0</v>
      </c>
      <c r="J38" s="88" t="s">
        <v>347</v>
      </c>
      <c r="K38" s="144">
        <v>0</v>
      </c>
      <c r="M38" s="30">
        <v>0</v>
      </c>
      <c r="N38" s="30">
        <v>0</v>
      </c>
      <c r="O38" s="30">
        <v>0</v>
      </c>
      <c r="P38" s="30">
        <v>0</v>
      </c>
      <c r="Q38" s="30">
        <v>0</v>
      </c>
      <c r="R38" s="30">
        <v>0</v>
      </c>
      <c r="S38" s="30">
        <v>0</v>
      </c>
      <c r="T38" s="30">
        <v>0</v>
      </c>
      <c r="U38" s="30">
        <v>0</v>
      </c>
    </row>
    <row r="39" spans="1:21">
      <c r="A39" s="88" t="s">
        <v>78</v>
      </c>
      <c r="B39" s="88" t="s">
        <v>376</v>
      </c>
      <c r="C39" s="88" t="s">
        <v>347</v>
      </c>
      <c r="D39" s="144">
        <v>0</v>
      </c>
      <c r="J39" s="88" t="s">
        <v>347</v>
      </c>
      <c r="K39" s="144">
        <v>0</v>
      </c>
      <c r="M39" s="30">
        <v>0</v>
      </c>
      <c r="N39" s="30">
        <v>0</v>
      </c>
      <c r="O39" s="30">
        <v>0</v>
      </c>
      <c r="P39" s="30">
        <v>0</v>
      </c>
      <c r="Q39" s="30">
        <v>0</v>
      </c>
      <c r="R39" s="30">
        <v>0</v>
      </c>
      <c r="S39" s="30">
        <v>0</v>
      </c>
      <c r="T39" s="30">
        <v>0</v>
      </c>
      <c r="U39" s="30">
        <v>0</v>
      </c>
    </row>
    <row r="40" spans="1:21">
      <c r="A40" s="88" t="s">
        <v>79</v>
      </c>
      <c r="B40" s="88" t="s">
        <v>237</v>
      </c>
      <c r="C40" s="88" t="s">
        <v>347</v>
      </c>
      <c r="D40" s="144">
        <v>0</v>
      </c>
      <c r="J40" s="88" t="s">
        <v>347</v>
      </c>
      <c r="K40" s="144">
        <v>0</v>
      </c>
      <c r="M40" s="30">
        <v>0</v>
      </c>
      <c r="N40" s="30">
        <v>0</v>
      </c>
      <c r="O40" s="30">
        <v>0</v>
      </c>
      <c r="P40" s="30">
        <v>0</v>
      </c>
      <c r="Q40" s="30">
        <v>0</v>
      </c>
      <c r="R40" s="30">
        <v>0</v>
      </c>
      <c r="S40" s="30">
        <v>0</v>
      </c>
      <c r="T40" s="30">
        <v>0</v>
      </c>
      <c r="U40" s="30">
        <v>0</v>
      </c>
    </row>
    <row r="41" spans="1:21">
      <c r="A41" s="88" t="s">
        <v>80</v>
      </c>
      <c r="B41" s="88" t="s">
        <v>375</v>
      </c>
      <c r="C41" s="88" t="s">
        <v>347</v>
      </c>
      <c r="D41" s="144">
        <v>0</v>
      </c>
      <c r="J41" s="88" t="s">
        <v>374</v>
      </c>
      <c r="K41" s="144">
        <v>1</v>
      </c>
      <c r="M41" s="30">
        <v>0</v>
      </c>
      <c r="N41" s="30">
        <v>0</v>
      </c>
      <c r="O41" s="30">
        <v>0</v>
      </c>
      <c r="P41" s="30">
        <v>0</v>
      </c>
      <c r="Q41" s="30">
        <v>0</v>
      </c>
      <c r="R41" s="30">
        <v>0</v>
      </c>
      <c r="S41" s="30">
        <v>0</v>
      </c>
      <c r="T41" s="30">
        <v>0</v>
      </c>
      <c r="U41" s="30">
        <v>0</v>
      </c>
    </row>
    <row r="42" spans="1:21" ht="60">
      <c r="A42" s="88" t="s">
        <v>81</v>
      </c>
      <c r="B42" s="88" t="s">
        <v>361</v>
      </c>
      <c r="C42" s="88" t="s">
        <v>373</v>
      </c>
      <c r="D42" s="144">
        <v>1</v>
      </c>
      <c r="E42" s="144" t="s">
        <v>432</v>
      </c>
      <c r="F42" s="144" t="s">
        <v>431</v>
      </c>
      <c r="J42" s="88" t="s">
        <v>372</v>
      </c>
      <c r="K42" s="144">
        <v>0</v>
      </c>
      <c r="M42" s="30">
        <v>0</v>
      </c>
      <c r="N42" s="30">
        <v>1</v>
      </c>
      <c r="O42" s="30">
        <v>1</v>
      </c>
      <c r="P42" s="30">
        <v>0</v>
      </c>
      <c r="Q42" s="30">
        <v>0</v>
      </c>
      <c r="R42" s="30">
        <v>0</v>
      </c>
      <c r="S42" s="30">
        <v>0</v>
      </c>
      <c r="T42" s="30">
        <v>0</v>
      </c>
      <c r="U42" s="30">
        <v>0</v>
      </c>
    </row>
    <row r="43" spans="1:21">
      <c r="A43" s="88" t="s">
        <v>82</v>
      </c>
      <c r="B43" s="88" t="s">
        <v>347</v>
      </c>
      <c r="C43" s="88" t="s">
        <v>347</v>
      </c>
      <c r="D43" s="144">
        <v>0</v>
      </c>
      <c r="J43" s="88" t="s">
        <v>347</v>
      </c>
      <c r="K43" s="144">
        <v>0</v>
      </c>
      <c r="M43" s="30">
        <v>0</v>
      </c>
      <c r="N43" s="30">
        <v>0</v>
      </c>
      <c r="O43" s="30">
        <v>0</v>
      </c>
      <c r="P43" s="30">
        <v>0</v>
      </c>
      <c r="Q43" s="30">
        <v>0</v>
      </c>
      <c r="R43" s="30">
        <v>0</v>
      </c>
      <c r="S43" s="30">
        <v>0</v>
      </c>
      <c r="T43" s="30">
        <v>0</v>
      </c>
      <c r="U43" s="30">
        <v>0</v>
      </c>
    </row>
    <row r="44" spans="1:21" ht="195">
      <c r="A44" s="88" t="s">
        <v>83</v>
      </c>
      <c r="B44" s="88" t="s">
        <v>371</v>
      </c>
      <c r="C44" s="88" t="s">
        <v>370</v>
      </c>
      <c r="D44" s="144">
        <v>1</v>
      </c>
      <c r="E44" s="144" t="s">
        <v>435</v>
      </c>
      <c r="F44" s="144" t="s">
        <v>436</v>
      </c>
      <c r="J44" s="88" t="s">
        <v>369</v>
      </c>
      <c r="K44" s="144">
        <v>1</v>
      </c>
      <c r="M44" s="30">
        <v>1</v>
      </c>
      <c r="N44" s="30">
        <v>0</v>
      </c>
      <c r="O44" s="30">
        <v>0</v>
      </c>
      <c r="P44" s="30">
        <v>0</v>
      </c>
      <c r="Q44" s="30">
        <v>0</v>
      </c>
      <c r="R44" s="30">
        <v>0</v>
      </c>
      <c r="S44" s="30">
        <v>0</v>
      </c>
      <c r="T44" s="30">
        <v>1</v>
      </c>
      <c r="U44" s="30">
        <v>0</v>
      </c>
    </row>
    <row r="45" spans="1:21" ht="30">
      <c r="A45" s="88" t="s">
        <v>84</v>
      </c>
      <c r="B45" s="88" t="s">
        <v>363</v>
      </c>
      <c r="C45" s="88" t="s">
        <v>368</v>
      </c>
      <c r="D45" s="144">
        <v>1</v>
      </c>
      <c r="E45" s="144" t="s">
        <v>437</v>
      </c>
      <c r="F45" s="144" t="s">
        <v>440</v>
      </c>
      <c r="G45" s="144" t="s">
        <v>432</v>
      </c>
      <c r="J45" s="88" t="s">
        <v>363</v>
      </c>
      <c r="K45" s="144">
        <v>0</v>
      </c>
      <c r="M45" s="30">
        <v>0</v>
      </c>
      <c r="N45" s="30">
        <v>1</v>
      </c>
      <c r="O45" s="30">
        <v>0</v>
      </c>
      <c r="P45" s="30">
        <v>0</v>
      </c>
      <c r="Q45" s="30">
        <v>0</v>
      </c>
      <c r="R45" s="30">
        <v>1</v>
      </c>
      <c r="S45" s="30">
        <v>1</v>
      </c>
      <c r="T45" s="30">
        <v>0</v>
      </c>
      <c r="U45" s="30">
        <v>0</v>
      </c>
    </row>
    <row r="46" spans="1:21" ht="30">
      <c r="A46" s="88" t="s">
        <v>85</v>
      </c>
      <c r="B46" s="88" t="s">
        <v>367</v>
      </c>
      <c r="C46" s="88" t="s">
        <v>366</v>
      </c>
      <c r="D46" s="144">
        <v>1</v>
      </c>
      <c r="E46" s="144" t="s">
        <v>431</v>
      </c>
      <c r="J46" s="88" t="s">
        <v>347</v>
      </c>
      <c r="K46" s="144">
        <v>0</v>
      </c>
      <c r="M46" s="30">
        <v>0</v>
      </c>
      <c r="N46" s="30">
        <v>0</v>
      </c>
      <c r="O46" s="30">
        <v>1</v>
      </c>
      <c r="P46" s="30">
        <v>0</v>
      </c>
      <c r="Q46" s="30">
        <v>0</v>
      </c>
      <c r="R46" s="30">
        <v>0</v>
      </c>
      <c r="S46" s="30">
        <v>0</v>
      </c>
      <c r="T46" s="30">
        <v>0</v>
      </c>
      <c r="U46" s="30">
        <v>0</v>
      </c>
    </row>
    <row r="47" spans="1:21">
      <c r="A47" s="88" t="s">
        <v>86</v>
      </c>
      <c r="B47" s="88" t="s">
        <v>347</v>
      </c>
      <c r="C47" s="88" t="s">
        <v>347</v>
      </c>
      <c r="D47" s="144">
        <v>0</v>
      </c>
      <c r="J47" s="88" t="s">
        <v>347</v>
      </c>
      <c r="K47" s="144">
        <v>0</v>
      </c>
      <c r="M47" s="30">
        <v>0</v>
      </c>
      <c r="N47" s="30">
        <v>0</v>
      </c>
      <c r="O47" s="30">
        <v>0</v>
      </c>
      <c r="P47" s="30">
        <v>0</v>
      </c>
      <c r="Q47" s="30">
        <v>0</v>
      </c>
      <c r="R47" s="30">
        <v>0</v>
      </c>
      <c r="S47" s="30">
        <v>0</v>
      </c>
      <c r="T47" s="30">
        <v>0</v>
      </c>
      <c r="U47" s="30">
        <v>0</v>
      </c>
    </row>
    <row r="48" spans="1:21" ht="30">
      <c r="A48" s="88" t="s">
        <v>87</v>
      </c>
      <c r="B48" s="88" t="s">
        <v>365</v>
      </c>
      <c r="C48" s="88" t="s">
        <v>347</v>
      </c>
      <c r="D48" s="144">
        <v>0</v>
      </c>
      <c r="J48" s="88" t="s">
        <v>347</v>
      </c>
      <c r="K48" s="144">
        <v>0</v>
      </c>
      <c r="M48" s="30">
        <v>0</v>
      </c>
      <c r="N48" s="30">
        <v>0</v>
      </c>
      <c r="O48" s="30">
        <v>0</v>
      </c>
      <c r="P48" s="30">
        <v>0</v>
      </c>
      <c r="Q48" s="30">
        <v>0</v>
      </c>
      <c r="R48" s="30">
        <v>0</v>
      </c>
      <c r="S48" s="30">
        <v>0</v>
      </c>
      <c r="T48" s="30">
        <v>0</v>
      </c>
      <c r="U48" s="30">
        <v>0</v>
      </c>
    </row>
    <row r="49" spans="1:21">
      <c r="A49" s="88" t="s">
        <v>88</v>
      </c>
      <c r="B49" s="88" t="s">
        <v>347</v>
      </c>
      <c r="C49" s="88" t="s">
        <v>347</v>
      </c>
      <c r="D49" s="144">
        <v>0</v>
      </c>
      <c r="J49" s="88" t="s">
        <v>364</v>
      </c>
      <c r="K49" s="144">
        <v>1</v>
      </c>
      <c r="M49" s="30">
        <v>0</v>
      </c>
      <c r="N49" s="30">
        <v>0</v>
      </c>
      <c r="O49" s="30">
        <v>0</v>
      </c>
      <c r="P49" s="30">
        <v>0</v>
      </c>
      <c r="Q49" s="30">
        <v>0</v>
      </c>
      <c r="R49" s="30">
        <v>0</v>
      </c>
      <c r="S49" s="30">
        <v>0</v>
      </c>
      <c r="T49" s="30">
        <v>0</v>
      </c>
      <c r="U49" s="30">
        <v>0</v>
      </c>
    </row>
    <row r="50" spans="1:21">
      <c r="A50" s="88" t="s">
        <v>768</v>
      </c>
      <c r="B50" s="88" t="s">
        <v>361</v>
      </c>
      <c r="C50" s="88" t="s">
        <v>284</v>
      </c>
      <c r="D50" s="144">
        <v>0</v>
      </c>
      <c r="J50" s="88" t="s">
        <v>347</v>
      </c>
      <c r="K50" s="144">
        <v>0</v>
      </c>
      <c r="M50" s="30">
        <v>0</v>
      </c>
      <c r="N50" s="30">
        <v>0</v>
      </c>
      <c r="O50" s="30">
        <v>0</v>
      </c>
      <c r="P50" s="30">
        <v>0</v>
      </c>
      <c r="Q50" s="30">
        <v>0</v>
      </c>
      <c r="R50" s="30">
        <v>0</v>
      </c>
      <c r="S50" s="30">
        <v>0</v>
      </c>
      <c r="T50" s="30">
        <v>0</v>
      </c>
      <c r="U50" s="30">
        <v>0</v>
      </c>
    </row>
    <row r="51" spans="1:21" ht="30">
      <c r="A51" s="88" t="s">
        <v>90</v>
      </c>
      <c r="B51" s="88" t="s">
        <v>360</v>
      </c>
      <c r="C51" s="88" t="s">
        <v>359</v>
      </c>
      <c r="D51" s="144">
        <v>1</v>
      </c>
      <c r="E51" s="144" t="s">
        <v>432</v>
      </c>
      <c r="J51" s="88" t="s">
        <v>347</v>
      </c>
      <c r="K51" s="144">
        <v>0</v>
      </c>
      <c r="M51" s="30">
        <v>0</v>
      </c>
      <c r="N51" s="30">
        <v>1</v>
      </c>
      <c r="O51" s="30">
        <v>0</v>
      </c>
      <c r="P51" s="30">
        <v>0</v>
      </c>
      <c r="Q51" s="30">
        <v>0</v>
      </c>
      <c r="R51" s="30">
        <v>0</v>
      </c>
      <c r="S51" s="30">
        <v>0</v>
      </c>
      <c r="T51" s="30">
        <v>0</v>
      </c>
      <c r="U51" s="30">
        <v>0</v>
      </c>
    </row>
    <row r="52" spans="1:21">
      <c r="A52" s="88" t="s">
        <v>91</v>
      </c>
      <c r="B52" s="88" t="s">
        <v>358</v>
      </c>
      <c r="C52" s="88" t="s">
        <v>347</v>
      </c>
      <c r="D52" s="144">
        <v>0</v>
      </c>
      <c r="J52" s="88" t="s">
        <v>347</v>
      </c>
      <c r="K52" s="144">
        <v>0</v>
      </c>
      <c r="M52" s="30">
        <v>0</v>
      </c>
      <c r="N52" s="30">
        <v>0</v>
      </c>
      <c r="O52" s="30">
        <v>0</v>
      </c>
      <c r="P52" s="30">
        <v>0</v>
      </c>
      <c r="Q52" s="30">
        <v>0</v>
      </c>
      <c r="R52" s="30">
        <v>0</v>
      </c>
      <c r="S52" s="30">
        <v>0</v>
      </c>
      <c r="T52" s="30">
        <v>0</v>
      </c>
      <c r="U52" s="30">
        <v>0</v>
      </c>
    </row>
    <row r="53" spans="1:21">
      <c r="A53" s="88" t="s">
        <v>92</v>
      </c>
      <c r="B53" s="88" t="s">
        <v>357</v>
      </c>
      <c r="C53" s="88" t="s">
        <v>347</v>
      </c>
      <c r="D53" s="144">
        <v>0</v>
      </c>
      <c r="J53" s="88" t="s">
        <v>347</v>
      </c>
      <c r="K53" s="144">
        <v>0</v>
      </c>
      <c r="M53" s="30">
        <v>0</v>
      </c>
      <c r="N53" s="30">
        <v>0</v>
      </c>
      <c r="O53" s="30">
        <v>0</v>
      </c>
      <c r="P53" s="30">
        <v>0</v>
      </c>
      <c r="Q53" s="30">
        <v>0</v>
      </c>
      <c r="R53" s="30">
        <v>0</v>
      </c>
      <c r="S53" s="30">
        <v>0</v>
      </c>
      <c r="T53" s="30">
        <v>0</v>
      </c>
      <c r="U53" s="30">
        <v>0</v>
      </c>
    </row>
    <row r="54" spans="1:21">
      <c r="A54" s="88" t="s">
        <v>93</v>
      </c>
      <c r="B54" s="88" t="s">
        <v>162</v>
      </c>
      <c r="C54" s="88" t="s">
        <v>356</v>
      </c>
      <c r="D54" s="144">
        <v>1</v>
      </c>
      <c r="E54" s="144" t="s">
        <v>434</v>
      </c>
      <c r="J54" s="88" t="s">
        <v>347</v>
      </c>
      <c r="K54" s="144">
        <v>0</v>
      </c>
      <c r="M54" s="30">
        <v>0</v>
      </c>
      <c r="N54" s="30">
        <v>0</v>
      </c>
      <c r="O54" s="30">
        <v>0</v>
      </c>
      <c r="P54" s="30">
        <v>1</v>
      </c>
      <c r="Q54" s="30">
        <v>0</v>
      </c>
      <c r="R54" s="30">
        <v>0</v>
      </c>
      <c r="S54" s="30">
        <v>0</v>
      </c>
      <c r="T54" s="30">
        <v>0</v>
      </c>
      <c r="U54" s="30">
        <v>0</v>
      </c>
    </row>
    <row r="55" spans="1:21">
      <c r="A55" s="88" t="s">
        <v>94</v>
      </c>
      <c r="B55" s="88" t="s">
        <v>347</v>
      </c>
      <c r="C55" s="88" t="s">
        <v>347</v>
      </c>
      <c r="D55" s="144">
        <v>0</v>
      </c>
      <c r="J55" s="88" t="s">
        <v>348</v>
      </c>
      <c r="K55" s="144">
        <v>0</v>
      </c>
      <c r="M55" s="30">
        <v>0</v>
      </c>
      <c r="N55" s="30">
        <v>0</v>
      </c>
      <c r="O55" s="30">
        <v>0</v>
      </c>
      <c r="P55" s="30">
        <v>0</v>
      </c>
      <c r="Q55" s="30">
        <v>0</v>
      </c>
      <c r="R55" s="30">
        <v>0</v>
      </c>
      <c r="S55" s="30">
        <v>0</v>
      </c>
      <c r="T55" s="30">
        <v>0</v>
      </c>
      <c r="U55" s="30">
        <v>0</v>
      </c>
    </row>
    <row r="56" spans="1:21">
      <c r="A56" s="88" t="s">
        <v>95</v>
      </c>
      <c r="B56" s="88" t="s">
        <v>355</v>
      </c>
      <c r="C56" s="88" t="s">
        <v>347</v>
      </c>
      <c r="D56" s="144">
        <v>0</v>
      </c>
      <c r="J56" s="88" t="s">
        <v>347</v>
      </c>
      <c r="K56" s="144">
        <v>0</v>
      </c>
      <c r="M56" s="30">
        <v>0</v>
      </c>
      <c r="N56" s="30">
        <v>0</v>
      </c>
      <c r="O56" s="30">
        <v>0</v>
      </c>
      <c r="P56" s="30">
        <v>0</v>
      </c>
      <c r="Q56" s="30">
        <v>0</v>
      </c>
      <c r="R56" s="30">
        <v>0</v>
      </c>
      <c r="S56" s="30">
        <v>0</v>
      </c>
      <c r="T56" s="30">
        <v>0</v>
      </c>
      <c r="U56" s="30">
        <v>0</v>
      </c>
    </row>
    <row r="57" spans="1:21">
      <c r="A57" s="88" t="s">
        <v>96</v>
      </c>
      <c r="B57" s="88" t="s">
        <v>354</v>
      </c>
      <c r="C57" s="88" t="s">
        <v>353</v>
      </c>
      <c r="D57" s="144">
        <v>1</v>
      </c>
      <c r="E57" s="144" t="s">
        <v>437</v>
      </c>
      <c r="J57" s="88" t="s">
        <v>347</v>
      </c>
      <c r="K57" s="144">
        <v>0</v>
      </c>
      <c r="M57" s="30">
        <v>0</v>
      </c>
      <c r="N57" s="30">
        <v>0</v>
      </c>
      <c r="O57" s="30">
        <v>0</v>
      </c>
      <c r="P57" s="30">
        <v>0</v>
      </c>
      <c r="Q57" s="30">
        <v>0</v>
      </c>
      <c r="R57" s="30">
        <v>1</v>
      </c>
      <c r="S57" s="30">
        <v>0</v>
      </c>
      <c r="T57" s="30">
        <v>0</v>
      </c>
      <c r="U57" s="30">
        <v>0</v>
      </c>
    </row>
    <row r="58" spans="1:21">
      <c r="A58" s="88" t="s">
        <v>97</v>
      </c>
      <c r="B58" s="88" t="s">
        <v>347</v>
      </c>
      <c r="C58" s="88" t="s">
        <v>352</v>
      </c>
      <c r="D58" s="144">
        <v>1</v>
      </c>
      <c r="E58" s="144" t="s">
        <v>431</v>
      </c>
      <c r="J58" s="88" t="s">
        <v>347</v>
      </c>
      <c r="K58" s="144">
        <v>0</v>
      </c>
      <c r="M58" s="30">
        <v>0</v>
      </c>
      <c r="N58" s="30">
        <v>0</v>
      </c>
      <c r="O58" s="30">
        <v>1</v>
      </c>
      <c r="P58" s="30">
        <v>0</v>
      </c>
      <c r="Q58" s="30">
        <v>0</v>
      </c>
      <c r="R58" s="30">
        <v>0</v>
      </c>
      <c r="S58" s="30">
        <v>0</v>
      </c>
      <c r="T58" s="30">
        <v>0</v>
      </c>
      <c r="U58" s="30">
        <v>0</v>
      </c>
    </row>
    <row r="59" spans="1:21" ht="30">
      <c r="A59" s="88" t="s">
        <v>98</v>
      </c>
      <c r="B59" s="88" t="s">
        <v>351</v>
      </c>
      <c r="C59" s="88" t="s">
        <v>347</v>
      </c>
      <c r="D59" s="144">
        <v>0</v>
      </c>
      <c r="J59" s="88" t="s">
        <v>347</v>
      </c>
      <c r="K59" s="144">
        <v>0</v>
      </c>
      <c r="M59" s="30">
        <v>0</v>
      </c>
      <c r="N59" s="30">
        <v>0</v>
      </c>
      <c r="O59" s="30">
        <v>0</v>
      </c>
      <c r="P59" s="30">
        <v>0</v>
      </c>
      <c r="Q59" s="30">
        <v>0</v>
      </c>
      <c r="R59" s="30">
        <v>0</v>
      </c>
      <c r="S59" s="30">
        <v>0</v>
      </c>
      <c r="T59" s="30">
        <v>0</v>
      </c>
      <c r="U59" s="30">
        <v>0</v>
      </c>
    </row>
    <row r="60" spans="1:21" ht="30">
      <c r="A60" s="88" t="s">
        <v>99</v>
      </c>
      <c r="B60" s="88" t="s">
        <v>350</v>
      </c>
      <c r="C60" s="88" t="s">
        <v>347</v>
      </c>
      <c r="D60" s="144">
        <v>0</v>
      </c>
      <c r="J60" s="88" t="s">
        <v>347</v>
      </c>
      <c r="K60" s="144">
        <v>0</v>
      </c>
      <c r="M60" s="30">
        <v>0</v>
      </c>
      <c r="N60" s="30">
        <v>0</v>
      </c>
      <c r="O60" s="30">
        <v>0</v>
      </c>
      <c r="P60" s="30">
        <v>0</v>
      </c>
      <c r="Q60" s="30">
        <v>0</v>
      </c>
      <c r="R60" s="30">
        <v>0</v>
      </c>
      <c r="S60" s="30">
        <v>0</v>
      </c>
      <c r="T60" s="30">
        <v>0</v>
      </c>
      <c r="U60" s="30">
        <v>0</v>
      </c>
    </row>
    <row r="61" spans="1:21" ht="90">
      <c r="A61" s="88" t="s">
        <v>100</v>
      </c>
      <c r="B61" s="88" t="s">
        <v>349</v>
      </c>
      <c r="C61" s="88" t="s">
        <v>347</v>
      </c>
      <c r="D61" s="144">
        <v>0</v>
      </c>
      <c r="J61" s="88" t="s">
        <v>347</v>
      </c>
      <c r="K61" s="144">
        <v>0</v>
      </c>
      <c r="M61" s="30">
        <v>0</v>
      </c>
      <c r="N61" s="30">
        <v>0</v>
      </c>
      <c r="O61" s="30">
        <v>0</v>
      </c>
      <c r="P61" s="30">
        <v>0</v>
      </c>
      <c r="Q61" s="30">
        <v>0</v>
      </c>
      <c r="R61" s="30">
        <v>0</v>
      </c>
      <c r="S61" s="30">
        <v>0</v>
      </c>
      <c r="T61" s="30">
        <v>0</v>
      </c>
      <c r="U61" s="30">
        <v>0</v>
      </c>
    </row>
    <row r="62" spans="1:21">
      <c r="A62" s="88" t="s">
        <v>101</v>
      </c>
      <c r="B62" s="88" t="s">
        <v>347</v>
      </c>
      <c r="C62" s="88" t="s">
        <v>348</v>
      </c>
      <c r="D62" s="144">
        <v>0</v>
      </c>
      <c r="J62" s="88" t="s">
        <v>347</v>
      </c>
      <c r="K62" s="144">
        <v>0</v>
      </c>
      <c r="M62" s="30">
        <v>0</v>
      </c>
      <c r="N62" s="30">
        <v>0</v>
      </c>
      <c r="O62" s="30">
        <v>0</v>
      </c>
      <c r="P62" s="30">
        <v>0</v>
      </c>
      <c r="Q62" s="30">
        <v>0</v>
      </c>
      <c r="R62" s="30">
        <v>0</v>
      </c>
      <c r="S62" s="30">
        <v>0</v>
      </c>
      <c r="T62" s="30">
        <v>0</v>
      </c>
      <c r="U62" s="30">
        <v>0</v>
      </c>
    </row>
    <row r="63" spans="1:21" ht="30">
      <c r="A63" s="88" t="s">
        <v>102</v>
      </c>
      <c r="B63" s="88" t="s">
        <v>347</v>
      </c>
      <c r="C63" s="88" t="s">
        <v>346</v>
      </c>
      <c r="D63" s="144">
        <v>1</v>
      </c>
      <c r="E63" s="144" t="s">
        <v>435</v>
      </c>
      <c r="F63" s="144" t="s">
        <v>432</v>
      </c>
      <c r="J63" s="88" t="s">
        <v>284</v>
      </c>
      <c r="K63" s="144">
        <v>0</v>
      </c>
      <c r="M63" s="30">
        <v>1</v>
      </c>
      <c r="N63" s="30">
        <v>1</v>
      </c>
      <c r="O63" s="30">
        <v>0</v>
      </c>
      <c r="P63" s="30">
        <v>0</v>
      </c>
      <c r="Q63" s="30">
        <v>0</v>
      </c>
      <c r="R63" s="30">
        <v>0</v>
      </c>
      <c r="S63" s="30">
        <v>0</v>
      </c>
      <c r="T63" s="30">
        <v>0</v>
      </c>
      <c r="U63" s="30">
        <v>0</v>
      </c>
    </row>
    <row r="64" spans="1:21">
      <c r="E64" s="144">
        <f>COUNTA(E3:H63)</f>
        <v>38</v>
      </c>
    </row>
    <row r="65" spans="1:12" s="30" customFormat="1">
      <c r="A65" s="89"/>
      <c r="B65" s="89"/>
      <c r="C65" s="89"/>
      <c r="D65" s="81"/>
      <c r="E65" s="81"/>
      <c r="F65" s="81"/>
      <c r="G65" s="81"/>
      <c r="H65" s="81"/>
      <c r="J65" s="89" t="s">
        <v>443</v>
      </c>
      <c r="K65" s="81">
        <f>SUM(K3:K33)</f>
        <v>2</v>
      </c>
    </row>
    <row r="66" spans="1:12" s="30" customFormat="1">
      <c r="A66" s="89"/>
      <c r="B66" s="89"/>
      <c r="C66" s="89"/>
      <c r="D66" s="81"/>
      <c r="E66" s="81"/>
      <c r="F66" s="81"/>
      <c r="G66" s="81"/>
      <c r="H66" s="81"/>
      <c r="J66" s="89" t="s">
        <v>444</v>
      </c>
      <c r="K66" s="81">
        <v>3</v>
      </c>
      <c r="L66" s="30" t="s">
        <v>447</v>
      </c>
    </row>
    <row r="67" spans="1:12" s="30" customFormat="1">
      <c r="A67" s="89" t="s">
        <v>133</v>
      </c>
      <c r="B67" s="89"/>
      <c r="C67" s="89"/>
      <c r="D67" s="82"/>
      <c r="E67" s="134" t="s">
        <v>441</v>
      </c>
      <c r="F67" s="134" t="s">
        <v>442</v>
      </c>
      <c r="G67" s="134" t="s">
        <v>441</v>
      </c>
      <c r="H67" s="134" t="s">
        <v>442</v>
      </c>
      <c r="J67" s="89"/>
      <c r="K67" s="81"/>
    </row>
    <row r="68" spans="1:12" s="30" customFormat="1">
      <c r="A68" s="89" t="s">
        <v>134</v>
      </c>
      <c r="B68" s="89"/>
      <c r="C68" s="89"/>
      <c r="D68" s="90"/>
      <c r="E68" s="150" t="s">
        <v>456</v>
      </c>
      <c r="F68" s="150"/>
      <c r="G68" s="150" t="s">
        <v>780</v>
      </c>
      <c r="H68" s="150"/>
      <c r="J68" s="89"/>
      <c r="K68" s="81"/>
    </row>
    <row r="69" spans="1:12" s="30" customFormat="1">
      <c r="A69" s="89" t="s">
        <v>20</v>
      </c>
      <c r="B69" s="89"/>
      <c r="C69" s="89"/>
      <c r="D69" s="82" t="s">
        <v>446</v>
      </c>
      <c r="E69" s="134">
        <f>SUM(D3:D33)</f>
        <v>13</v>
      </c>
      <c r="F69" s="91">
        <f>E69/30</f>
        <v>0.43333333333333335</v>
      </c>
      <c r="G69" s="134">
        <f>SUM(D34:D63)</f>
        <v>9</v>
      </c>
      <c r="H69" s="91">
        <f>G69/30</f>
        <v>0.3</v>
      </c>
      <c r="I69" s="35"/>
      <c r="J69" s="89"/>
      <c r="K69" s="81"/>
    </row>
    <row r="70" spans="1:12" s="30" customFormat="1">
      <c r="A70" s="89" t="s">
        <v>21</v>
      </c>
      <c r="B70" s="89"/>
      <c r="C70" s="89"/>
      <c r="D70" s="81" t="s">
        <v>435</v>
      </c>
      <c r="E70" s="92">
        <f>COUNTIF($E$3:$H$33, D70)</f>
        <v>5</v>
      </c>
      <c r="F70" s="93">
        <f>E70/30</f>
        <v>0.16666666666666666</v>
      </c>
      <c r="G70" s="92">
        <f t="shared" ref="G70:G78" si="0">COUNTIF($E$34:$H$63, D70)</f>
        <v>2</v>
      </c>
      <c r="H70" s="93">
        <f>G70/30</f>
        <v>6.6666666666666666E-2</v>
      </c>
      <c r="J70" s="89"/>
      <c r="K70" s="81"/>
    </row>
    <row r="71" spans="1:12" s="30" customFormat="1">
      <c r="A71" s="89"/>
      <c r="B71" s="89"/>
      <c r="C71" s="89"/>
      <c r="D71" s="81" t="s">
        <v>432</v>
      </c>
      <c r="E71" s="92">
        <f t="shared" ref="E71:E78" si="1">COUNTIF($E$3:$H$33, D71)</f>
        <v>3</v>
      </c>
      <c r="F71" s="93">
        <f t="shared" ref="F71:F79" si="2">E71/30</f>
        <v>0.1</v>
      </c>
      <c r="G71" s="92">
        <f t="shared" si="0"/>
        <v>4</v>
      </c>
      <c r="H71" s="93">
        <f>G71/30</f>
        <v>0.13333333333333333</v>
      </c>
      <c r="J71" s="89"/>
      <c r="K71" s="81"/>
    </row>
    <row r="72" spans="1:12" s="30" customFormat="1">
      <c r="A72" s="89" t="s">
        <v>103</v>
      </c>
      <c r="B72" s="89"/>
      <c r="C72" s="89"/>
      <c r="D72" s="81" t="s">
        <v>431</v>
      </c>
      <c r="E72" s="92">
        <f t="shared" si="1"/>
        <v>10</v>
      </c>
      <c r="F72" s="93">
        <f t="shared" si="2"/>
        <v>0.33333333333333331</v>
      </c>
      <c r="G72" s="92">
        <f t="shared" si="0"/>
        <v>3</v>
      </c>
      <c r="H72" s="93">
        <f t="shared" ref="H72:H79" si="3">G72/30</f>
        <v>0.1</v>
      </c>
      <c r="J72" s="89"/>
      <c r="K72" s="81"/>
    </row>
    <row r="73" spans="1:12" s="30" customFormat="1">
      <c r="A73" s="89" t="s">
        <v>121</v>
      </c>
      <c r="B73" s="89"/>
      <c r="C73" s="89"/>
      <c r="D73" s="81" t="s">
        <v>434</v>
      </c>
      <c r="E73" s="92">
        <f t="shared" si="1"/>
        <v>0</v>
      </c>
      <c r="F73" s="93">
        <f t="shared" si="2"/>
        <v>0</v>
      </c>
      <c r="G73" s="92">
        <f t="shared" si="0"/>
        <v>1</v>
      </c>
      <c r="H73" s="93">
        <f t="shared" si="3"/>
        <v>3.3333333333333333E-2</v>
      </c>
      <c r="J73" s="89"/>
      <c r="K73" s="81"/>
    </row>
    <row r="74" spans="1:12" s="30" customFormat="1">
      <c r="A74" s="89"/>
      <c r="B74" s="89"/>
      <c r="C74" s="89"/>
      <c r="D74" s="81" t="s">
        <v>439</v>
      </c>
      <c r="E74" s="92">
        <f t="shared" si="1"/>
        <v>2</v>
      </c>
      <c r="F74" s="93">
        <f t="shared" si="2"/>
        <v>6.6666666666666666E-2</v>
      </c>
      <c r="G74" s="92">
        <f t="shared" si="0"/>
        <v>0</v>
      </c>
      <c r="H74" s="93">
        <f t="shared" si="3"/>
        <v>0</v>
      </c>
      <c r="J74" s="89"/>
      <c r="K74" s="81"/>
    </row>
    <row r="75" spans="1:12" s="30" customFormat="1">
      <c r="A75" s="89" t="s">
        <v>104</v>
      </c>
      <c r="B75" s="89"/>
      <c r="C75" s="89"/>
      <c r="D75" s="81" t="s">
        <v>437</v>
      </c>
      <c r="E75" s="92">
        <f t="shared" si="1"/>
        <v>3</v>
      </c>
      <c r="F75" s="93">
        <f t="shared" si="2"/>
        <v>0.1</v>
      </c>
      <c r="G75" s="92">
        <f t="shared" si="0"/>
        <v>2</v>
      </c>
      <c r="H75" s="93">
        <f t="shared" si="3"/>
        <v>6.6666666666666666E-2</v>
      </c>
      <c r="J75" s="89"/>
      <c r="K75" s="81"/>
    </row>
    <row r="76" spans="1:12" s="30" customFormat="1">
      <c r="A76" s="89" t="s">
        <v>55</v>
      </c>
      <c r="B76" s="89"/>
      <c r="C76" s="89"/>
      <c r="D76" s="81" t="s">
        <v>440</v>
      </c>
      <c r="E76" s="92">
        <f t="shared" si="1"/>
        <v>0</v>
      </c>
      <c r="F76" s="93">
        <f t="shared" si="2"/>
        <v>0</v>
      </c>
      <c r="G76" s="92">
        <f t="shared" si="0"/>
        <v>1</v>
      </c>
      <c r="H76" s="93">
        <f t="shared" si="3"/>
        <v>3.3333333333333333E-2</v>
      </c>
      <c r="J76" s="89"/>
      <c r="K76" s="81"/>
    </row>
    <row r="77" spans="1:12" s="30" customFormat="1">
      <c r="A77" s="89"/>
      <c r="B77" s="89"/>
      <c r="C77" s="89"/>
      <c r="D77" s="81" t="s">
        <v>436</v>
      </c>
      <c r="E77" s="92">
        <f t="shared" si="1"/>
        <v>0</v>
      </c>
      <c r="F77" s="93">
        <f t="shared" si="2"/>
        <v>0</v>
      </c>
      <c r="G77" s="92">
        <f t="shared" si="0"/>
        <v>1</v>
      </c>
      <c r="H77" s="93">
        <f t="shared" si="3"/>
        <v>3.3333333333333333E-2</v>
      </c>
      <c r="J77" s="89"/>
      <c r="K77" s="81"/>
    </row>
    <row r="78" spans="1:12" s="30" customFormat="1">
      <c r="A78" s="89" t="s">
        <v>106</v>
      </c>
      <c r="B78" s="89"/>
      <c r="C78" s="89"/>
      <c r="D78" s="81" t="s">
        <v>433</v>
      </c>
      <c r="E78" s="92">
        <f t="shared" si="1"/>
        <v>1</v>
      </c>
      <c r="F78" s="93">
        <f t="shared" si="2"/>
        <v>3.3333333333333333E-2</v>
      </c>
      <c r="G78" s="92">
        <f t="shared" si="0"/>
        <v>0</v>
      </c>
      <c r="H78" s="93">
        <f t="shared" si="3"/>
        <v>0</v>
      </c>
      <c r="J78" s="89"/>
      <c r="K78" s="81"/>
    </row>
    <row r="79" spans="1:12" s="30" customFormat="1" ht="30">
      <c r="A79" s="89" t="s">
        <v>123</v>
      </c>
      <c r="B79" s="89"/>
      <c r="C79" s="89"/>
      <c r="D79" s="83" t="s">
        <v>445</v>
      </c>
      <c r="E79" s="92">
        <v>2</v>
      </c>
      <c r="F79" s="93">
        <f t="shared" si="2"/>
        <v>6.6666666666666666E-2</v>
      </c>
      <c r="G79" s="92">
        <v>3</v>
      </c>
      <c r="H79" s="93">
        <f t="shared" si="3"/>
        <v>0.1</v>
      </c>
      <c r="J79" s="89"/>
      <c r="K79" s="81"/>
    </row>
    <row r="80" spans="1:12" s="30" customFormat="1">
      <c r="A80" s="89" t="s">
        <v>59</v>
      </c>
      <c r="B80" s="89"/>
      <c r="C80" s="89"/>
      <c r="D80" s="81"/>
      <c r="E80" s="81"/>
      <c r="F80" s="81"/>
      <c r="G80" s="81"/>
      <c r="H80" s="81"/>
      <c r="J80" s="89"/>
      <c r="K80" s="81"/>
    </row>
    <row r="81" spans="1:11" s="30" customFormat="1">
      <c r="A81" s="89"/>
      <c r="B81" s="89"/>
      <c r="C81" s="89"/>
      <c r="D81" s="81"/>
      <c r="E81" s="81"/>
      <c r="F81" s="81"/>
      <c r="G81" s="81"/>
      <c r="H81" s="81"/>
      <c r="J81" s="89"/>
      <c r="K81" s="81"/>
    </row>
    <row r="82" spans="1:11" s="30" customFormat="1">
      <c r="A82" s="89" t="s">
        <v>107</v>
      </c>
      <c r="B82" s="89"/>
      <c r="C82" s="89"/>
      <c r="D82" s="81"/>
      <c r="E82" s="81"/>
      <c r="F82" s="81"/>
      <c r="G82" s="81"/>
      <c r="H82" s="81"/>
      <c r="J82" s="89"/>
      <c r="K82" s="81"/>
    </row>
    <row r="83" spans="1:11" s="30" customFormat="1">
      <c r="A83" s="89" t="s">
        <v>124</v>
      </c>
      <c r="B83" s="89"/>
      <c r="C83" s="89"/>
      <c r="D83" s="81"/>
      <c r="E83" s="81"/>
      <c r="F83" s="81"/>
      <c r="G83" s="81"/>
      <c r="H83" s="81"/>
      <c r="J83" s="89"/>
      <c r="K83" s="81"/>
    </row>
    <row r="84" spans="1:11" s="30" customFormat="1">
      <c r="A84" s="89" t="s">
        <v>122</v>
      </c>
      <c r="B84" s="89"/>
      <c r="C84" s="89"/>
      <c r="D84" s="81"/>
      <c r="E84" s="81"/>
      <c r="F84" s="81"/>
      <c r="G84" s="81"/>
      <c r="H84" s="81"/>
      <c r="J84" s="89"/>
      <c r="K84" s="81"/>
    </row>
    <row r="85" spans="1:11" s="30" customFormat="1">
      <c r="A85" s="89"/>
      <c r="B85" s="89"/>
      <c r="C85" s="89"/>
      <c r="D85" s="81"/>
      <c r="E85" s="81"/>
      <c r="F85" s="81"/>
      <c r="G85" s="81"/>
      <c r="H85" s="81"/>
      <c r="J85" s="89"/>
      <c r="K85" s="81"/>
    </row>
    <row r="86" spans="1:11" s="30" customFormat="1">
      <c r="A86" s="89" t="s">
        <v>125</v>
      </c>
      <c r="B86" s="89"/>
      <c r="C86" s="89"/>
      <c r="D86" s="81"/>
      <c r="E86" s="81"/>
      <c r="F86" s="81"/>
      <c r="G86" s="81"/>
      <c r="H86" s="81"/>
      <c r="J86" s="89"/>
      <c r="K86" s="81"/>
    </row>
    <row r="87" spans="1:11" s="30" customFormat="1">
      <c r="A87" s="89" t="s">
        <v>93</v>
      </c>
      <c r="B87" s="89"/>
      <c r="C87" s="89"/>
      <c r="D87" s="81"/>
      <c r="E87" s="81"/>
      <c r="F87" s="81"/>
      <c r="G87" s="81"/>
      <c r="H87" s="81"/>
      <c r="J87" s="89"/>
      <c r="K87" s="81"/>
    </row>
    <row r="88" spans="1:11" s="30" customFormat="1">
      <c r="A88" s="89"/>
      <c r="B88" s="89"/>
      <c r="C88" s="89"/>
      <c r="D88" s="81"/>
      <c r="E88" s="81"/>
      <c r="F88" s="81"/>
      <c r="G88" s="81"/>
      <c r="H88" s="81"/>
      <c r="J88" s="89"/>
      <c r="K88" s="81"/>
    </row>
    <row r="89" spans="1:11" s="30" customFormat="1">
      <c r="A89" s="89" t="s">
        <v>110</v>
      </c>
      <c r="B89" s="89"/>
      <c r="C89" s="89"/>
      <c r="D89" s="81"/>
      <c r="E89" s="81"/>
      <c r="F89" s="81"/>
      <c r="G89" s="81"/>
      <c r="H89" s="81"/>
      <c r="J89" s="89"/>
      <c r="K89" s="81"/>
    </row>
    <row r="90" spans="1:11" s="30" customFormat="1">
      <c r="A90" s="89" t="s">
        <v>97</v>
      </c>
      <c r="B90" s="89"/>
      <c r="C90" s="89"/>
      <c r="D90" s="81"/>
      <c r="E90" s="81"/>
      <c r="F90" s="81"/>
      <c r="G90" s="81"/>
      <c r="H90" s="81"/>
      <c r="J90" s="89"/>
      <c r="K90" s="81"/>
    </row>
    <row r="91" spans="1:11" s="30" customFormat="1">
      <c r="A91" s="89"/>
      <c r="B91" s="89"/>
      <c r="C91" s="89"/>
      <c r="D91" s="81"/>
      <c r="E91" s="81"/>
      <c r="F91" s="81"/>
      <c r="G91" s="81"/>
      <c r="H91" s="81"/>
      <c r="J91" s="89"/>
      <c r="K91" s="81"/>
    </row>
    <row r="92" spans="1:11" s="30" customFormat="1">
      <c r="A92" s="89"/>
      <c r="B92" s="89"/>
      <c r="C92" s="89"/>
      <c r="D92" s="81"/>
      <c r="E92" s="81"/>
      <c r="F92" s="81"/>
      <c r="G92" s="81"/>
      <c r="H92" s="81"/>
      <c r="J92" s="89"/>
      <c r="K92" s="81"/>
    </row>
    <row r="93" spans="1:11" s="30" customFormat="1">
      <c r="A93" s="89" t="s">
        <v>111</v>
      </c>
      <c r="B93" s="89"/>
      <c r="C93" s="89"/>
      <c r="D93" s="81"/>
      <c r="E93" s="81"/>
      <c r="F93" s="81"/>
      <c r="G93" s="81"/>
      <c r="H93" s="81"/>
      <c r="J93" s="89"/>
      <c r="K93" s="81"/>
    </row>
    <row r="94" spans="1:11" s="30" customFormat="1">
      <c r="A94" s="89"/>
      <c r="B94" s="89"/>
      <c r="C94" s="89"/>
      <c r="D94" s="81"/>
      <c r="E94" s="81"/>
      <c r="F94" s="81"/>
      <c r="G94" s="81"/>
      <c r="H94" s="81"/>
      <c r="J94" s="89"/>
      <c r="K94" s="81"/>
    </row>
    <row r="95" spans="1:11" s="30" customFormat="1">
      <c r="A95" s="89"/>
      <c r="B95" s="89"/>
      <c r="C95" s="89"/>
      <c r="D95" s="81"/>
      <c r="E95" s="81"/>
      <c r="F95" s="81"/>
      <c r="G95" s="81"/>
      <c r="H95" s="81"/>
      <c r="J95" s="89"/>
      <c r="K95" s="81"/>
    </row>
    <row r="96" spans="1:11" s="30" customFormat="1">
      <c r="A96" s="88" t="s">
        <v>89</v>
      </c>
      <c r="B96" s="88" t="s">
        <v>363</v>
      </c>
      <c r="C96" s="88" t="s">
        <v>363</v>
      </c>
      <c r="D96" s="144">
        <v>0</v>
      </c>
      <c r="E96" s="144"/>
      <c r="F96" s="144"/>
      <c r="G96" s="144"/>
      <c r="H96" s="144"/>
      <c r="I96" s="29"/>
      <c r="J96" s="88" t="s">
        <v>362</v>
      </c>
      <c r="K96" s="144">
        <v>1</v>
      </c>
    </row>
    <row r="97" spans="1:11" s="30" customFormat="1">
      <c r="A97" s="89"/>
      <c r="B97" s="89"/>
      <c r="C97" s="89"/>
      <c r="D97" s="81"/>
      <c r="E97" s="81"/>
      <c r="F97" s="81"/>
      <c r="G97" s="81"/>
      <c r="H97" s="81"/>
      <c r="J97" s="89"/>
      <c r="K97" s="81"/>
    </row>
    <row r="98" spans="1:11" s="30" customFormat="1">
      <c r="A98" s="89"/>
      <c r="B98" s="89"/>
      <c r="C98" s="89"/>
      <c r="D98" s="81"/>
      <c r="E98" s="81"/>
      <c r="F98" s="81"/>
      <c r="G98" s="81"/>
      <c r="H98" s="81"/>
      <c r="J98" s="89"/>
      <c r="K98" s="81"/>
    </row>
    <row r="99" spans="1:11" s="30" customFormat="1">
      <c r="A99" s="89"/>
      <c r="B99" s="89"/>
      <c r="C99" s="89"/>
      <c r="D99" s="81"/>
      <c r="E99" s="81"/>
      <c r="F99" s="81"/>
      <c r="G99" s="81"/>
      <c r="H99" s="81"/>
      <c r="J99" s="89"/>
      <c r="K99" s="81"/>
    </row>
    <row r="100" spans="1:11" s="30" customFormat="1">
      <c r="A100" s="89"/>
      <c r="B100" s="89"/>
      <c r="C100" s="89"/>
      <c r="D100" s="81"/>
      <c r="E100" s="81"/>
      <c r="F100" s="81"/>
      <c r="G100" s="81"/>
      <c r="H100" s="81"/>
      <c r="J100" s="89"/>
      <c r="K100" s="81"/>
    </row>
    <row r="101" spans="1:11" s="30" customFormat="1">
      <c r="A101" s="89"/>
      <c r="B101" s="89"/>
      <c r="C101" s="89"/>
      <c r="D101" s="81"/>
      <c r="E101" s="81"/>
      <c r="F101" s="81"/>
      <c r="G101" s="81"/>
      <c r="H101" s="81"/>
      <c r="J101" s="89"/>
      <c r="K101" s="81"/>
    </row>
    <row r="102" spans="1:11" s="30" customFormat="1">
      <c r="A102" s="89"/>
      <c r="B102" s="89"/>
      <c r="C102" s="89"/>
      <c r="D102" s="81"/>
      <c r="E102" s="81"/>
      <c r="F102" s="81"/>
      <c r="G102" s="81"/>
      <c r="H102" s="81"/>
      <c r="J102" s="89"/>
      <c r="K102" s="81"/>
    </row>
    <row r="103" spans="1:11" s="30" customFormat="1">
      <c r="A103" s="89"/>
      <c r="B103" s="89"/>
      <c r="C103" s="89"/>
      <c r="D103" s="81"/>
      <c r="E103" s="81"/>
      <c r="F103" s="81"/>
      <c r="G103" s="81"/>
      <c r="H103" s="81"/>
      <c r="J103" s="89"/>
      <c r="K103" s="81"/>
    </row>
    <row r="104" spans="1:11" s="30" customFormat="1">
      <c r="A104" s="89"/>
      <c r="B104" s="89"/>
      <c r="C104" s="89"/>
      <c r="D104" s="81"/>
      <c r="E104" s="81"/>
      <c r="F104" s="81"/>
      <c r="G104" s="81"/>
      <c r="H104" s="81"/>
      <c r="J104" s="89"/>
      <c r="K104" s="81"/>
    </row>
    <row r="105" spans="1:11" s="30" customFormat="1">
      <c r="A105" s="89"/>
      <c r="B105" s="89"/>
      <c r="C105" s="89"/>
      <c r="D105" s="81"/>
      <c r="E105" s="81"/>
      <c r="F105" s="81"/>
      <c r="G105" s="81"/>
      <c r="H105" s="81"/>
      <c r="J105" s="89"/>
      <c r="K105" s="81"/>
    </row>
    <row r="106" spans="1:11" s="30" customFormat="1">
      <c r="A106" s="89"/>
      <c r="B106" s="89"/>
      <c r="C106" s="89"/>
      <c r="D106" s="81"/>
      <c r="E106" s="81"/>
      <c r="F106" s="81"/>
      <c r="G106" s="81"/>
      <c r="H106" s="81"/>
      <c r="J106" s="89"/>
      <c r="K106" s="81"/>
    </row>
    <row r="107" spans="1:11" s="30" customFormat="1">
      <c r="A107" s="89"/>
      <c r="B107" s="89"/>
      <c r="C107" s="89"/>
      <c r="D107" s="81"/>
      <c r="E107" s="81"/>
      <c r="F107" s="81"/>
      <c r="G107" s="81"/>
      <c r="H107" s="81"/>
      <c r="J107" s="89"/>
      <c r="K107" s="81"/>
    </row>
    <row r="108" spans="1:11" s="30" customFormat="1">
      <c r="A108" s="89"/>
      <c r="B108" s="89"/>
      <c r="C108" s="89"/>
      <c r="D108" s="81"/>
      <c r="E108" s="81"/>
      <c r="F108" s="81"/>
      <c r="G108" s="81"/>
      <c r="H108" s="81"/>
      <c r="J108" s="89"/>
      <c r="K108" s="81"/>
    </row>
    <row r="109" spans="1:11" s="30" customFormat="1">
      <c r="A109" s="89"/>
      <c r="B109" s="89"/>
      <c r="C109" s="89"/>
      <c r="D109" s="81"/>
      <c r="E109" s="81"/>
      <c r="F109" s="81"/>
      <c r="G109" s="81"/>
      <c r="H109" s="81"/>
      <c r="J109" s="89"/>
      <c r="K109" s="81"/>
    </row>
    <row r="110" spans="1:11" s="30" customFormat="1">
      <c r="A110" s="89"/>
      <c r="B110" s="89"/>
      <c r="C110" s="89"/>
      <c r="D110" s="81"/>
      <c r="E110" s="81"/>
      <c r="F110" s="81"/>
      <c r="G110" s="81"/>
      <c r="H110" s="81"/>
      <c r="J110" s="89"/>
      <c r="K110" s="81"/>
    </row>
    <row r="111" spans="1:11" s="30" customFormat="1">
      <c r="A111" s="89"/>
      <c r="B111" s="89"/>
      <c r="C111" s="89"/>
      <c r="D111" s="81"/>
      <c r="E111" s="81"/>
      <c r="F111" s="81"/>
      <c r="G111" s="81"/>
      <c r="H111" s="81"/>
      <c r="J111" s="89"/>
      <c r="K111" s="81"/>
    </row>
    <row r="112" spans="1:11" s="30" customFormat="1">
      <c r="A112" s="89"/>
      <c r="B112" s="89"/>
      <c r="C112" s="89"/>
      <c r="D112" s="81"/>
      <c r="E112" s="81"/>
      <c r="F112" s="81"/>
      <c r="G112" s="81"/>
      <c r="H112" s="81"/>
      <c r="J112" s="89"/>
      <c r="K112" s="81"/>
    </row>
  </sheetData>
  <sortState ref="A102:C110">
    <sortCondition descending="1" ref="B102:B110"/>
  </sortState>
  <mergeCells count="2">
    <mergeCell ref="E68:F68"/>
    <mergeCell ref="G68:H68"/>
  </mergeCells>
  <pageMargins left="0.7" right="0.7" top="0.75" bottom="0.75" header="0.3" footer="0.3"/>
  <pageSetup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96"/>
  <sheetViews>
    <sheetView workbookViewId="0">
      <pane xSplit="1" topLeftCell="V1" activePane="topRight" state="frozen"/>
      <selection pane="topRight" activeCell="AM3" sqref="AM3"/>
    </sheetView>
  </sheetViews>
  <sheetFormatPr defaultRowHeight="15"/>
  <sheetData>
    <row r="1" spans="1:42">
      <c r="C1" s="105" t="s">
        <v>503</v>
      </c>
      <c r="D1" s="105" t="s">
        <v>504</v>
      </c>
      <c r="E1" s="105" t="s">
        <v>505</v>
      </c>
      <c r="F1" s="105" t="s">
        <v>506</v>
      </c>
      <c r="G1" s="105" t="s">
        <v>507</v>
      </c>
      <c r="H1" s="105" t="s">
        <v>508</v>
      </c>
      <c r="I1" s="105" t="s">
        <v>509</v>
      </c>
      <c r="J1" s="105" t="s">
        <v>510</v>
      </c>
      <c r="K1" s="105" t="s">
        <v>511</v>
      </c>
      <c r="L1" s="105" t="s">
        <v>512</v>
      </c>
      <c r="M1" s="105" t="s">
        <v>513</v>
      </c>
      <c r="N1" s="105" t="s">
        <v>514</v>
      </c>
      <c r="O1" s="105" t="s">
        <v>515</v>
      </c>
      <c r="P1" s="105" t="s">
        <v>516</v>
      </c>
      <c r="Q1" s="105" t="s">
        <v>517</v>
      </c>
      <c r="R1" s="105" t="s">
        <v>518</v>
      </c>
      <c r="S1" s="105" t="s">
        <v>519</v>
      </c>
      <c r="T1" s="105" t="s">
        <v>520</v>
      </c>
      <c r="U1" s="105" t="s">
        <v>521</v>
      </c>
      <c r="V1" s="105" t="s">
        <v>522</v>
      </c>
      <c r="W1" s="105" t="s">
        <v>523</v>
      </c>
      <c r="X1" s="105" t="s">
        <v>524</v>
      </c>
      <c r="Y1" s="105" t="s">
        <v>525</v>
      </c>
      <c r="Z1" s="105" t="s">
        <v>526</v>
      </c>
      <c r="AA1" s="105" t="s">
        <v>527</v>
      </c>
      <c r="AB1" s="105" t="s">
        <v>528</v>
      </c>
      <c r="AC1" s="105" t="s">
        <v>529</v>
      </c>
      <c r="AD1" s="105" t="s">
        <v>530</v>
      </c>
      <c r="AE1" s="105" t="s">
        <v>531</v>
      </c>
      <c r="AF1" s="105" t="s">
        <v>532</v>
      </c>
      <c r="AG1" s="105" t="s">
        <v>533</v>
      </c>
      <c r="AH1" s="105" t="s">
        <v>534</v>
      </c>
      <c r="AI1" s="105" t="s">
        <v>535</v>
      </c>
      <c r="AJ1" s="105" t="s">
        <v>536</v>
      </c>
      <c r="AK1" s="105" t="s">
        <v>537</v>
      </c>
      <c r="AL1" s="105" t="s">
        <v>538</v>
      </c>
      <c r="AM1" s="105" t="s">
        <v>539</v>
      </c>
      <c r="AN1" s="105" t="s">
        <v>540</v>
      </c>
      <c r="AO1" s="106"/>
      <c r="AP1" s="105" t="s">
        <v>541</v>
      </c>
    </row>
    <row r="2" spans="1:42">
      <c r="A2" t="s">
        <v>785</v>
      </c>
      <c r="C2">
        <v>3</v>
      </c>
      <c r="E2">
        <v>5</v>
      </c>
      <c r="F2">
        <v>6</v>
      </c>
      <c r="H2">
        <v>8</v>
      </c>
      <c r="I2">
        <v>9</v>
      </c>
      <c r="J2">
        <v>10</v>
      </c>
      <c r="L2">
        <v>12</v>
      </c>
      <c r="M2">
        <v>13</v>
      </c>
      <c r="N2">
        <v>14</v>
      </c>
      <c r="R2">
        <v>18</v>
      </c>
      <c r="T2">
        <v>20</v>
      </c>
      <c r="U2">
        <v>21</v>
      </c>
      <c r="X2">
        <v>24</v>
      </c>
      <c r="Y2">
        <v>25</v>
      </c>
      <c r="Z2">
        <v>26</v>
      </c>
      <c r="AA2">
        <v>27</v>
      </c>
      <c r="AC2">
        <v>29</v>
      </c>
      <c r="AD2">
        <v>30</v>
      </c>
      <c r="AE2">
        <v>31</v>
      </c>
      <c r="AF2">
        <v>32</v>
      </c>
      <c r="AG2">
        <v>33</v>
      </c>
      <c r="AI2">
        <v>35</v>
      </c>
      <c r="AJ2">
        <v>36</v>
      </c>
      <c r="AK2">
        <v>37</v>
      </c>
      <c r="AL2">
        <v>38</v>
      </c>
      <c r="AM2">
        <v>39</v>
      </c>
      <c r="AN2">
        <v>40</v>
      </c>
    </row>
    <row r="3" spans="1:42">
      <c r="A3" s="2" t="s">
        <v>542</v>
      </c>
      <c r="B3" s="2" t="s">
        <v>543</v>
      </c>
      <c r="C3" s="2">
        <v>1.4</v>
      </c>
      <c r="D3" s="2">
        <v>4.9496999999999999E-2</v>
      </c>
      <c r="E3" s="2">
        <v>61</v>
      </c>
      <c r="F3" s="2">
        <v>1.3</v>
      </c>
      <c r="G3" s="2" t="s">
        <v>544</v>
      </c>
      <c r="H3" s="2">
        <v>0.1414</v>
      </c>
      <c r="I3" s="2">
        <v>0.1</v>
      </c>
      <c r="J3" s="2">
        <v>5.4</v>
      </c>
      <c r="K3" s="2" t="s">
        <v>544</v>
      </c>
      <c r="L3" s="2">
        <v>0.2</v>
      </c>
      <c r="M3" s="2">
        <v>0.3</v>
      </c>
      <c r="N3" s="2">
        <v>3.1</v>
      </c>
      <c r="O3" s="2" t="s">
        <v>544</v>
      </c>
      <c r="P3" s="2" t="s">
        <v>544</v>
      </c>
      <c r="Q3" s="2" t="s">
        <v>544</v>
      </c>
      <c r="R3" s="2">
        <v>0.1</v>
      </c>
      <c r="S3" s="2" t="s">
        <v>544</v>
      </c>
      <c r="T3" s="2">
        <v>0.4</v>
      </c>
      <c r="U3" s="2">
        <v>0.08</v>
      </c>
      <c r="V3" s="2" t="s">
        <v>544</v>
      </c>
      <c r="W3" s="2">
        <v>42</v>
      </c>
      <c r="X3" s="2">
        <v>23</v>
      </c>
      <c r="Y3" s="2">
        <v>680</v>
      </c>
      <c r="Z3" s="2">
        <v>140</v>
      </c>
      <c r="AA3" s="2">
        <v>77</v>
      </c>
      <c r="AB3" s="2">
        <v>0.16</v>
      </c>
      <c r="AC3" s="2">
        <v>7.0000000000000001E-3</v>
      </c>
      <c r="AD3" s="2">
        <v>410</v>
      </c>
      <c r="AE3" s="2">
        <v>6.9999999999999999E-4</v>
      </c>
      <c r="AF3" s="2">
        <v>3.5999999999999997E-2</v>
      </c>
      <c r="AG3" s="2">
        <v>2.2000000000000002</v>
      </c>
      <c r="AH3" s="2" t="s">
        <v>544</v>
      </c>
      <c r="AI3" s="2">
        <v>5.5E-2</v>
      </c>
      <c r="AJ3" s="2">
        <v>5.8999999999999997E-2</v>
      </c>
      <c r="AK3" s="2">
        <v>0.12</v>
      </c>
      <c r="AL3" s="2">
        <v>1.4100000000000001E-4</v>
      </c>
      <c r="AM3" s="2">
        <v>4.95E-4</v>
      </c>
      <c r="AN3" s="2">
        <v>0.25</v>
      </c>
      <c r="AO3" s="2"/>
      <c r="AP3" s="2">
        <v>250</v>
      </c>
    </row>
    <row r="4" spans="1:42">
      <c r="A4" s="2" t="s">
        <v>545</v>
      </c>
      <c r="B4" s="2" t="s">
        <v>543</v>
      </c>
      <c r="C4" s="2">
        <v>1.8</v>
      </c>
      <c r="D4" s="2">
        <v>4.9496999999999999E-2</v>
      </c>
      <c r="E4" s="2">
        <v>4.8</v>
      </c>
      <c r="F4" s="2">
        <v>1.5</v>
      </c>
      <c r="G4" s="2" t="s">
        <v>544</v>
      </c>
      <c r="H4" s="2">
        <v>0.1414</v>
      </c>
      <c r="I4" s="2">
        <v>0.09</v>
      </c>
      <c r="J4" s="2">
        <v>3.1</v>
      </c>
      <c r="K4" s="2" t="s">
        <v>544</v>
      </c>
      <c r="L4" s="2">
        <v>0.1</v>
      </c>
      <c r="M4" s="2">
        <v>0.21210000000000001</v>
      </c>
      <c r="N4" s="2">
        <v>3.1</v>
      </c>
      <c r="O4" s="2" t="s">
        <v>544</v>
      </c>
      <c r="P4" s="2" t="s">
        <v>544</v>
      </c>
      <c r="Q4" s="2" t="s">
        <v>544</v>
      </c>
      <c r="R4" s="2">
        <v>0.1</v>
      </c>
      <c r="S4" s="2" t="s">
        <v>544</v>
      </c>
      <c r="T4" s="2">
        <v>7.0000000000000007E-2</v>
      </c>
      <c r="U4" s="2">
        <v>3.5349999999999999E-2</v>
      </c>
      <c r="V4" s="2" t="s">
        <v>544</v>
      </c>
      <c r="W4" s="2">
        <v>110</v>
      </c>
      <c r="X4" s="2">
        <v>15</v>
      </c>
      <c r="Y4" s="2">
        <v>860</v>
      </c>
      <c r="Z4" s="2">
        <v>34</v>
      </c>
      <c r="AA4" s="2">
        <v>83</v>
      </c>
      <c r="AB4" s="2">
        <v>0.16</v>
      </c>
      <c r="AC4" s="2">
        <v>1.0999999999999999E-2</v>
      </c>
      <c r="AD4" s="2">
        <v>590</v>
      </c>
      <c r="AE4" s="2">
        <v>5.9999999999999995E-4</v>
      </c>
      <c r="AF4" s="2">
        <v>1.2E-2</v>
      </c>
      <c r="AG4" s="2">
        <v>1.6</v>
      </c>
      <c r="AH4" s="2" t="s">
        <v>544</v>
      </c>
      <c r="AI4" s="2">
        <v>0.18</v>
      </c>
      <c r="AJ4" s="2">
        <v>5.6000000000000001E-2</v>
      </c>
      <c r="AK4" s="2">
        <v>6.7000000000000004E-2</v>
      </c>
      <c r="AL4" s="2">
        <v>1.4100000000000001E-4</v>
      </c>
      <c r="AM4" s="2">
        <v>1E-3</v>
      </c>
      <c r="AN4" s="2">
        <v>7.0710999999999996E-2</v>
      </c>
      <c r="AO4" s="2"/>
      <c r="AP4" s="2">
        <v>128</v>
      </c>
    </row>
    <row r="5" spans="1:42">
      <c r="A5" s="2" t="s">
        <v>546</v>
      </c>
      <c r="B5" s="2" t="s">
        <v>543</v>
      </c>
      <c r="C5" s="2">
        <v>3.3</v>
      </c>
      <c r="D5" s="2">
        <v>4.9496999999999999E-2</v>
      </c>
      <c r="E5" s="2">
        <v>2.9</v>
      </c>
      <c r="F5" s="2">
        <v>5</v>
      </c>
      <c r="G5" s="2" t="s">
        <v>544</v>
      </c>
      <c r="H5" s="2">
        <v>0.1414</v>
      </c>
      <c r="I5" s="2">
        <v>0.2</v>
      </c>
      <c r="J5" s="2">
        <v>3.4</v>
      </c>
      <c r="K5" s="2" t="s">
        <v>544</v>
      </c>
      <c r="L5" s="2">
        <v>0.2</v>
      </c>
      <c r="M5" s="2">
        <v>0.21210000000000001</v>
      </c>
      <c r="N5" s="2">
        <v>3.5</v>
      </c>
      <c r="O5" s="2" t="s">
        <v>544</v>
      </c>
      <c r="P5" s="2" t="s">
        <v>544</v>
      </c>
      <c r="Q5" s="2" t="s">
        <v>544</v>
      </c>
      <c r="R5" s="2">
        <v>0.06</v>
      </c>
      <c r="S5" s="2" t="s">
        <v>544</v>
      </c>
      <c r="T5" s="2">
        <v>1.7</v>
      </c>
      <c r="U5" s="2">
        <v>0.2</v>
      </c>
      <c r="V5" s="2" t="s">
        <v>544</v>
      </c>
      <c r="W5" s="2">
        <v>91</v>
      </c>
      <c r="X5" s="2">
        <v>10</v>
      </c>
      <c r="Y5" s="2">
        <v>590</v>
      </c>
      <c r="Z5" s="2">
        <v>160</v>
      </c>
      <c r="AA5" s="2">
        <v>91</v>
      </c>
      <c r="AB5" s="2">
        <v>0.21</v>
      </c>
      <c r="AC5" s="2">
        <v>0.01</v>
      </c>
      <c r="AD5" s="2">
        <v>470</v>
      </c>
      <c r="AE5" s="2">
        <v>5.0000000000000001E-4</v>
      </c>
      <c r="AF5" s="2">
        <v>3.5000000000000003E-2</v>
      </c>
      <c r="AG5" s="2">
        <v>0.68</v>
      </c>
      <c r="AH5" s="2" t="s">
        <v>544</v>
      </c>
      <c r="AI5" s="2">
        <v>0.21</v>
      </c>
      <c r="AJ5" s="2">
        <v>4.1000000000000002E-2</v>
      </c>
      <c r="AK5" s="2">
        <v>0.23</v>
      </c>
      <c r="AL5" s="2">
        <v>1.4100000000000001E-4</v>
      </c>
      <c r="AM5" s="2">
        <v>4.95E-4</v>
      </c>
      <c r="AN5" s="2">
        <v>0.3</v>
      </c>
      <c r="AO5" s="2"/>
      <c r="AP5" s="2">
        <v>106</v>
      </c>
    </row>
    <row r="6" spans="1:42">
      <c r="A6" s="2" t="s">
        <v>547</v>
      </c>
      <c r="B6" s="2" t="s">
        <v>543</v>
      </c>
      <c r="C6" s="2">
        <v>2.5</v>
      </c>
      <c r="D6" s="2">
        <v>4.9496999999999999E-2</v>
      </c>
      <c r="E6" s="2">
        <v>14</v>
      </c>
      <c r="F6" s="2">
        <v>0.9</v>
      </c>
      <c r="G6" s="2" t="s">
        <v>544</v>
      </c>
      <c r="H6" s="2">
        <v>0.1414</v>
      </c>
      <c r="I6" s="2">
        <v>0.3</v>
      </c>
      <c r="J6" s="2">
        <v>2.5</v>
      </c>
      <c r="K6" s="2">
        <v>0.09</v>
      </c>
      <c r="L6" s="2">
        <v>0.3</v>
      </c>
      <c r="M6" s="2">
        <v>0.21210000000000001</v>
      </c>
      <c r="N6" s="2">
        <v>1.6</v>
      </c>
      <c r="O6" s="2" t="s">
        <v>544</v>
      </c>
      <c r="P6" s="2" t="s">
        <v>544</v>
      </c>
      <c r="Q6" s="2" t="s">
        <v>544</v>
      </c>
      <c r="R6" s="2">
        <v>0.1</v>
      </c>
      <c r="S6" s="2" t="s">
        <v>544</v>
      </c>
      <c r="T6" s="2">
        <v>0.2</v>
      </c>
      <c r="U6" s="2">
        <v>0.08</v>
      </c>
      <c r="V6" s="2" t="s">
        <v>544</v>
      </c>
      <c r="W6" s="2">
        <v>83</v>
      </c>
      <c r="X6" s="2">
        <v>19</v>
      </c>
      <c r="Y6" s="2">
        <v>600</v>
      </c>
      <c r="Z6" s="2">
        <v>49</v>
      </c>
      <c r="AA6" s="2">
        <v>29</v>
      </c>
      <c r="AB6" s="2">
        <v>0.32</v>
      </c>
      <c r="AC6" s="2">
        <v>1.4E-2</v>
      </c>
      <c r="AD6" s="2">
        <v>550</v>
      </c>
      <c r="AE6" s="2">
        <v>8.0000000000000004E-4</v>
      </c>
      <c r="AF6" s="2">
        <v>0.14000000000000001</v>
      </c>
      <c r="AG6" s="2">
        <v>0.73</v>
      </c>
      <c r="AH6" s="2" t="s">
        <v>544</v>
      </c>
      <c r="AI6" s="2">
        <v>7.0000000000000007E-2</v>
      </c>
      <c r="AJ6" s="2">
        <v>0.08</v>
      </c>
      <c r="AK6" s="2">
        <v>8.1000000000000003E-2</v>
      </c>
      <c r="AL6" s="2">
        <v>4.0000000000000002E-4</v>
      </c>
      <c r="AM6" s="2">
        <v>4.95E-4</v>
      </c>
      <c r="AN6" s="2">
        <v>7.0710999999999996E-2</v>
      </c>
      <c r="AO6" s="2"/>
      <c r="AP6" s="2">
        <v>169</v>
      </c>
    </row>
    <row r="7" spans="1:42">
      <c r="A7" s="2" t="s">
        <v>548</v>
      </c>
      <c r="B7" s="2" t="s">
        <v>543</v>
      </c>
      <c r="C7" s="2">
        <v>5.2</v>
      </c>
      <c r="D7" s="2">
        <v>4.9496999999999999E-2</v>
      </c>
      <c r="E7" s="2">
        <v>3</v>
      </c>
      <c r="F7" s="2">
        <v>1.2</v>
      </c>
      <c r="G7" s="2" t="s">
        <v>544</v>
      </c>
      <c r="H7" s="2">
        <v>0.1414</v>
      </c>
      <c r="I7" s="2">
        <v>0.4</v>
      </c>
      <c r="J7" s="2">
        <v>3</v>
      </c>
      <c r="K7" s="2" t="s">
        <v>544</v>
      </c>
      <c r="L7" s="2">
        <v>0.2</v>
      </c>
      <c r="M7" s="2">
        <v>0.21210000000000001</v>
      </c>
      <c r="N7" s="2">
        <v>5.0999999999999996</v>
      </c>
      <c r="O7" s="2" t="s">
        <v>544</v>
      </c>
      <c r="P7" s="2" t="s">
        <v>544</v>
      </c>
      <c r="Q7" s="2" t="s">
        <v>544</v>
      </c>
      <c r="R7" s="2">
        <v>0.3</v>
      </c>
      <c r="S7" s="2" t="s">
        <v>544</v>
      </c>
      <c r="T7" s="2">
        <v>0.5</v>
      </c>
      <c r="U7" s="2">
        <v>0.1</v>
      </c>
      <c r="V7" s="2" t="s">
        <v>544</v>
      </c>
      <c r="W7" s="2">
        <v>58</v>
      </c>
      <c r="X7" s="2">
        <v>20</v>
      </c>
      <c r="Y7" s="2">
        <v>970</v>
      </c>
      <c r="Z7" s="2">
        <v>170</v>
      </c>
      <c r="AA7" s="2">
        <v>110</v>
      </c>
      <c r="AB7" s="2">
        <v>0.4</v>
      </c>
      <c r="AC7" s="2">
        <v>0.01</v>
      </c>
      <c r="AD7" s="2">
        <v>420</v>
      </c>
      <c r="AE7" s="2">
        <v>6.9999999999999999E-4</v>
      </c>
      <c r="AF7" s="2">
        <v>3.6999999999999998E-2</v>
      </c>
      <c r="AG7" s="2">
        <v>2</v>
      </c>
      <c r="AH7" s="2" t="s">
        <v>544</v>
      </c>
      <c r="AI7" s="2">
        <v>3.5000000000000003E-2</v>
      </c>
      <c r="AJ7" s="2">
        <v>3.6999999999999998E-2</v>
      </c>
      <c r="AK7" s="2">
        <v>0.21</v>
      </c>
      <c r="AL7" s="2">
        <v>1.4100000000000001E-4</v>
      </c>
      <c r="AM7" s="2">
        <v>1E-3</v>
      </c>
      <c r="AN7" s="2">
        <v>0.3</v>
      </c>
      <c r="AO7" s="2"/>
      <c r="AP7" s="2">
        <v>251</v>
      </c>
    </row>
    <row r="8" spans="1:42">
      <c r="A8" s="2" t="s">
        <v>549</v>
      </c>
      <c r="B8" s="2" t="s">
        <v>543</v>
      </c>
      <c r="C8" s="2">
        <v>9.1999999999999993</v>
      </c>
      <c r="D8" s="2">
        <v>4.9496999999999999E-2</v>
      </c>
      <c r="E8" s="2">
        <v>12</v>
      </c>
      <c r="F8" s="2">
        <v>0.6</v>
      </c>
      <c r="G8" s="2" t="s">
        <v>544</v>
      </c>
      <c r="H8" s="2">
        <v>0.1414</v>
      </c>
      <c r="I8" s="2">
        <v>6.3640000000000002E-2</v>
      </c>
      <c r="J8" s="2">
        <v>4.2</v>
      </c>
      <c r="K8" s="2" t="s">
        <v>544</v>
      </c>
      <c r="L8" s="2">
        <v>6.3640000000000002E-2</v>
      </c>
      <c r="M8" s="2">
        <v>0.21210000000000001</v>
      </c>
      <c r="N8" s="2">
        <v>1.9</v>
      </c>
      <c r="O8" s="2" t="s">
        <v>544</v>
      </c>
      <c r="P8" s="2" t="s">
        <v>544</v>
      </c>
      <c r="Q8" s="2" t="s">
        <v>544</v>
      </c>
      <c r="R8" s="2">
        <v>0.2</v>
      </c>
      <c r="S8" s="2" t="s">
        <v>544</v>
      </c>
      <c r="T8" s="2" t="s">
        <v>544</v>
      </c>
      <c r="U8" s="2">
        <v>3.5349999999999999E-2</v>
      </c>
      <c r="V8" s="2" t="s">
        <v>544</v>
      </c>
      <c r="W8" s="2">
        <v>43</v>
      </c>
      <c r="X8" s="2">
        <v>27</v>
      </c>
      <c r="Y8" s="2">
        <v>190</v>
      </c>
      <c r="Z8" s="2">
        <v>53</v>
      </c>
      <c r="AA8" s="2">
        <v>67</v>
      </c>
      <c r="AB8" s="2">
        <v>0.85</v>
      </c>
      <c r="AC8" s="2">
        <v>1.7999999999999999E-2</v>
      </c>
      <c r="AD8" s="2">
        <v>290</v>
      </c>
      <c r="AE8" s="2">
        <v>2E-3</v>
      </c>
      <c r="AF8" s="2">
        <v>3.5000000000000003E-2</v>
      </c>
      <c r="AG8" s="2">
        <v>1.1000000000000001</v>
      </c>
      <c r="AH8" s="2" t="s">
        <v>544</v>
      </c>
      <c r="AI8" s="2">
        <v>2.1000000000000001E-2</v>
      </c>
      <c r="AJ8" s="2">
        <v>3.9E-2</v>
      </c>
      <c r="AK8" s="2">
        <v>6.2E-2</v>
      </c>
      <c r="AL8" s="2">
        <v>1.4100000000000001E-4</v>
      </c>
      <c r="AM8" s="2">
        <v>4.95E-4</v>
      </c>
      <c r="AN8" s="2">
        <v>7.0710999999999996E-2</v>
      </c>
      <c r="AO8" s="2"/>
      <c r="AP8" s="2">
        <v>44</v>
      </c>
    </row>
    <row r="9" spans="1:42">
      <c r="A9" s="2" t="s">
        <v>550</v>
      </c>
      <c r="B9" s="2" t="s">
        <v>543</v>
      </c>
      <c r="C9" s="107">
        <v>0.70699999999999996</v>
      </c>
      <c r="D9" s="2">
        <v>4.9496999999999999E-2</v>
      </c>
      <c r="E9" s="2">
        <v>18</v>
      </c>
      <c r="F9" s="2">
        <v>0.9</v>
      </c>
      <c r="G9" s="2" t="s">
        <v>544</v>
      </c>
      <c r="H9" s="2">
        <v>0.1414</v>
      </c>
      <c r="I9" s="2">
        <v>0.2</v>
      </c>
      <c r="J9" s="2">
        <v>2.7</v>
      </c>
      <c r="K9" s="2" t="s">
        <v>544</v>
      </c>
      <c r="L9" s="2">
        <v>6.3640000000000002E-2</v>
      </c>
      <c r="M9" s="2">
        <v>0.21210000000000001</v>
      </c>
      <c r="N9" s="2">
        <v>1.8</v>
      </c>
      <c r="O9" s="2" t="s">
        <v>544</v>
      </c>
      <c r="P9" s="2" t="s">
        <v>544</v>
      </c>
      <c r="Q9" s="2" t="s">
        <v>544</v>
      </c>
      <c r="R9" s="2">
        <v>0.1</v>
      </c>
      <c r="S9" s="2" t="s">
        <v>544</v>
      </c>
      <c r="T9" s="2" t="s">
        <v>544</v>
      </c>
      <c r="U9" s="2">
        <v>3.5349999999999999E-2</v>
      </c>
      <c r="V9" s="2" t="s">
        <v>544</v>
      </c>
      <c r="W9" s="2">
        <v>68</v>
      </c>
      <c r="X9" s="2">
        <v>30</v>
      </c>
      <c r="Y9" s="2">
        <v>590</v>
      </c>
      <c r="Z9" s="2">
        <v>63</v>
      </c>
      <c r="AA9" s="2">
        <v>47</v>
      </c>
      <c r="AB9" s="2">
        <v>0.21</v>
      </c>
      <c r="AC9" s="2">
        <v>8.9999999999999993E-3</v>
      </c>
      <c r="AD9" s="2">
        <v>470</v>
      </c>
      <c r="AE9" s="2">
        <v>1E-3</v>
      </c>
      <c r="AF9" s="2">
        <v>1.7999999999999999E-2</v>
      </c>
      <c r="AG9" s="2">
        <v>0.71</v>
      </c>
      <c r="AH9" s="2" t="s">
        <v>544</v>
      </c>
      <c r="AI9" s="2">
        <v>9.6000000000000002E-2</v>
      </c>
      <c r="AJ9" s="2">
        <v>4.2000000000000003E-2</v>
      </c>
      <c r="AK9" s="2">
        <v>7.3999999999999996E-2</v>
      </c>
      <c r="AL9" s="2">
        <v>1.4100000000000001E-4</v>
      </c>
      <c r="AM9" s="2">
        <v>4.95E-4</v>
      </c>
      <c r="AN9" s="2">
        <v>0.13</v>
      </c>
      <c r="AO9" s="2"/>
      <c r="AP9" s="2">
        <v>157</v>
      </c>
    </row>
    <row r="10" spans="1:42">
      <c r="A10" s="2" t="s">
        <v>551</v>
      </c>
      <c r="B10" s="2" t="s">
        <v>543</v>
      </c>
      <c r="C10" s="2">
        <v>43</v>
      </c>
      <c r="D10" s="2">
        <v>4.9496999999999999E-2</v>
      </c>
      <c r="E10" s="2">
        <v>2.7</v>
      </c>
      <c r="F10" s="2">
        <v>2.2000000000000002</v>
      </c>
      <c r="G10" s="2" t="s">
        <v>544</v>
      </c>
      <c r="H10" s="2">
        <v>0.1414</v>
      </c>
      <c r="I10" s="2">
        <v>0.09</v>
      </c>
      <c r="J10" s="2">
        <v>2.6</v>
      </c>
      <c r="K10" s="2" t="s">
        <v>544</v>
      </c>
      <c r="L10" s="2">
        <v>0.3</v>
      </c>
      <c r="M10" s="2">
        <v>0.21210000000000001</v>
      </c>
      <c r="N10" s="2">
        <v>3.4</v>
      </c>
      <c r="O10" s="2" t="s">
        <v>544</v>
      </c>
      <c r="P10" s="2" t="s">
        <v>544</v>
      </c>
      <c r="Q10" s="2" t="s">
        <v>544</v>
      </c>
      <c r="R10" s="2">
        <v>7.0000000000000007E-2</v>
      </c>
      <c r="S10" s="2" t="s">
        <v>544</v>
      </c>
      <c r="T10" s="2">
        <v>1.1000000000000001</v>
      </c>
      <c r="U10" s="2">
        <v>0.05</v>
      </c>
      <c r="V10" s="2">
        <v>0.08</v>
      </c>
      <c r="W10" s="2">
        <v>66</v>
      </c>
      <c r="X10" s="2">
        <v>14</v>
      </c>
      <c r="Y10" s="2">
        <v>520</v>
      </c>
      <c r="Z10" s="2">
        <v>140</v>
      </c>
      <c r="AA10" s="2">
        <v>66</v>
      </c>
      <c r="AB10" s="2">
        <v>0.41</v>
      </c>
      <c r="AC10" s="2">
        <v>8.0000000000000002E-3</v>
      </c>
      <c r="AD10" s="2">
        <v>820</v>
      </c>
      <c r="AE10" s="2">
        <v>6.9999999999999999E-4</v>
      </c>
      <c r="AF10" s="2">
        <v>1.4E-2</v>
      </c>
      <c r="AG10" s="2">
        <v>1.3</v>
      </c>
      <c r="AH10" s="2" t="s">
        <v>544</v>
      </c>
      <c r="AI10" s="2">
        <v>4.7E-2</v>
      </c>
      <c r="AJ10" s="2">
        <v>3.3000000000000002E-2</v>
      </c>
      <c r="AK10" s="2">
        <v>0.26</v>
      </c>
      <c r="AL10" s="2">
        <v>1.4100000000000001E-4</v>
      </c>
      <c r="AM10" s="2">
        <v>4.95E-4</v>
      </c>
      <c r="AN10" s="2">
        <v>0.26</v>
      </c>
      <c r="AO10" s="2"/>
      <c r="AP10" s="2">
        <v>123</v>
      </c>
    </row>
    <row r="11" spans="1:42">
      <c r="A11" s="2" t="s">
        <v>552</v>
      </c>
      <c r="B11" s="2" t="s">
        <v>543</v>
      </c>
      <c r="C11" s="2">
        <v>3.2</v>
      </c>
      <c r="D11" s="2">
        <v>0.4</v>
      </c>
      <c r="E11" s="2">
        <v>3.6</v>
      </c>
      <c r="F11" s="2">
        <v>0.6</v>
      </c>
      <c r="G11" s="2" t="s">
        <v>544</v>
      </c>
      <c r="H11" s="2">
        <v>0.1414</v>
      </c>
      <c r="I11" s="2">
        <v>0.2</v>
      </c>
      <c r="J11" s="2">
        <v>3.9</v>
      </c>
      <c r="K11" s="2" t="s">
        <v>544</v>
      </c>
      <c r="L11" s="2">
        <v>0.1</v>
      </c>
      <c r="M11" s="2">
        <v>0.21210000000000001</v>
      </c>
      <c r="N11" s="2">
        <v>5.5</v>
      </c>
      <c r="O11" s="2" t="s">
        <v>544</v>
      </c>
      <c r="P11" s="2" t="s">
        <v>544</v>
      </c>
      <c r="Q11" s="2" t="s">
        <v>544</v>
      </c>
      <c r="R11" s="2">
        <v>0.1</v>
      </c>
      <c r="S11" s="2" t="s">
        <v>544</v>
      </c>
      <c r="T11" s="2">
        <v>0.2</v>
      </c>
      <c r="U11" s="2">
        <v>3.5349999999999999E-2</v>
      </c>
      <c r="V11" s="2" t="s">
        <v>544</v>
      </c>
      <c r="W11" s="2">
        <v>39</v>
      </c>
      <c r="X11" s="2">
        <v>31</v>
      </c>
      <c r="Y11" s="2">
        <v>510</v>
      </c>
      <c r="Z11" s="2">
        <v>87</v>
      </c>
      <c r="AA11" s="2">
        <v>45</v>
      </c>
      <c r="AB11" s="2">
        <v>0.6</v>
      </c>
      <c r="AC11" s="2">
        <v>8.0000000000000002E-3</v>
      </c>
      <c r="AD11" s="2">
        <v>410</v>
      </c>
      <c r="AE11" s="2">
        <v>1E-3</v>
      </c>
      <c r="AF11" s="2">
        <v>2.7E-2</v>
      </c>
      <c r="AG11" s="2">
        <v>0.99</v>
      </c>
      <c r="AH11" s="2" t="s">
        <v>544</v>
      </c>
      <c r="AI11" s="2">
        <v>1.9E-2</v>
      </c>
      <c r="AJ11" s="2">
        <v>5.0999999999999997E-2</v>
      </c>
      <c r="AK11" s="2">
        <v>8.5000000000000006E-2</v>
      </c>
      <c r="AL11" s="2">
        <v>1.4100000000000001E-4</v>
      </c>
      <c r="AM11" s="2">
        <v>4.95E-4</v>
      </c>
      <c r="AN11" s="2">
        <v>0.17</v>
      </c>
      <c r="AO11" s="2"/>
      <c r="AP11" s="2">
        <v>249</v>
      </c>
    </row>
    <row r="12" spans="1:42">
      <c r="A12" s="2" t="s">
        <v>553</v>
      </c>
      <c r="B12" s="2" t="s">
        <v>543</v>
      </c>
      <c r="C12" s="2">
        <v>5</v>
      </c>
      <c r="D12" s="2">
        <v>4.9496999999999999E-2</v>
      </c>
      <c r="E12" s="2">
        <v>3.4</v>
      </c>
      <c r="F12" s="2">
        <v>6.1</v>
      </c>
      <c r="G12" s="2" t="s">
        <v>544</v>
      </c>
      <c r="H12" s="2">
        <v>0.1414</v>
      </c>
      <c r="I12" s="2">
        <v>6.3640000000000002E-2</v>
      </c>
      <c r="J12" s="2">
        <v>6.4</v>
      </c>
      <c r="K12" s="2" t="s">
        <v>544</v>
      </c>
      <c r="L12" s="2">
        <v>0.2</v>
      </c>
      <c r="M12" s="2">
        <v>0.21210000000000001</v>
      </c>
      <c r="N12" s="2">
        <v>6.2</v>
      </c>
      <c r="O12" s="2" t="s">
        <v>544</v>
      </c>
      <c r="P12" s="2" t="s">
        <v>544</v>
      </c>
      <c r="Q12" s="2" t="s">
        <v>544</v>
      </c>
      <c r="R12" s="2">
        <v>0.2</v>
      </c>
      <c r="S12" s="2" t="s">
        <v>544</v>
      </c>
      <c r="T12" s="2">
        <v>0.2</v>
      </c>
      <c r="U12" s="2">
        <v>0.1</v>
      </c>
      <c r="V12" s="2" t="s">
        <v>544</v>
      </c>
      <c r="W12" s="2">
        <v>110</v>
      </c>
      <c r="X12" s="2">
        <v>26</v>
      </c>
      <c r="Y12" s="2">
        <v>610</v>
      </c>
      <c r="Z12" s="2">
        <v>310</v>
      </c>
      <c r="AA12" s="2">
        <v>83</v>
      </c>
      <c r="AB12" s="2">
        <v>0.55000000000000004</v>
      </c>
      <c r="AC12" s="2">
        <v>1.2999999999999999E-2</v>
      </c>
      <c r="AD12" s="2">
        <v>900</v>
      </c>
      <c r="AE12" s="2">
        <v>1E-3</v>
      </c>
      <c r="AF12" s="2">
        <v>4.5999999999999999E-2</v>
      </c>
      <c r="AG12" s="2">
        <v>4.0999999999999996</v>
      </c>
      <c r="AH12" s="2" t="s">
        <v>544</v>
      </c>
      <c r="AI12" s="2">
        <v>5.1999999999999998E-2</v>
      </c>
      <c r="AJ12" s="2">
        <v>4.7E-2</v>
      </c>
      <c r="AK12" s="2">
        <v>0.32</v>
      </c>
      <c r="AL12" s="2">
        <v>4.0000000000000002E-4</v>
      </c>
      <c r="AM12" s="2">
        <v>8.9999999999999998E-4</v>
      </c>
      <c r="AN12" s="2">
        <v>0.57999999999999996</v>
      </c>
      <c r="AO12" s="2"/>
      <c r="AP12" s="2">
        <v>122</v>
      </c>
    </row>
    <row r="13" spans="1:42">
      <c r="A13" s="2" t="s">
        <v>554</v>
      </c>
      <c r="B13" s="2" t="s">
        <v>543</v>
      </c>
      <c r="C13" s="2">
        <v>5.7</v>
      </c>
      <c r="D13" s="2">
        <v>4.9496999999999999E-2</v>
      </c>
      <c r="E13" s="2">
        <v>83</v>
      </c>
      <c r="F13" s="2">
        <v>3</v>
      </c>
      <c r="G13" s="2" t="s">
        <v>544</v>
      </c>
      <c r="H13" s="2">
        <v>8.8000000000000007</v>
      </c>
      <c r="I13" s="2">
        <v>0.3</v>
      </c>
      <c r="J13" s="2">
        <v>6.6</v>
      </c>
      <c r="K13" s="2" t="s">
        <v>544</v>
      </c>
      <c r="L13" s="2">
        <v>0.6</v>
      </c>
      <c r="M13" s="2">
        <v>1.4</v>
      </c>
      <c r="N13" s="2">
        <v>5.7</v>
      </c>
      <c r="O13" s="2" t="s">
        <v>544</v>
      </c>
      <c r="P13" s="2" t="s">
        <v>544</v>
      </c>
      <c r="Q13" s="2" t="s">
        <v>544</v>
      </c>
      <c r="R13" s="2">
        <v>0.4</v>
      </c>
      <c r="S13" s="2" t="s">
        <v>544</v>
      </c>
      <c r="T13" s="2">
        <v>0.3</v>
      </c>
      <c r="U13" s="2">
        <v>3.5349999999999999E-2</v>
      </c>
      <c r="V13" s="2" t="s">
        <v>544</v>
      </c>
      <c r="W13" s="2">
        <v>92</v>
      </c>
      <c r="X13" s="2">
        <v>24</v>
      </c>
      <c r="Y13" s="2">
        <v>560</v>
      </c>
      <c r="Z13" s="2">
        <v>280</v>
      </c>
      <c r="AA13" s="2">
        <v>95</v>
      </c>
      <c r="AB13" s="2">
        <v>0.76</v>
      </c>
      <c r="AC13" s="2">
        <v>0.02</v>
      </c>
      <c r="AD13" s="2">
        <v>830</v>
      </c>
      <c r="AE13" s="2">
        <v>2E-3</v>
      </c>
      <c r="AF13" s="2">
        <v>6.5000000000000002E-2</v>
      </c>
      <c r="AG13" s="2">
        <v>3.8</v>
      </c>
      <c r="AH13" s="2" t="s">
        <v>544</v>
      </c>
      <c r="AI13" s="2">
        <v>0.1</v>
      </c>
      <c r="AJ13" s="2">
        <v>6.6000000000000003E-2</v>
      </c>
      <c r="AK13" s="2">
        <v>0.32</v>
      </c>
      <c r="AL13" s="2">
        <v>1.4100000000000001E-4</v>
      </c>
      <c r="AM13" s="2">
        <v>4.95E-4</v>
      </c>
      <c r="AN13" s="2">
        <v>0.52</v>
      </c>
      <c r="AO13" s="2"/>
      <c r="AP13" s="2">
        <v>46.4</v>
      </c>
    </row>
    <row r="14" spans="1:42">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row>
    <row r="15" spans="1:42">
      <c r="A15" s="2" t="s">
        <v>555</v>
      </c>
      <c r="B15" s="2" t="s">
        <v>543</v>
      </c>
      <c r="C15" s="2">
        <v>3.2</v>
      </c>
      <c r="D15" s="2">
        <v>4.9496999999999999E-2</v>
      </c>
      <c r="E15" s="2">
        <v>4.7</v>
      </c>
      <c r="F15" s="2">
        <v>0.8</v>
      </c>
      <c r="G15" s="2" t="s">
        <v>544</v>
      </c>
      <c r="H15" s="2">
        <v>0.1414</v>
      </c>
      <c r="I15" s="2">
        <v>0.3</v>
      </c>
      <c r="J15" s="2">
        <v>3.5</v>
      </c>
      <c r="K15" s="2" t="s">
        <v>544</v>
      </c>
      <c r="L15" s="2">
        <v>0.2</v>
      </c>
      <c r="M15" s="2">
        <v>0.4</v>
      </c>
      <c r="N15" s="2">
        <v>2</v>
      </c>
      <c r="O15" s="2" t="s">
        <v>544</v>
      </c>
      <c r="P15" s="2" t="s">
        <v>544</v>
      </c>
      <c r="Q15" s="2" t="s">
        <v>544</v>
      </c>
      <c r="R15" s="2">
        <v>0.2</v>
      </c>
      <c r="S15" s="2" t="s">
        <v>544</v>
      </c>
      <c r="T15" s="2">
        <v>0.2</v>
      </c>
      <c r="U15" s="2">
        <v>3.5349999999999999E-2</v>
      </c>
      <c r="V15" s="2" t="s">
        <v>544</v>
      </c>
      <c r="W15" s="2">
        <v>150</v>
      </c>
      <c r="X15" s="2">
        <v>48</v>
      </c>
      <c r="Y15" s="2">
        <v>370</v>
      </c>
      <c r="Z15" s="2">
        <v>50</v>
      </c>
      <c r="AA15" s="2">
        <v>80</v>
      </c>
      <c r="AB15" s="2">
        <v>0.22</v>
      </c>
      <c r="AC15" s="2">
        <v>8.0000000000000002E-3</v>
      </c>
      <c r="AD15" s="2">
        <v>470</v>
      </c>
      <c r="AE15" s="2">
        <v>2E-3</v>
      </c>
      <c r="AF15" s="2">
        <v>0.03</v>
      </c>
      <c r="AG15" s="2">
        <v>1.1000000000000001</v>
      </c>
      <c r="AH15" s="2" t="s">
        <v>544</v>
      </c>
      <c r="AI15" s="2">
        <v>5.0999999999999997E-2</v>
      </c>
      <c r="AJ15" s="2">
        <v>3.7999999999999999E-2</v>
      </c>
      <c r="AK15" s="2">
        <v>8.3000000000000004E-2</v>
      </c>
      <c r="AL15" s="2">
        <v>4.0000000000000002E-4</v>
      </c>
      <c r="AM15" s="2">
        <v>4.95E-4</v>
      </c>
      <c r="AN15" s="2">
        <v>7.0710999999999996E-2</v>
      </c>
      <c r="AO15" s="2"/>
      <c r="AP15" s="2">
        <v>155</v>
      </c>
    </row>
    <row r="16" spans="1:42">
      <c r="A16" s="2" t="s">
        <v>556</v>
      </c>
      <c r="B16" s="2" t="s">
        <v>543</v>
      </c>
      <c r="C16" s="2">
        <v>3.1</v>
      </c>
      <c r="D16" s="2">
        <v>4.9496999999999999E-2</v>
      </c>
      <c r="E16" s="2">
        <v>16</v>
      </c>
      <c r="F16" s="2">
        <v>0.6</v>
      </c>
      <c r="G16" s="2" t="s">
        <v>544</v>
      </c>
      <c r="H16" s="2">
        <v>0.1414</v>
      </c>
      <c r="I16" s="2">
        <v>0.7</v>
      </c>
      <c r="J16" s="2">
        <v>4.8</v>
      </c>
      <c r="K16" s="2" t="s">
        <v>544</v>
      </c>
      <c r="L16" s="2">
        <v>6.3640000000000002E-2</v>
      </c>
      <c r="M16" s="2">
        <v>0.9</v>
      </c>
      <c r="N16" s="2">
        <v>5</v>
      </c>
      <c r="O16" s="2" t="s">
        <v>544</v>
      </c>
      <c r="P16" s="2" t="s">
        <v>544</v>
      </c>
      <c r="Q16" s="2" t="s">
        <v>544</v>
      </c>
      <c r="R16" s="2">
        <v>0.1</v>
      </c>
      <c r="S16" s="2" t="s">
        <v>544</v>
      </c>
      <c r="T16" s="2">
        <v>0.2</v>
      </c>
      <c r="U16" s="2">
        <v>0.1</v>
      </c>
      <c r="V16" s="2" t="s">
        <v>544</v>
      </c>
      <c r="W16" s="2">
        <v>210</v>
      </c>
      <c r="X16" s="2">
        <v>20</v>
      </c>
      <c r="Y16" s="2">
        <v>270</v>
      </c>
      <c r="Z16" s="2">
        <v>160</v>
      </c>
      <c r="AA16" s="2">
        <v>50</v>
      </c>
      <c r="AB16" s="2">
        <v>0.33</v>
      </c>
      <c r="AC16" s="2">
        <v>1.2E-2</v>
      </c>
      <c r="AD16" s="2">
        <v>430</v>
      </c>
      <c r="AE16" s="2">
        <v>8.0000000000000004E-4</v>
      </c>
      <c r="AF16" s="2">
        <v>4.9000000000000002E-2</v>
      </c>
      <c r="AG16" s="2">
        <v>1.2</v>
      </c>
      <c r="AH16" s="2" t="s">
        <v>544</v>
      </c>
      <c r="AI16" s="2">
        <v>4.3999999999999997E-2</v>
      </c>
      <c r="AJ16" s="2">
        <v>5.1999999999999998E-2</v>
      </c>
      <c r="AK16" s="2">
        <v>0.12</v>
      </c>
      <c r="AL16" s="2">
        <v>1.4100000000000001E-4</v>
      </c>
      <c r="AM16" s="2">
        <v>2E-3</v>
      </c>
      <c r="AN16" s="2">
        <v>0.3</v>
      </c>
      <c r="AO16" s="2"/>
      <c r="AP16" s="2">
        <v>57.3</v>
      </c>
    </row>
    <row r="17" spans="1:42">
      <c r="A17" s="2" t="s">
        <v>557</v>
      </c>
      <c r="B17" s="2" t="s">
        <v>543</v>
      </c>
      <c r="C17" s="2">
        <v>2.5</v>
      </c>
      <c r="D17" s="2">
        <v>4.9496999999999999E-2</v>
      </c>
      <c r="E17" s="2">
        <v>8.4</v>
      </c>
      <c r="F17" s="2">
        <v>1.3</v>
      </c>
      <c r="G17" s="2" t="s">
        <v>544</v>
      </c>
      <c r="H17" s="2">
        <v>0.8</v>
      </c>
      <c r="I17" s="2">
        <v>0.1</v>
      </c>
      <c r="J17" s="2">
        <v>1.9</v>
      </c>
      <c r="K17" s="2" t="s">
        <v>544</v>
      </c>
      <c r="L17" s="2">
        <v>6.3640000000000002E-2</v>
      </c>
      <c r="M17" s="2">
        <v>0.5</v>
      </c>
      <c r="N17" s="2">
        <v>1.8</v>
      </c>
      <c r="O17" s="2" t="s">
        <v>544</v>
      </c>
      <c r="P17" s="2" t="s">
        <v>544</v>
      </c>
      <c r="Q17" s="2" t="s">
        <v>544</v>
      </c>
      <c r="R17" s="2">
        <v>0.08</v>
      </c>
      <c r="S17" s="2" t="s">
        <v>544</v>
      </c>
      <c r="T17" s="2">
        <v>0.3</v>
      </c>
      <c r="U17" s="2">
        <v>7.0000000000000007E-2</v>
      </c>
      <c r="V17" s="2" t="s">
        <v>544</v>
      </c>
      <c r="W17" s="2">
        <v>120</v>
      </c>
      <c r="X17" s="2">
        <v>12</v>
      </c>
      <c r="Y17" s="2">
        <v>400</v>
      </c>
      <c r="Z17" s="2">
        <v>89</v>
      </c>
      <c r="AA17" s="2">
        <v>63</v>
      </c>
      <c r="AB17" s="2">
        <v>0.26</v>
      </c>
      <c r="AC17" s="2">
        <v>0.01</v>
      </c>
      <c r="AD17" s="2">
        <v>340</v>
      </c>
      <c r="AE17" s="2">
        <v>5.0000000000000001E-4</v>
      </c>
      <c r="AF17" s="2">
        <v>2.1999999999999999E-2</v>
      </c>
      <c r="AG17" s="2">
        <v>0.65</v>
      </c>
      <c r="AH17" s="2" t="s">
        <v>544</v>
      </c>
      <c r="AI17" s="2">
        <v>4.2999999999999997E-2</v>
      </c>
      <c r="AJ17" s="2">
        <v>0.03</v>
      </c>
      <c r="AK17" s="2">
        <v>0.16</v>
      </c>
      <c r="AL17" s="2">
        <v>2.0000000000000001E-4</v>
      </c>
      <c r="AM17" s="2">
        <v>4.95E-4</v>
      </c>
      <c r="AN17" s="2">
        <v>0.17</v>
      </c>
      <c r="AO17" s="2"/>
      <c r="AP17" s="2">
        <v>112</v>
      </c>
    </row>
    <row r="18" spans="1:42">
      <c r="A18" s="2" t="s">
        <v>558</v>
      </c>
      <c r="B18" s="2" t="s">
        <v>543</v>
      </c>
      <c r="C18" s="2">
        <v>2.4</v>
      </c>
      <c r="D18" s="2">
        <v>4.9496999999999999E-2</v>
      </c>
      <c r="E18" s="2">
        <v>8.3000000000000007</v>
      </c>
      <c r="F18" s="2">
        <v>1.5</v>
      </c>
      <c r="G18" s="2" t="s">
        <v>544</v>
      </c>
      <c r="H18" s="2">
        <v>0.1414</v>
      </c>
      <c r="I18" s="2">
        <v>0.1</v>
      </c>
      <c r="J18" s="2">
        <v>2.9</v>
      </c>
      <c r="K18" s="2" t="s">
        <v>544</v>
      </c>
      <c r="L18" s="2">
        <v>0.1</v>
      </c>
      <c r="M18" s="2">
        <v>0.21210000000000001</v>
      </c>
      <c r="N18" s="2">
        <v>2.2999999999999998</v>
      </c>
      <c r="O18" s="2" t="s">
        <v>544</v>
      </c>
      <c r="P18" s="2" t="s">
        <v>544</v>
      </c>
      <c r="Q18" s="2" t="s">
        <v>544</v>
      </c>
      <c r="R18" s="2">
        <v>0.2</v>
      </c>
      <c r="S18" s="2" t="s">
        <v>544</v>
      </c>
      <c r="T18" s="2">
        <v>0.3</v>
      </c>
      <c r="U18" s="2">
        <v>0.3</v>
      </c>
      <c r="V18" s="2" t="s">
        <v>544</v>
      </c>
      <c r="W18" s="2">
        <v>67</v>
      </c>
      <c r="X18" s="2">
        <v>25</v>
      </c>
      <c r="Y18" s="2">
        <v>780</v>
      </c>
      <c r="Z18" s="2">
        <v>110</v>
      </c>
      <c r="AA18" s="2">
        <v>83</v>
      </c>
      <c r="AB18" s="2">
        <v>0.56999999999999995</v>
      </c>
      <c r="AC18" s="2">
        <v>1.7000000000000001E-2</v>
      </c>
      <c r="AD18" s="2">
        <v>620</v>
      </c>
      <c r="AE18" s="2">
        <v>8.9999999999999998E-4</v>
      </c>
      <c r="AF18" s="2">
        <v>4.1000000000000002E-2</v>
      </c>
      <c r="AG18" s="2">
        <v>1</v>
      </c>
      <c r="AH18" s="2" t="s">
        <v>544</v>
      </c>
      <c r="AI18" s="2">
        <v>3.3000000000000002E-2</v>
      </c>
      <c r="AJ18" s="2">
        <v>6.8000000000000005E-2</v>
      </c>
      <c r="AK18" s="2">
        <v>0.12</v>
      </c>
      <c r="AL18" s="2">
        <v>1.4100000000000001E-4</v>
      </c>
      <c r="AM18" s="2">
        <v>4.95E-4</v>
      </c>
      <c r="AN18" s="2">
        <v>0.22</v>
      </c>
      <c r="AO18" s="2"/>
      <c r="AP18" s="2">
        <v>190</v>
      </c>
    </row>
    <row r="19" spans="1:42">
      <c r="A19" s="2" t="s">
        <v>559</v>
      </c>
      <c r="B19" s="2" t="s">
        <v>543</v>
      </c>
      <c r="C19" s="2">
        <v>2.9</v>
      </c>
      <c r="D19" s="2">
        <v>4.9496999999999999E-2</v>
      </c>
      <c r="E19" s="2">
        <v>4.7</v>
      </c>
      <c r="F19" s="2">
        <v>1.3</v>
      </c>
      <c r="G19" s="2" t="s">
        <v>544</v>
      </c>
      <c r="H19" s="2">
        <v>0.1414</v>
      </c>
      <c r="I19" s="2">
        <v>0.3</v>
      </c>
      <c r="J19" s="2">
        <v>5.8</v>
      </c>
      <c r="K19" s="2" t="s">
        <v>544</v>
      </c>
      <c r="L19" s="2">
        <v>0.2</v>
      </c>
      <c r="M19" s="2">
        <v>0.21210000000000001</v>
      </c>
      <c r="N19" s="2">
        <v>4.3</v>
      </c>
      <c r="O19" s="2" t="s">
        <v>544</v>
      </c>
      <c r="P19" s="2" t="s">
        <v>544</v>
      </c>
      <c r="Q19" s="2" t="s">
        <v>544</v>
      </c>
      <c r="R19" s="2">
        <v>0.1</v>
      </c>
      <c r="S19" s="2" t="s">
        <v>544</v>
      </c>
      <c r="T19" s="2">
        <v>1.1000000000000001</v>
      </c>
      <c r="U19" s="2">
        <v>0.4</v>
      </c>
      <c r="V19" s="2" t="s">
        <v>544</v>
      </c>
      <c r="W19" s="2">
        <v>88</v>
      </c>
      <c r="X19" s="2">
        <v>24</v>
      </c>
      <c r="Y19" s="2">
        <v>640</v>
      </c>
      <c r="Z19" s="2">
        <v>150</v>
      </c>
      <c r="AA19" s="2">
        <v>92</v>
      </c>
      <c r="AB19" s="2">
        <v>0.32</v>
      </c>
      <c r="AC19" s="2">
        <v>0.01</v>
      </c>
      <c r="AD19" s="2">
        <v>630</v>
      </c>
      <c r="AE19" s="2">
        <v>1E-3</v>
      </c>
      <c r="AF19" s="2">
        <v>5.8000000000000003E-2</v>
      </c>
      <c r="AG19" s="2">
        <v>1.7</v>
      </c>
      <c r="AH19" s="2" t="s">
        <v>544</v>
      </c>
      <c r="AI19" s="2">
        <v>0.04</v>
      </c>
      <c r="AJ19" s="2">
        <v>4.5999999999999999E-2</v>
      </c>
      <c r="AK19" s="2">
        <v>0.18</v>
      </c>
      <c r="AL19" s="2">
        <v>1.4100000000000001E-4</v>
      </c>
      <c r="AM19" s="2">
        <v>4.95E-4</v>
      </c>
      <c r="AN19" s="2">
        <v>0.28000000000000003</v>
      </c>
      <c r="AO19" s="2"/>
      <c r="AP19" s="2">
        <v>150</v>
      </c>
    </row>
    <row r="20" spans="1:42">
      <c r="A20" s="2" t="s">
        <v>560</v>
      </c>
      <c r="B20" s="2" t="s">
        <v>543</v>
      </c>
      <c r="C20" s="2">
        <v>5.6</v>
      </c>
      <c r="D20" s="2">
        <v>4.9496999999999999E-2</v>
      </c>
      <c r="E20" s="2">
        <v>9.3000000000000007</v>
      </c>
      <c r="F20" s="2">
        <v>2.5</v>
      </c>
      <c r="G20" s="2" t="s">
        <v>544</v>
      </c>
      <c r="H20" s="2">
        <v>0.1414</v>
      </c>
      <c r="I20" s="2">
        <v>0.09</v>
      </c>
      <c r="J20" s="2">
        <v>2.2000000000000002</v>
      </c>
      <c r="K20" s="2" t="s">
        <v>544</v>
      </c>
      <c r="L20" s="2">
        <v>0.1</v>
      </c>
      <c r="M20" s="2">
        <v>0.4</v>
      </c>
      <c r="N20" s="2">
        <v>3.5</v>
      </c>
      <c r="O20" s="2" t="s">
        <v>544</v>
      </c>
      <c r="P20" s="2" t="s">
        <v>544</v>
      </c>
      <c r="Q20" s="2" t="s">
        <v>544</v>
      </c>
      <c r="R20" s="2">
        <v>7.0000000000000007E-2</v>
      </c>
      <c r="S20" s="2" t="s">
        <v>544</v>
      </c>
      <c r="T20" s="2">
        <v>0.2</v>
      </c>
      <c r="U20" s="2">
        <v>0.09</v>
      </c>
      <c r="V20" s="2" t="s">
        <v>544</v>
      </c>
      <c r="W20" s="2">
        <v>81</v>
      </c>
      <c r="X20" s="2">
        <v>11</v>
      </c>
      <c r="Y20" s="2">
        <v>590</v>
      </c>
      <c r="Z20" s="2">
        <v>150</v>
      </c>
      <c r="AA20" s="2">
        <v>83</v>
      </c>
      <c r="AB20" s="2">
        <v>0.31</v>
      </c>
      <c r="AC20" s="2">
        <v>8.0000000000000002E-3</v>
      </c>
      <c r="AD20" s="2">
        <v>370</v>
      </c>
      <c r="AE20" s="2">
        <v>4.0000000000000002E-4</v>
      </c>
      <c r="AF20" s="2">
        <v>8.5999999999999993E-2</v>
      </c>
      <c r="AG20" s="2">
        <v>0.95</v>
      </c>
      <c r="AH20" s="2" t="s">
        <v>544</v>
      </c>
      <c r="AI20" s="2">
        <v>0.1</v>
      </c>
      <c r="AJ20" s="2">
        <v>3.7999999999999999E-2</v>
      </c>
      <c r="AK20" s="2">
        <v>0.19</v>
      </c>
      <c r="AL20" s="2">
        <v>1.4100000000000001E-4</v>
      </c>
      <c r="AM20" s="2">
        <v>4.95E-4</v>
      </c>
      <c r="AN20" s="2">
        <v>0.28999999999999998</v>
      </c>
      <c r="AO20" s="2"/>
      <c r="AP20" s="2">
        <v>216</v>
      </c>
    </row>
    <row r="22" spans="1:42">
      <c r="A22" s="2" t="s">
        <v>561</v>
      </c>
      <c r="B22" s="2" t="s">
        <v>543</v>
      </c>
      <c r="C22" s="2">
        <v>2</v>
      </c>
      <c r="D22" s="2">
        <v>4.9496999999999999E-2</v>
      </c>
      <c r="E22" s="2">
        <v>5</v>
      </c>
      <c r="F22" s="2">
        <v>0.7</v>
      </c>
      <c r="G22" s="2" t="s">
        <v>544</v>
      </c>
      <c r="H22" s="2">
        <v>0.7</v>
      </c>
      <c r="I22" s="2">
        <v>0.1</v>
      </c>
      <c r="J22" s="2">
        <v>4</v>
      </c>
      <c r="K22" s="2">
        <v>0.08</v>
      </c>
      <c r="L22" s="2">
        <v>0.2</v>
      </c>
      <c r="M22" s="2">
        <v>0.21210000000000001</v>
      </c>
      <c r="N22" s="2">
        <v>2.1</v>
      </c>
      <c r="O22" s="2" t="s">
        <v>544</v>
      </c>
      <c r="P22" s="2" t="s">
        <v>544</v>
      </c>
      <c r="Q22" s="2" t="s">
        <v>544</v>
      </c>
      <c r="R22" s="2">
        <v>0.3</v>
      </c>
      <c r="S22" s="2" t="s">
        <v>544</v>
      </c>
      <c r="T22" s="2">
        <v>0.4</v>
      </c>
      <c r="U22" s="2">
        <v>7.0000000000000007E-2</v>
      </c>
      <c r="V22" s="2" t="s">
        <v>544</v>
      </c>
      <c r="W22" s="2">
        <v>35</v>
      </c>
      <c r="X22" s="2">
        <v>53</v>
      </c>
      <c r="Y22" s="2">
        <v>490</v>
      </c>
      <c r="Z22" s="2">
        <v>61</v>
      </c>
      <c r="AA22" s="2">
        <v>70</v>
      </c>
      <c r="AB22" s="2">
        <v>0.17</v>
      </c>
      <c r="AC22" s="2">
        <v>0.01</v>
      </c>
      <c r="AD22" s="2">
        <v>540</v>
      </c>
      <c r="AE22" s="2">
        <v>2E-3</v>
      </c>
      <c r="AF22" s="2">
        <v>2.1999999999999999E-2</v>
      </c>
      <c r="AG22" s="2">
        <v>2.2000000000000002</v>
      </c>
      <c r="AH22" s="2" t="s">
        <v>544</v>
      </c>
      <c r="AI22" s="2">
        <v>4.2999999999999997E-2</v>
      </c>
      <c r="AJ22" s="2">
        <v>3.7999999999999999E-2</v>
      </c>
      <c r="AK22" s="2">
        <v>9.4E-2</v>
      </c>
      <c r="AL22" s="2">
        <v>1.4100000000000001E-4</v>
      </c>
      <c r="AM22" s="2">
        <v>4.95E-4</v>
      </c>
      <c r="AN22" s="2">
        <v>0.12</v>
      </c>
      <c r="AO22" s="2"/>
      <c r="AP22" s="2">
        <v>210</v>
      </c>
    </row>
    <row r="23" spans="1:42">
      <c r="A23" s="2" t="s">
        <v>562</v>
      </c>
      <c r="B23" s="2" t="s">
        <v>543</v>
      </c>
      <c r="C23" s="2">
        <v>1.9</v>
      </c>
      <c r="D23" s="2">
        <v>4.9496999999999999E-2</v>
      </c>
      <c r="E23" s="2">
        <v>6.3</v>
      </c>
      <c r="F23" s="2">
        <v>1.4</v>
      </c>
      <c r="G23" s="2" t="s">
        <v>544</v>
      </c>
      <c r="H23" s="2">
        <v>0.1414</v>
      </c>
      <c r="I23" s="2">
        <v>6.3640000000000002E-2</v>
      </c>
      <c r="J23" s="2">
        <v>3.5</v>
      </c>
      <c r="K23" s="2" t="s">
        <v>544</v>
      </c>
      <c r="L23" s="2">
        <v>0.4</v>
      </c>
      <c r="M23" s="2">
        <v>0.21210000000000001</v>
      </c>
      <c r="N23" s="2">
        <v>1.9</v>
      </c>
      <c r="O23" s="2" t="s">
        <v>544</v>
      </c>
      <c r="P23" s="2" t="s">
        <v>544</v>
      </c>
      <c r="Q23" s="2" t="s">
        <v>544</v>
      </c>
      <c r="R23" s="2">
        <v>0.2</v>
      </c>
      <c r="S23" s="2" t="s">
        <v>544</v>
      </c>
      <c r="T23" s="2">
        <v>0.3</v>
      </c>
      <c r="U23" s="2">
        <v>3.5349999999999999E-2</v>
      </c>
      <c r="V23" s="2">
        <v>0.1</v>
      </c>
      <c r="W23" s="2">
        <v>140</v>
      </c>
      <c r="X23" s="2">
        <v>18</v>
      </c>
      <c r="Y23" s="2">
        <v>480</v>
      </c>
      <c r="Z23" s="2">
        <v>100</v>
      </c>
      <c r="AA23" s="2">
        <v>74</v>
      </c>
      <c r="AB23" s="2">
        <v>0.35</v>
      </c>
      <c r="AC23" s="2">
        <v>7.0000000000000001E-3</v>
      </c>
      <c r="AD23" s="2">
        <v>610</v>
      </c>
      <c r="AE23" s="2">
        <v>8.0000000000000004E-4</v>
      </c>
      <c r="AF23" s="2">
        <v>0.01</v>
      </c>
      <c r="AG23" s="2">
        <v>1.2</v>
      </c>
      <c r="AH23" s="2" t="s">
        <v>544</v>
      </c>
      <c r="AI23" s="2">
        <v>3.9E-2</v>
      </c>
      <c r="AJ23" s="2">
        <v>5.1999999999999998E-2</v>
      </c>
      <c r="AK23" s="2">
        <v>0.15</v>
      </c>
      <c r="AL23" s="2">
        <v>1.4100000000000001E-4</v>
      </c>
      <c r="AM23" s="2">
        <v>4.95E-4</v>
      </c>
      <c r="AN23" s="2">
        <v>0.2</v>
      </c>
      <c r="AO23" s="2"/>
      <c r="AP23" s="2">
        <v>79.3</v>
      </c>
    </row>
    <row r="24" spans="1:42">
      <c r="A24" s="2" t="s">
        <v>563</v>
      </c>
      <c r="B24" s="2" t="s">
        <v>543</v>
      </c>
      <c r="C24" s="2">
        <v>10</v>
      </c>
      <c r="D24" s="2">
        <v>7.0000000000000007E-2</v>
      </c>
      <c r="E24" s="2">
        <v>3.2</v>
      </c>
      <c r="F24" s="2">
        <v>0.3</v>
      </c>
      <c r="G24" s="2" t="s">
        <v>544</v>
      </c>
      <c r="H24" s="2">
        <v>0.1414</v>
      </c>
      <c r="I24" s="2">
        <v>0.1</v>
      </c>
      <c r="J24" s="2">
        <v>3.2</v>
      </c>
      <c r="K24" s="2" t="s">
        <v>544</v>
      </c>
      <c r="L24" s="2">
        <v>0.09</v>
      </c>
      <c r="M24" s="2">
        <v>0.21210000000000001</v>
      </c>
      <c r="N24" s="2">
        <v>1.1000000000000001</v>
      </c>
      <c r="O24" s="2" t="s">
        <v>544</v>
      </c>
      <c r="P24" s="2" t="s">
        <v>544</v>
      </c>
      <c r="Q24" s="2" t="s">
        <v>544</v>
      </c>
      <c r="R24" s="2">
        <v>0.2</v>
      </c>
      <c r="S24" s="2" t="s">
        <v>544</v>
      </c>
      <c r="T24" s="2">
        <v>0.3</v>
      </c>
      <c r="U24" s="2">
        <v>0.1</v>
      </c>
      <c r="V24" s="2" t="s">
        <v>544</v>
      </c>
      <c r="W24" s="2">
        <v>34</v>
      </c>
      <c r="X24" s="2">
        <v>32</v>
      </c>
      <c r="Y24" s="2">
        <v>370</v>
      </c>
      <c r="Z24" s="2">
        <v>24</v>
      </c>
      <c r="AA24" s="2">
        <v>26</v>
      </c>
      <c r="AB24" s="2">
        <v>8.2000000000000003E-2</v>
      </c>
      <c r="AC24" s="2">
        <v>6.0000000000000001E-3</v>
      </c>
      <c r="AD24" s="2">
        <v>330</v>
      </c>
      <c r="AE24" s="2">
        <v>1E-3</v>
      </c>
      <c r="AF24" s="2">
        <v>5.2999999999999999E-2</v>
      </c>
      <c r="AG24" s="2">
        <v>0.78</v>
      </c>
      <c r="AH24" s="2" t="s">
        <v>544</v>
      </c>
      <c r="AI24" s="2">
        <v>0.04</v>
      </c>
      <c r="AJ24" s="2">
        <v>3.5000000000000003E-2</v>
      </c>
      <c r="AK24" s="2">
        <v>2.9000000000000001E-2</v>
      </c>
      <c r="AL24" s="2">
        <v>1.4100000000000001E-4</v>
      </c>
      <c r="AM24" s="2">
        <v>4.95E-4</v>
      </c>
      <c r="AN24" s="2">
        <v>7.0710999999999996E-2</v>
      </c>
      <c r="AO24" s="2"/>
      <c r="AP24" s="2">
        <v>137</v>
      </c>
    </row>
    <row r="25" spans="1:42">
      <c r="A25" s="2" t="s">
        <v>564</v>
      </c>
      <c r="B25" s="2" t="s">
        <v>543</v>
      </c>
      <c r="C25" s="2">
        <v>6.2</v>
      </c>
      <c r="D25" s="2">
        <v>4.9496999999999999E-2</v>
      </c>
      <c r="E25" s="2">
        <v>3.4</v>
      </c>
      <c r="F25" s="2">
        <v>1.2</v>
      </c>
      <c r="G25" s="2" t="s">
        <v>544</v>
      </c>
      <c r="H25" s="2">
        <v>0.1414</v>
      </c>
      <c r="I25" s="2">
        <v>6.3640000000000002E-2</v>
      </c>
      <c r="J25" s="2">
        <v>4</v>
      </c>
      <c r="K25" s="2" t="s">
        <v>544</v>
      </c>
      <c r="L25" s="2">
        <v>0.2</v>
      </c>
      <c r="M25" s="2">
        <v>0.21210000000000001</v>
      </c>
      <c r="N25" s="2">
        <v>1.8</v>
      </c>
      <c r="O25" s="2" t="s">
        <v>544</v>
      </c>
      <c r="P25" s="2" t="s">
        <v>544</v>
      </c>
      <c r="Q25" s="2" t="s">
        <v>544</v>
      </c>
      <c r="R25" s="2">
        <v>0.2</v>
      </c>
      <c r="S25" s="2" t="s">
        <v>544</v>
      </c>
      <c r="T25" s="2">
        <v>5.2</v>
      </c>
      <c r="U25" s="2">
        <v>0.08</v>
      </c>
      <c r="V25" s="2" t="s">
        <v>544</v>
      </c>
      <c r="W25" s="2">
        <v>45</v>
      </c>
      <c r="X25" s="2">
        <v>21</v>
      </c>
      <c r="Y25" s="2">
        <v>1080</v>
      </c>
      <c r="Z25" s="2">
        <v>98</v>
      </c>
      <c r="AA25" s="2">
        <v>97</v>
      </c>
      <c r="AB25" s="2">
        <v>0.54</v>
      </c>
      <c r="AC25" s="2">
        <v>1.2999999999999999E-2</v>
      </c>
      <c r="AD25" s="2">
        <v>1580</v>
      </c>
      <c r="AE25" s="2">
        <v>5.9999999999999995E-4</v>
      </c>
      <c r="AF25" s="2">
        <v>0.01</v>
      </c>
      <c r="AG25" s="2">
        <v>1.5</v>
      </c>
      <c r="AH25" s="2" t="s">
        <v>544</v>
      </c>
      <c r="AI25" s="2">
        <v>5.0999999999999997E-2</v>
      </c>
      <c r="AJ25" s="2">
        <v>7.0000000000000007E-2</v>
      </c>
      <c r="AK25" s="2">
        <v>0.16</v>
      </c>
      <c r="AL25" s="2">
        <v>1.4100000000000001E-4</v>
      </c>
      <c r="AM25" s="2">
        <v>4.95E-4</v>
      </c>
      <c r="AN25" s="2">
        <v>0.17</v>
      </c>
      <c r="AO25" s="2"/>
      <c r="AP25" s="2">
        <v>129</v>
      </c>
    </row>
    <row r="26" spans="1:42">
      <c r="A26" s="2" t="s">
        <v>565</v>
      </c>
      <c r="B26" s="2" t="s">
        <v>543</v>
      </c>
      <c r="C26" s="2">
        <v>1.8</v>
      </c>
      <c r="D26" s="2">
        <v>4.9496999999999999E-2</v>
      </c>
      <c r="E26" s="2">
        <v>11</v>
      </c>
      <c r="F26" s="2">
        <v>2.7</v>
      </c>
      <c r="G26" s="2" t="s">
        <v>544</v>
      </c>
      <c r="H26" s="2">
        <v>0.1414</v>
      </c>
      <c r="I26" s="2">
        <v>0.2</v>
      </c>
      <c r="J26" s="2">
        <v>3.2</v>
      </c>
      <c r="K26" s="2" t="s">
        <v>544</v>
      </c>
      <c r="L26" s="2">
        <v>0.2</v>
      </c>
      <c r="M26" s="2">
        <v>0.4</v>
      </c>
      <c r="N26" s="2">
        <v>4</v>
      </c>
      <c r="O26" s="2" t="s">
        <v>544</v>
      </c>
      <c r="P26" s="2" t="s">
        <v>544</v>
      </c>
      <c r="Q26" s="2" t="s">
        <v>544</v>
      </c>
      <c r="R26" s="2">
        <v>0.2</v>
      </c>
      <c r="S26" s="2" t="s">
        <v>544</v>
      </c>
      <c r="T26" s="2">
        <v>0.2</v>
      </c>
      <c r="U26" s="2">
        <v>0.06</v>
      </c>
      <c r="V26" s="2" t="s">
        <v>544</v>
      </c>
      <c r="W26" s="2">
        <v>99</v>
      </c>
      <c r="X26" s="2">
        <v>28</v>
      </c>
      <c r="Y26" s="2">
        <v>460</v>
      </c>
      <c r="Z26" s="2">
        <v>190</v>
      </c>
      <c r="AA26" s="2">
        <v>110</v>
      </c>
      <c r="AB26" s="2">
        <v>0.11</v>
      </c>
      <c r="AC26" s="2">
        <v>8.9999999999999993E-3</v>
      </c>
      <c r="AD26" s="2">
        <v>700</v>
      </c>
      <c r="AE26" s="2">
        <v>1E-3</v>
      </c>
      <c r="AF26" s="2">
        <v>1.7000000000000001E-2</v>
      </c>
      <c r="AG26" s="2">
        <v>1.6</v>
      </c>
      <c r="AH26" s="2" t="s">
        <v>544</v>
      </c>
      <c r="AI26" s="2">
        <v>3.3000000000000002E-2</v>
      </c>
      <c r="AJ26" s="2">
        <v>5.5E-2</v>
      </c>
      <c r="AK26" s="2">
        <v>0.22</v>
      </c>
      <c r="AL26" s="2">
        <v>1.4100000000000001E-4</v>
      </c>
      <c r="AM26" s="2">
        <v>1E-3</v>
      </c>
      <c r="AN26" s="2">
        <v>0.35</v>
      </c>
      <c r="AO26" s="2"/>
      <c r="AP26" s="2">
        <v>99.5</v>
      </c>
    </row>
    <row r="27" spans="1:42">
      <c r="A27" s="2" t="s">
        <v>566</v>
      </c>
      <c r="B27" s="2" t="s">
        <v>543</v>
      </c>
      <c r="C27" s="2">
        <v>1.9</v>
      </c>
      <c r="D27" s="2">
        <v>4.9496999999999999E-2</v>
      </c>
      <c r="E27" s="2">
        <v>5.3</v>
      </c>
      <c r="F27" s="2">
        <v>0.4</v>
      </c>
      <c r="G27" s="2" t="s">
        <v>544</v>
      </c>
      <c r="H27" s="2">
        <v>0.1414</v>
      </c>
      <c r="I27" s="2">
        <v>0.1</v>
      </c>
      <c r="J27" s="2">
        <v>1.9</v>
      </c>
      <c r="K27" s="2" t="s">
        <v>544</v>
      </c>
      <c r="L27" s="2">
        <v>6.3640000000000002E-2</v>
      </c>
      <c r="M27" s="2">
        <v>0.21210000000000001</v>
      </c>
      <c r="N27" s="2">
        <v>0.8</v>
      </c>
      <c r="O27" s="2" t="s">
        <v>544</v>
      </c>
      <c r="P27" s="2" t="s">
        <v>544</v>
      </c>
      <c r="Q27" s="2" t="s">
        <v>544</v>
      </c>
      <c r="R27" s="2">
        <v>0.09</v>
      </c>
      <c r="S27" s="2" t="s">
        <v>544</v>
      </c>
      <c r="T27" s="2">
        <v>0.4</v>
      </c>
      <c r="U27" s="2">
        <v>3.5349999999999999E-2</v>
      </c>
      <c r="V27" s="2" t="s">
        <v>544</v>
      </c>
      <c r="W27" s="2">
        <v>78</v>
      </c>
      <c r="X27" s="2">
        <v>15</v>
      </c>
      <c r="Y27" s="2">
        <v>860</v>
      </c>
      <c r="Z27" s="2">
        <v>32</v>
      </c>
      <c r="AA27" s="2">
        <v>69</v>
      </c>
      <c r="AB27" s="2">
        <v>0.28000000000000003</v>
      </c>
      <c r="AC27" s="2">
        <v>8.0000000000000002E-3</v>
      </c>
      <c r="AD27" s="2">
        <v>370</v>
      </c>
      <c r="AE27" s="2">
        <v>5.9999999999999995E-4</v>
      </c>
      <c r="AF27" s="2">
        <v>3.5999999999999997E-2</v>
      </c>
      <c r="AG27" s="2">
        <v>0.82</v>
      </c>
      <c r="AH27" s="2" t="s">
        <v>544</v>
      </c>
      <c r="AI27" s="2">
        <v>4.5999999999999999E-2</v>
      </c>
      <c r="AJ27" s="2">
        <v>3.4000000000000002E-2</v>
      </c>
      <c r="AK27" s="2">
        <v>4.7E-2</v>
      </c>
      <c r="AL27" s="2">
        <v>1.4100000000000001E-4</v>
      </c>
      <c r="AM27" s="2">
        <v>4.95E-4</v>
      </c>
      <c r="AN27" s="2">
        <v>7.0710999999999996E-2</v>
      </c>
      <c r="AO27" s="2"/>
      <c r="AP27" s="2">
        <v>167</v>
      </c>
    </row>
    <row r="28" spans="1:42">
      <c r="A28" s="2" t="s">
        <v>567</v>
      </c>
      <c r="B28" s="2" t="s">
        <v>543</v>
      </c>
      <c r="C28" s="2">
        <v>1.9</v>
      </c>
      <c r="D28" s="2">
        <v>4.9496999999999999E-2</v>
      </c>
      <c r="E28" s="2">
        <v>4.4000000000000004</v>
      </c>
      <c r="F28" s="2">
        <v>2.7</v>
      </c>
      <c r="G28" s="2" t="s">
        <v>544</v>
      </c>
      <c r="H28" s="2">
        <v>0.1414</v>
      </c>
      <c r="I28" s="2">
        <v>6.3640000000000002E-2</v>
      </c>
      <c r="J28" s="2">
        <v>2.6</v>
      </c>
      <c r="K28" s="2" t="s">
        <v>544</v>
      </c>
      <c r="L28" s="2">
        <v>6.3640000000000002E-2</v>
      </c>
      <c r="M28" s="2">
        <v>0.21210000000000001</v>
      </c>
      <c r="N28" s="2">
        <v>2.6</v>
      </c>
      <c r="O28" s="2" t="s">
        <v>544</v>
      </c>
      <c r="P28" s="2" t="s">
        <v>544</v>
      </c>
      <c r="Q28" s="2" t="s">
        <v>544</v>
      </c>
      <c r="R28" s="2">
        <v>0.1</v>
      </c>
      <c r="S28" s="2" t="s">
        <v>544</v>
      </c>
      <c r="T28" s="2">
        <v>0.1</v>
      </c>
      <c r="U28" s="2">
        <v>3.5349999999999999E-2</v>
      </c>
      <c r="V28" s="2" t="s">
        <v>544</v>
      </c>
      <c r="W28" s="2">
        <v>110</v>
      </c>
      <c r="X28" s="2">
        <v>29</v>
      </c>
      <c r="Y28" s="2">
        <v>900</v>
      </c>
      <c r="Z28" s="2">
        <v>81</v>
      </c>
      <c r="AA28" s="2">
        <v>92</v>
      </c>
      <c r="AB28" s="2">
        <v>8.2000000000000003E-2</v>
      </c>
      <c r="AC28" s="2">
        <v>7.0000000000000001E-3</v>
      </c>
      <c r="AD28" s="2">
        <v>500</v>
      </c>
      <c r="AE28" s="2">
        <v>1E-3</v>
      </c>
      <c r="AF28" s="2">
        <v>3.0000000000000001E-3</v>
      </c>
      <c r="AG28" s="2">
        <v>2.2000000000000002</v>
      </c>
      <c r="AH28" s="2" t="s">
        <v>544</v>
      </c>
      <c r="AI28" s="2">
        <v>7.4999999999999997E-2</v>
      </c>
      <c r="AJ28" s="2">
        <v>4.1000000000000002E-2</v>
      </c>
      <c r="AK28" s="2">
        <v>0.15</v>
      </c>
      <c r="AL28" s="2">
        <v>1.4100000000000001E-4</v>
      </c>
      <c r="AM28" s="2">
        <v>4.95E-4</v>
      </c>
      <c r="AN28" s="2">
        <v>0.15</v>
      </c>
      <c r="AO28" s="2"/>
      <c r="AP28" s="2">
        <v>173</v>
      </c>
    </row>
    <row r="29" spans="1:42">
      <c r="A29" s="2" t="s">
        <v>568</v>
      </c>
      <c r="B29" s="2" t="s">
        <v>543</v>
      </c>
      <c r="C29" s="2">
        <v>2.2000000000000002</v>
      </c>
      <c r="D29" s="2">
        <v>4.9496999999999999E-2</v>
      </c>
      <c r="E29" s="2">
        <v>7.4</v>
      </c>
      <c r="F29" s="2">
        <v>2.7</v>
      </c>
      <c r="G29" s="2" t="s">
        <v>544</v>
      </c>
      <c r="H29" s="2">
        <v>0.1414</v>
      </c>
      <c r="I29" s="2">
        <v>0.2</v>
      </c>
      <c r="J29" s="2">
        <v>3.7</v>
      </c>
      <c r="K29" s="2" t="s">
        <v>544</v>
      </c>
      <c r="L29" s="2">
        <v>0.3</v>
      </c>
      <c r="M29" s="2">
        <v>0.21210000000000001</v>
      </c>
      <c r="N29" s="2">
        <v>1.8</v>
      </c>
      <c r="O29" s="2" t="s">
        <v>544</v>
      </c>
      <c r="P29" s="2" t="s">
        <v>544</v>
      </c>
      <c r="Q29" s="2" t="s">
        <v>544</v>
      </c>
      <c r="R29" s="2">
        <v>0.2</v>
      </c>
      <c r="S29" s="2" t="s">
        <v>544</v>
      </c>
      <c r="T29" s="2">
        <v>0.6</v>
      </c>
      <c r="U29" s="2">
        <v>3.5349999999999999E-2</v>
      </c>
      <c r="V29" s="2" t="s">
        <v>544</v>
      </c>
      <c r="W29" s="2">
        <v>73</v>
      </c>
      <c r="X29" s="2">
        <v>32</v>
      </c>
      <c r="Y29" s="2">
        <v>560</v>
      </c>
      <c r="Z29" s="2">
        <v>84</v>
      </c>
      <c r="AA29" s="2">
        <v>35</v>
      </c>
      <c r="AB29" s="2">
        <v>0.23</v>
      </c>
      <c r="AC29" s="2">
        <v>1.0999999999999999E-2</v>
      </c>
      <c r="AD29" s="2">
        <v>510</v>
      </c>
      <c r="AE29" s="2">
        <v>1E-3</v>
      </c>
      <c r="AF29" s="2">
        <v>3.1E-2</v>
      </c>
      <c r="AG29" s="2">
        <v>1.3</v>
      </c>
      <c r="AH29" s="2" t="s">
        <v>544</v>
      </c>
      <c r="AI29" s="2">
        <v>6.8000000000000005E-2</v>
      </c>
      <c r="AJ29" s="2">
        <v>4.7E-2</v>
      </c>
      <c r="AK29" s="2">
        <v>0.18</v>
      </c>
      <c r="AL29" s="2">
        <v>1.4100000000000001E-4</v>
      </c>
      <c r="AM29" s="2">
        <v>4.95E-4</v>
      </c>
      <c r="AN29" s="2">
        <v>0.16</v>
      </c>
      <c r="AO29" s="2"/>
      <c r="AP29" s="2">
        <v>149</v>
      </c>
    </row>
    <row r="30" spans="1:42">
      <c r="A30" s="2" t="s">
        <v>569</v>
      </c>
      <c r="B30" s="2" t="s">
        <v>543</v>
      </c>
      <c r="C30" s="2">
        <v>1.9</v>
      </c>
      <c r="D30" s="2">
        <v>4.9496999999999999E-2</v>
      </c>
      <c r="E30" s="2">
        <v>6.8</v>
      </c>
      <c r="F30" s="2">
        <v>0.3</v>
      </c>
      <c r="G30" s="2" t="s">
        <v>544</v>
      </c>
      <c r="H30" s="2">
        <v>0.1414</v>
      </c>
      <c r="I30" s="2">
        <v>0.1</v>
      </c>
      <c r="J30" s="2">
        <v>3.9</v>
      </c>
      <c r="K30" s="2" t="s">
        <v>544</v>
      </c>
      <c r="L30" s="2">
        <v>0.09</v>
      </c>
      <c r="M30" s="2">
        <v>0.21210000000000001</v>
      </c>
      <c r="N30" s="2">
        <v>1.9</v>
      </c>
      <c r="O30" s="2" t="s">
        <v>544</v>
      </c>
      <c r="P30" s="2" t="s">
        <v>544</v>
      </c>
      <c r="Q30" s="2" t="s">
        <v>544</v>
      </c>
      <c r="R30" s="2">
        <v>0.1</v>
      </c>
      <c r="S30" s="2" t="s">
        <v>544</v>
      </c>
      <c r="T30" s="2">
        <v>0.1</v>
      </c>
      <c r="U30" s="2">
        <v>0.1</v>
      </c>
      <c r="V30" s="2" t="s">
        <v>544</v>
      </c>
      <c r="W30" s="2">
        <v>98</v>
      </c>
      <c r="X30" s="2">
        <v>25</v>
      </c>
      <c r="Y30" s="2">
        <v>330</v>
      </c>
      <c r="Z30" s="2">
        <v>29</v>
      </c>
      <c r="AA30" s="2">
        <v>72</v>
      </c>
      <c r="AB30" s="2">
        <v>5.7000000000000002E-2</v>
      </c>
      <c r="AC30" s="2">
        <v>8.9999999999999993E-3</v>
      </c>
      <c r="AD30" s="2">
        <v>540</v>
      </c>
      <c r="AE30" s="2">
        <v>8.9999999999999998E-4</v>
      </c>
      <c r="AF30" s="2">
        <v>0.03</v>
      </c>
      <c r="AG30" s="2">
        <v>1.4</v>
      </c>
      <c r="AH30" s="2" t="s">
        <v>544</v>
      </c>
      <c r="AI30" s="2">
        <v>2.5999999999999999E-2</v>
      </c>
      <c r="AJ30" s="2">
        <v>0.04</v>
      </c>
      <c r="AK30" s="2">
        <v>3.5999999999999997E-2</v>
      </c>
      <c r="AL30" s="2">
        <v>1.4100000000000001E-4</v>
      </c>
      <c r="AM30" s="2">
        <v>4.95E-4</v>
      </c>
      <c r="AN30" s="2">
        <v>7.0710999999999996E-2</v>
      </c>
      <c r="AO30" s="2"/>
      <c r="AP30" s="2">
        <v>139</v>
      </c>
    </row>
    <row r="31" spans="1:42">
      <c r="A31" s="2" t="s">
        <v>570</v>
      </c>
      <c r="B31" s="2" t="s">
        <v>543</v>
      </c>
      <c r="C31" s="2">
        <v>2.2999999999999998</v>
      </c>
      <c r="D31" s="2">
        <v>4.9496999999999999E-2</v>
      </c>
      <c r="E31" s="2">
        <v>1.909</v>
      </c>
      <c r="F31" s="2">
        <v>1.1000000000000001</v>
      </c>
      <c r="G31" s="2" t="s">
        <v>544</v>
      </c>
      <c r="H31" s="2">
        <v>0.1414</v>
      </c>
      <c r="I31" s="2">
        <v>6.3640000000000002E-2</v>
      </c>
      <c r="J31" s="2">
        <v>2</v>
      </c>
      <c r="K31" s="2" t="s">
        <v>544</v>
      </c>
      <c r="L31" s="2">
        <v>0.1</v>
      </c>
      <c r="M31" s="2">
        <v>0.21210000000000001</v>
      </c>
      <c r="N31" s="2">
        <v>2.8</v>
      </c>
      <c r="O31" s="2" t="s">
        <v>544</v>
      </c>
      <c r="P31" s="2" t="s">
        <v>544</v>
      </c>
      <c r="Q31" s="2" t="s">
        <v>544</v>
      </c>
      <c r="R31" s="2">
        <v>0.1</v>
      </c>
      <c r="S31" s="2" t="s">
        <v>544</v>
      </c>
      <c r="T31" s="2">
        <v>7.0000000000000007E-2</v>
      </c>
      <c r="U31" s="2">
        <v>0.05</v>
      </c>
      <c r="V31" s="2" t="s">
        <v>544</v>
      </c>
      <c r="W31" s="2">
        <v>110</v>
      </c>
      <c r="X31" s="2">
        <v>29</v>
      </c>
      <c r="Y31" s="2">
        <v>460</v>
      </c>
      <c r="Z31" s="2">
        <v>75</v>
      </c>
      <c r="AA31" s="2">
        <v>76</v>
      </c>
      <c r="AB31" s="2">
        <v>0.15</v>
      </c>
      <c r="AC31" s="2">
        <v>8.0000000000000002E-3</v>
      </c>
      <c r="AD31" s="2">
        <v>480</v>
      </c>
      <c r="AE31" s="2">
        <v>1E-3</v>
      </c>
      <c r="AF31" s="2">
        <v>5.3999999999999999E-2</v>
      </c>
      <c r="AG31" s="2">
        <v>0.84</v>
      </c>
      <c r="AH31" s="2" t="s">
        <v>544</v>
      </c>
      <c r="AI31" s="2">
        <v>3.5000000000000003E-2</v>
      </c>
      <c r="AJ31" s="2">
        <v>5.2999999999999999E-2</v>
      </c>
      <c r="AK31" s="2">
        <v>8.5999999999999993E-2</v>
      </c>
      <c r="AL31" s="2">
        <v>2.0000000000000001E-4</v>
      </c>
      <c r="AM31" s="2">
        <v>4.95E-4</v>
      </c>
      <c r="AN31" s="2">
        <v>0.16</v>
      </c>
      <c r="AO31" s="2"/>
      <c r="AP31" s="2">
        <v>121</v>
      </c>
    </row>
    <row r="32" spans="1:4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row>
    <row r="33" spans="1:42">
      <c r="A33" s="2" t="s">
        <v>571</v>
      </c>
      <c r="B33" s="2" t="s">
        <v>543</v>
      </c>
      <c r="C33" s="2">
        <v>2.5</v>
      </c>
      <c r="D33" s="2">
        <v>4.9496999999999999E-2</v>
      </c>
      <c r="E33" s="2">
        <v>19</v>
      </c>
      <c r="F33" s="2">
        <v>1.5</v>
      </c>
      <c r="G33" s="2" t="s">
        <v>544</v>
      </c>
      <c r="H33" s="2">
        <v>0.1414</v>
      </c>
      <c r="I33" s="2">
        <v>6.3640000000000002E-2</v>
      </c>
      <c r="J33" s="2">
        <v>6.3</v>
      </c>
      <c r="K33" s="2" t="s">
        <v>544</v>
      </c>
      <c r="L33" s="2">
        <v>0.4</v>
      </c>
      <c r="M33" s="2">
        <v>0.21210000000000001</v>
      </c>
      <c r="N33" s="2">
        <v>6.9</v>
      </c>
      <c r="O33" s="2" t="s">
        <v>544</v>
      </c>
      <c r="P33" s="2" t="s">
        <v>544</v>
      </c>
      <c r="Q33" s="2" t="s">
        <v>544</v>
      </c>
      <c r="R33" s="2">
        <v>0.3</v>
      </c>
      <c r="S33" s="2" t="s">
        <v>544</v>
      </c>
      <c r="T33" s="2">
        <v>0.5</v>
      </c>
      <c r="U33" s="2">
        <v>3.5349999999999999E-2</v>
      </c>
      <c r="V33" s="2" t="s">
        <v>544</v>
      </c>
      <c r="W33" s="2">
        <v>310</v>
      </c>
      <c r="X33" s="2">
        <v>60</v>
      </c>
      <c r="Y33" s="2">
        <v>860</v>
      </c>
      <c r="Z33" s="2">
        <v>210</v>
      </c>
      <c r="AA33" s="2">
        <v>99</v>
      </c>
      <c r="AB33" s="2">
        <v>0.12</v>
      </c>
      <c r="AC33" s="2">
        <v>1.2999999999999999E-2</v>
      </c>
      <c r="AD33" s="2">
        <v>470</v>
      </c>
      <c r="AE33" s="2">
        <v>2E-3</v>
      </c>
      <c r="AF33" s="2">
        <v>9.9000000000000005E-2</v>
      </c>
      <c r="AG33" s="2">
        <v>2.8</v>
      </c>
      <c r="AH33" s="2" t="s">
        <v>544</v>
      </c>
      <c r="AI33" s="2">
        <v>9.0999999999999998E-2</v>
      </c>
      <c r="AJ33" s="2">
        <v>0.06</v>
      </c>
      <c r="AK33" s="2">
        <v>0.21</v>
      </c>
      <c r="AL33" s="2">
        <v>5.0000000000000001E-4</v>
      </c>
      <c r="AM33" s="2">
        <v>4.95E-4</v>
      </c>
      <c r="AN33" s="2">
        <v>0.43</v>
      </c>
      <c r="AO33" s="2"/>
      <c r="AP33" s="2">
        <v>42.9</v>
      </c>
    </row>
    <row r="34" spans="1:42">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row>
    <row r="35" spans="1:42">
      <c r="A35" s="2" t="s">
        <v>572</v>
      </c>
      <c r="B35" s="2" t="s">
        <v>543</v>
      </c>
      <c r="C35" s="2">
        <v>6</v>
      </c>
      <c r="D35" s="2">
        <v>4.9496999999999999E-2</v>
      </c>
      <c r="E35" s="2">
        <v>11</v>
      </c>
      <c r="F35" s="2">
        <v>2.8</v>
      </c>
      <c r="G35" s="2" t="s">
        <v>544</v>
      </c>
      <c r="H35" s="2">
        <v>0.1414</v>
      </c>
      <c r="I35" s="2">
        <v>0.2</v>
      </c>
      <c r="J35" s="2">
        <v>2.5</v>
      </c>
      <c r="K35" s="2" t="s">
        <v>544</v>
      </c>
      <c r="L35" s="2">
        <v>0.2</v>
      </c>
      <c r="M35" s="2">
        <v>0.21210000000000001</v>
      </c>
      <c r="N35" s="2">
        <v>6.5</v>
      </c>
      <c r="O35" s="2" t="s">
        <v>544</v>
      </c>
      <c r="P35" s="2" t="s">
        <v>544</v>
      </c>
      <c r="Q35" s="2" t="s">
        <v>544</v>
      </c>
      <c r="R35" s="2">
        <v>0.09</v>
      </c>
      <c r="S35" s="2" t="s">
        <v>544</v>
      </c>
      <c r="T35" s="2">
        <v>0.4</v>
      </c>
      <c r="U35" s="2">
        <v>0.09</v>
      </c>
      <c r="V35" s="2" t="s">
        <v>544</v>
      </c>
      <c r="W35" s="2">
        <v>100</v>
      </c>
      <c r="X35" s="2">
        <v>10</v>
      </c>
      <c r="Y35" s="2">
        <v>860</v>
      </c>
      <c r="Z35" s="2">
        <v>240</v>
      </c>
      <c r="AA35" s="2">
        <v>110</v>
      </c>
      <c r="AB35" s="2">
        <v>0.42</v>
      </c>
      <c r="AC35" s="2">
        <v>1.0999999999999999E-2</v>
      </c>
      <c r="AD35" s="2">
        <v>790</v>
      </c>
      <c r="AE35" s="2">
        <v>5.9999999999999995E-4</v>
      </c>
      <c r="AF35" s="2">
        <v>3.1E-2</v>
      </c>
      <c r="AG35" s="2">
        <v>1.1000000000000001</v>
      </c>
      <c r="AH35" s="2" t="s">
        <v>544</v>
      </c>
      <c r="AI35" s="2">
        <v>0.16</v>
      </c>
      <c r="AJ35" s="2">
        <v>4.8000000000000001E-2</v>
      </c>
      <c r="AK35" s="2">
        <v>0.24</v>
      </c>
      <c r="AL35" s="2">
        <v>2.0000000000000001E-4</v>
      </c>
      <c r="AM35" s="2">
        <v>3.0000000000000001E-3</v>
      </c>
      <c r="AN35" s="2">
        <v>0.45</v>
      </c>
      <c r="AO35" s="2"/>
      <c r="AP35" s="2">
        <v>96.3</v>
      </c>
    </row>
    <row r="36" spans="1:42">
      <c r="A36" s="2" t="s">
        <v>573</v>
      </c>
      <c r="B36" s="2" t="s">
        <v>543</v>
      </c>
      <c r="C36" s="2">
        <v>6.1</v>
      </c>
      <c r="D36" s="2">
        <v>4.9496999999999999E-2</v>
      </c>
      <c r="E36" s="2">
        <v>8</v>
      </c>
      <c r="F36" s="2">
        <v>3.5</v>
      </c>
      <c r="G36" s="2" t="s">
        <v>544</v>
      </c>
      <c r="H36" s="2">
        <v>0.1414</v>
      </c>
      <c r="I36" s="2">
        <v>6.3640000000000002E-2</v>
      </c>
      <c r="J36" s="2">
        <v>2.1</v>
      </c>
      <c r="K36" s="2" t="s">
        <v>544</v>
      </c>
      <c r="L36" s="2">
        <v>6.3640000000000002E-2</v>
      </c>
      <c r="M36" s="2">
        <v>0.21210000000000001</v>
      </c>
      <c r="N36" s="2">
        <v>3.7</v>
      </c>
      <c r="O36" s="2" t="s">
        <v>544</v>
      </c>
      <c r="P36" s="2" t="s">
        <v>544</v>
      </c>
      <c r="Q36" s="2" t="s">
        <v>544</v>
      </c>
      <c r="R36" s="2">
        <v>3.5349999999999999E-2</v>
      </c>
      <c r="S36" s="2" t="s">
        <v>544</v>
      </c>
      <c r="T36" s="2">
        <v>0.2</v>
      </c>
      <c r="U36" s="2">
        <v>0.4</v>
      </c>
      <c r="V36" s="2" t="s">
        <v>544</v>
      </c>
      <c r="W36" s="2">
        <v>57</v>
      </c>
      <c r="X36" s="2">
        <v>10</v>
      </c>
      <c r="Y36" s="2">
        <v>310</v>
      </c>
      <c r="Z36" s="2">
        <v>200</v>
      </c>
      <c r="AA36" s="2">
        <v>110</v>
      </c>
      <c r="AB36" s="2">
        <v>0.25</v>
      </c>
      <c r="AC36" s="2">
        <v>8.0000000000000002E-3</v>
      </c>
      <c r="AD36" s="2">
        <v>430</v>
      </c>
      <c r="AE36" s="2">
        <v>2.8284271247461902E-4</v>
      </c>
      <c r="AF36" s="2">
        <v>9.5000000000000001E-2</v>
      </c>
      <c r="AG36" s="2">
        <v>1.7</v>
      </c>
      <c r="AH36" s="2" t="s">
        <v>544</v>
      </c>
      <c r="AI36" s="2">
        <v>4.3999999999999997E-2</v>
      </c>
      <c r="AJ36" s="2">
        <v>0.04</v>
      </c>
      <c r="AK36" s="2">
        <v>0.2</v>
      </c>
      <c r="AL36" s="2">
        <v>1.4100000000000001E-4</v>
      </c>
      <c r="AM36" s="2">
        <v>4.95E-4</v>
      </c>
      <c r="AN36" s="2">
        <v>0.37</v>
      </c>
      <c r="AO36" s="2"/>
      <c r="AP36" s="2">
        <v>50.2</v>
      </c>
    </row>
    <row r="37" spans="1:42">
      <c r="A37" s="2" t="s">
        <v>574</v>
      </c>
      <c r="B37" s="2" t="s">
        <v>543</v>
      </c>
      <c r="C37" s="2">
        <v>7.1</v>
      </c>
      <c r="D37" s="2">
        <v>4.9496999999999999E-2</v>
      </c>
      <c r="E37" s="2">
        <v>3.6</v>
      </c>
      <c r="F37" s="2">
        <v>1.1000000000000001</v>
      </c>
      <c r="G37" s="2" t="s">
        <v>544</v>
      </c>
      <c r="H37" s="2">
        <v>0.1414</v>
      </c>
      <c r="I37" s="2">
        <v>0.1</v>
      </c>
      <c r="J37" s="2">
        <v>2.6</v>
      </c>
      <c r="K37" s="2" t="s">
        <v>544</v>
      </c>
      <c r="L37" s="2">
        <v>0.2</v>
      </c>
      <c r="M37" s="2">
        <v>0.21210000000000001</v>
      </c>
      <c r="N37" s="2">
        <v>4.0999999999999996</v>
      </c>
      <c r="O37" s="2" t="s">
        <v>544</v>
      </c>
      <c r="P37" s="2" t="s">
        <v>544</v>
      </c>
      <c r="Q37" s="2" t="s">
        <v>544</v>
      </c>
      <c r="R37" s="2">
        <v>0.06</v>
      </c>
      <c r="S37" s="2" t="s">
        <v>544</v>
      </c>
      <c r="T37" s="2">
        <v>0.4</v>
      </c>
      <c r="U37" s="2">
        <v>0.1</v>
      </c>
      <c r="V37" s="2" t="s">
        <v>544</v>
      </c>
      <c r="W37" s="2">
        <v>93</v>
      </c>
      <c r="X37" s="2">
        <v>25</v>
      </c>
      <c r="Y37" s="2">
        <v>730</v>
      </c>
      <c r="Z37" s="2">
        <v>100</v>
      </c>
      <c r="AA37" s="2">
        <v>84</v>
      </c>
      <c r="AB37" s="2">
        <v>0.23</v>
      </c>
      <c r="AC37" s="2">
        <v>7.0000000000000001E-3</v>
      </c>
      <c r="AD37" s="2">
        <v>350</v>
      </c>
      <c r="AE37" s="2">
        <v>8.9999999999999998E-4</v>
      </c>
      <c r="AF37" s="2">
        <v>4.3999999999999997E-2</v>
      </c>
      <c r="AG37" s="2">
        <v>1.5</v>
      </c>
      <c r="AH37" s="2" t="s">
        <v>544</v>
      </c>
      <c r="AI37" s="2">
        <v>0.13</v>
      </c>
      <c r="AJ37" s="2">
        <v>2.8000000000000001E-2</v>
      </c>
      <c r="AK37" s="2">
        <v>0.12</v>
      </c>
      <c r="AL37" s="2">
        <v>1.4100000000000001E-4</v>
      </c>
      <c r="AM37" s="2">
        <v>4.95E-4</v>
      </c>
      <c r="AN37" s="2">
        <v>0.2</v>
      </c>
      <c r="AO37" s="2"/>
      <c r="AP37" s="2">
        <v>207</v>
      </c>
    </row>
    <row r="38" spans="1:42">
      <c r="A38" s="2" t="s">
        <v>575</v>
      </c>
      <c r="B38" s="2" t="s">
        <v>543</v>
      </c>
      <c r="C38" s="2">
        <v>3.1</v>
      </c>
      <c r="D38" s="2">
        <v>4.9496999999999999E-2</v>
      </c>
      <c r="E38" s="2">
        <v>5.2</v>
      </c>
      <c r="F38" s="2">
        <v>0.8</v>
      </c>
      <c r="G38" s="2" t="s">
        <v>544</v>
      </c>
      <c r="H38" s="2">
        <v>0.1414</v>
      </c>
      <c r="I38" s="2">
        <v>6.3640000000000002E-2</v>
      </c>
      <c r="J38" s="2">
        <v>3.9</v>
      </c>
      <c r="K38" s="2" t="s">
        <v>544</v>
      </c>
      <c r="L38" s="2">
        <v>0.2</v>
      </c>
      <c r="M38" s="2">
        <v>0.21210000000000001</v>
      </c>
      <c r="N38" s="2">
        <v>2.1</v>
      </c>
      <c r="O38" s="2" t="s">
        <v>544</v>
      </c>
      <c r="P38" s="2" t="s">
        <v>544</v>
      </c>
      <c r="Q38" s="2" t="s">
        <v>544</v>
      </c>
      <c r="R38" s="2">
        <v>0.1</v>
      </c>
      <c r="S38" s="2" t="s">
        <v>544</v>
      </c>
      <c r="T38" s="2">
        <v>0.7</v>
      </c>
      <c r="U38" s="2">
        <v>3.5349999999999999E-2</v>
      </c>
      <c r="V38" s="2" t="s">
        <v>544</v>
      </c>
      <c r="W38" s="2">
        <v>100</v>
      </c>
      <c r="X38" s="2">
        <v>25</v>
      </c>
      <c r="Y38" s="2">
        <v>550</v>
      </c>
      <c r="Z38" s="2">
        <v>100</v>
      </c>
      <c r="AA38" s="2">
        <v>51</v>
      </c>
      <c r="AB38" s="2">
        <v>0.2</v>
      </c>
      <c r="AC38" s="2">
        <v>0.01</v>
      </c>
      <c r="AD38" s="2">
        <v>820</v>
      </c>
      <c r="AE38" s="2">
        <v>1E-3</v>
      </c>
      <c r="AF38" s="2">
        <v>1.4999999999999999E-2</v>
      </c>
      <c r="AG38" s="2">
        <v>1.2</v>
      </c>
      <c r="AH38" s="2" t="s">
        <v>544</v>
      </c>
      <c r="AI38" s="2">
        <v>8.5999999999999993E-2</v>
      </c>
      <c r="AJ38" s="2">
        <v>6.4000000000000001E-2</v>
      </c>
      <c r="AK38" s="2">
        <v>0.17</v>
      </c>
      <c r="AL38" s="2">
        <v>1.4100000000000001E-4</v>
      </c>
      <c r="AM38" s="2">
        <v>4.95E-4</v>
      </c>
      <c r="AN38" s="2">
        <v>0.2</v>
      </c>
      <c r="AO38" s="2"/>
      <c r="AP38" s="2">
        <v>60.1</v>
      </c>
    </row>
    <row r="39" spans="1:42">
      <c r="A39" s="2" t="s">
        <v>576</v>
      </c>
      <c r="B39" s="2" t="s">
        <v>543</v>
      </c>
      <c r="C39" s="2">
        <v>3.8</v>
      </c>
      <c r="D39" s="2">
        <v>4.9496999999999999E-2</v>
      </c>
      <c r="E39" s="2">
        <v>11</v>
      </c>
      <c r="F39" s="2">
        <v>0.8</v>
      </c>
      <c r="G39" s="2" t="s">
        <v>544</v>
      </c>
      <c r="H39" s="2">
        <v>0.1414</v>
      </c>
      <c r="I39" s="2">
        <v>0.2</v>
      </c>
      <c r="J39" s="2">
        <v>2</v>
      </c>
      <c r="K39" s="2" t="s">
        <v>544</v>
      </c>
      <c r="L39" s="2">
        <v>0.1</v>
      </c>
      <c r="M39" s="2">
        <v>0.21210000000000001</v>
      </c>
      <c r="N39" s="2">
        <v>1.4</v>
      </c>
      <c r="O39" s="2" t="s">
        <v>544</v>
      </c>
      <c r="P39" s="2" t="s">
        <v>544</v>
      </c>
      <c r="Q39" s="2" t="s">
        <v>544</v>
      </c>
      <c r="R39" s="2">
        <v>0.06</v>
      </c>
      <c r="S39" s="2" t="s">
        <v>544</v>
      </c>
      <c r="T39" s="2">
        <v>1.5</v>
      </c>
      <c r="U39" s="2">
        <v>0.2</v>
      </c>
      <c r="V39" s="2" t="s">
        <v>544</v>
      </c>
      <c r="W39" s="2">
        <v>52</v>
      </c>
      <c r="X39" s="2">
        <v>21</v>
      </c>
      <c r="Y39" s="2">
        <v>730</v>
      </c>
      <c r="Z39" s="2">
        <v>66</v>
      </c>
      <c r="AA39" s="2">
        <v>33</v>
      </c>
      <c r="AB39" s="2">
        <v>0.16</v>
      </c>
      <c r="AC39" s="2">
        <v>8.0000000000000002E-3</v>
      </c>
      <c r="AD39" s="2">
        <v>310</v>
      </c>
      <c r="AE39" s="2">
        <v>5.9999999999999995E-4</v>
      </c>
      <c r="AF39" s="2">
        <v>2.4E-2</v>
      </c>
      <c r="AG39" s="2">
        <v>0.91</v>
      </c>
      <c r="AH39" s="2" t="s">
        <v>544</v>
      </c>
      <c r="AI39" s="2">
        <v>3.5000000000000003E-2</v>
      </c>
      <c r="AJ39" s="2">
        <v>3.5999999999999997E-2</v>
      </c>
      <c r="AK39" s="2">
        <v>8.7999999999999995E-2</v>
      </c>
      <c r="AL39" s="2">
        <v>1.4100000000000001E-4</v>
      </c>
      <c r="AM39" s="2">
        <v>4.95E-4</v>
      </c>
      <c r="AN39" s="2">
        <v>0.12</v>
      </c>
      <c r="AO39" s="2"/>
      <c r="AP39" s="2">
        <v>240</v>
      </c>
    </row>
    <row r="40" spans="1:42">
      <c r="A40" s="2" t="s">
        <v>577</v>
      </c>
      <c r="B40" s="2" t="s">
        <v>543</v>
      </c>
      <c r="C40" s="2">
        <v>2.6</v>
      </c>
      <c r="D40" s="2">
        <v>4.9496999999999999E-2</v>
      </c>
      <c r="E40" s="2">
        <v>6.9</v>
      </c>
      <c r="F40" s="2">
        <v>0.6</v>
      </c>
      <c r="G40" s="2" t="s">
        <v>544</v>
      </c>
      <c r="H40" s="2">
        <v>0.1414</v>
      </c>
      <c r="I40" s="2">
        <v>0.3</v>
      </c>
      <c r="J40" s="2">
        <v>2.8</v>
      </c>
      <c r="K40" s="2" t="s">
        <v>544</v>
      </c>
      <c r="L40" s="2">
        <v>0.1</v>
      </c>
      <c r="M40" s="2">
        <v>0.21210000000000001</v>
      </c>
      <c r="N40" s="2">
        <v>2.8</v>
      </c>
      <c r="O40" s="2" t="s">
        <v>544</v>
      </c>
      <c r="P40" s="2" t="s">
        <v>544</v>
      </c>
      <c r="Q40" s="2" t="s">
        <v>544</v>
      </c>
      <c r="R40" s="2">
        <v>0.1</v>
      </c>
      <c r="S40" s="2" t="s">
        <v>544</v>
      </c>
      <c r="T40" s="2">
        <v>0.9</v>
      </c>
      <c r="U40" s="2">
        <v>3.5349999999999999E-2</v>
      </c>
      <c r="V40" s="2" t="s">
        <v>544</v>
      </c>
      <c r="W40" s="2">
        <v>42</v>
      </c>
      <c r="X40" s="2">
        <v>20</v>
      </c>
      <c r="Y40" s="2">
        <v>740</v>
      </c>
      <c r="Z40" s="2">
        <v>110</v>
      </c>
      <c r="AA40" s="2">
        <v>66</v>
      </c>
      <c r="AB40" s="2">
        <v>0.39</v>
      </c>
      <c r="AC40" s="2">
        <v>8.9999999999999993E-3</v>
      </c>
      <c r="AD40" s="2">
        <v>620</v>
      </c>
      <c r="AE40" s="2">
        <v>5.9999999999999995E-4</v>
      </c>
      <c r="AF40" s="2">
        <v>7.0000000000000001E-3</v>
      </c>
      <c r="AG40" s="2">
        <v>1.3</v>
      </c>
      <c r="AH40" s="2" t="s">
        <v>544</v>
      </c>
      <c r="AI40" s="2">
        <v>5.1999999999999998E-2</v>
      </c>
      <c r="AJ40" s="2">
        <v>6.6000000000000003E-2</v>
      </c>
      <c r="AK40" s="2">
        <v>0.14000000000000001</v>
      </c>
      <c r="AL40" s="2">
        <v>1.4100000000000001E-4</v>
      </c>
      <c r="AM40" s="2">
        <v>4.95E-4</v>
      </c>
      <c r="AN40" s="2">
        <v>0.19</v>
      </c>
      <c r="AO40" s="2"/>
      <c r="AP40" s="2">
        <v>188</v>
      </c>
    </row>
    <row r="41" spans="1:42">
      <c r="A41" s="2" t="s">
        <v>578</v>
      </c>
      <c r="B41" s="2" t="s">
        <v>543</v>
      </c>
      <c r="C41" s="2">
        <v>1</v>
      </c>
      <c r="D41" s="2">
        <v>4.9496999999999999E-2</v>
      </c>
      <c r="E41" s="2">
        <v>13</v>
      </c>
      <c r="F41" s="2">
        <v>0.7</v>
      </c>
      <c r="G41" s="2" t="s">
        <v>544</v>
      </c>
      <c r="H41" s="2">
        <v>0.1414</v>
      </c>
      <c r="I41" s="2">
        <v>6.3640000000000002E-2</v>
      </c>
      <c r="J41" s="2">
        <v>3.9</v>
      </c>
      <c r="K41" s="2" t="s">
        <v>544</v>
      </c>
      <c r="L41" s="2">
        <v>0.2</v>
      </c>
      <c r="M41" s="2">
        <v>0.3</v>
      </c>
      <c r="N41" s="2">
        <v>2.6</v>
      </c>
      <c r="O41" s="2" t="s">
        <v>544</v>
      </c>
      <c r="P41" s="2" t="s">
        <v>544</v>
      </c>
      <c r="Q41" s="2" t="s">
        <v>544</v>
      </c>
      <c r="R41" s="2">
        <v>0.2</v>
      </c>
      <c r="S41" s="2" t="s">
        <v>544</v>
      </c>
      <c r="T41" s="2">
        <v>0.3</v>
      </c>
      <c r="U41" s="2">
        <v>0.3</v>
      </c>
      <c r="V41" s="2" t="s">
        <v>544</v>
      </c>
      <c r="W41" s="2">
        <v>52</v>
      </c>
      <c r="X41" s="2">
        <v>23</v>
      </c>
      <c r="Y41" s="2">
        <v>540</v>
      </c>
      <c r="Z41" s="2">
        <v>57</v>
      </c>
      <c r="AA41" s="2">
        <v>52</v>
      </c>
      <c r="AB41" s="2">
        <v>0.21</v>
      </c>
      <c r="AC41" s="2">
        <v>7.0000000000000001E-3</v>
      </c>
      <c r="AD41" s="2">
        <v>550</v>
      </c>
      <c r="AE41" s="2">
        <v>6.9999999999999999E-4</v>
      </c>
      <c r="AF41" s="2">
        <v>7.5999999999999998E-2</v>
      </c>
      <c r="AG41" s="2">
        <v>1.2</v>
      </c>
      <c r="AH41" s="2" t="s">
        <v>544</v>
      </c>
      <c r="AI41" s="2">
        <v>4.4999999999999998E-2</v>
      </c>
      <c r="AJ41" s="2">
        <v>3.6999999999999998E-2</v>
      </c>
      <c r="AK41" s="2">
        <v>0.11</v>
      </c>
      <c r="AL41" s="2">
        <v>1.4100000000000001E-4</v>
      </c>
      <c r="AM41" s="2">
        <v>1E-3</v>
      </c>
      <c r="AN41" s="2">
        <v>0.1</v>
      </c>
      <c r="AO41" s="2"/>
      <c r="AP41" s="2">
        <v>225</v>
      </c>
    </row>
    <row r="42" spans="1:42">
      <c r="A42" s="2" t="s">
        <v>579</v>
      </c>
      <c r="B42" s="2" t="s">
        <v>543</v>
      </c>
      <c r="C42" s="2">
        <v>2.9</v>
      </c>
      <c r="D42" s="2">
        <v>4.9496999999999999E-2</v>
      </c>
      <c r="E42" s="2">
        <v>4</v>
      </c>
      <c r="F42" s="2">
        <v>1.6</v>
      </c>
      <c r="G42" s="2" t="s">
        <v>544</v>
      </c>
      <c r="H42" s="2">
        <v>0.1414</v>
      </c>
      <c r="I42" s="2">
        <v>0.1</v>
      </c>
      <c r="J42" s="2">
        <v>2.2999999999999998</v>
      </c>
      <c r="K42" s="2" t="s">
        <v>544</v>
      </c>
      <c r="L42" s="2">
        <v>6.3640000000000002E-2</v>
      </c>
      <c r="M42" s="2">
        <v>0.4</v>
      </c>
      <c r="N42" s="2">
        <v>2.2999999999999998</v>
      </c>
      <c r="O42" s="2" t="s">
        <v>544</v>
      </c>
      <c r="P42" s="2" t="s">
        <v>544</v>
      </c>
      <c r="Q42" s="2" t="s">
        <v>544</v>
      </c>
      <c r="R42" s="2">
        <v>0.1</v>
      </c>
      <c r="S42" s="2" t="s">
        <v>544</v>
      </c>
      <c r="T42" s="2">
        <v>0.2</v>
      </c>
      <c r="U42" s="2">
        <v>3.5349999999999999E-2</v>
      </c>
      <c r="V42" s="2" t="s">
        <v>544</v>
      </c>
      <c r="W42" s="2">
        <v>54</v>
      </c>
      <c r="X42" s="2">
        <v>18</v>
      </c>
      <c r="Y42" s="2">
        <v>400</v>
      </c>
      <c r="Z42" s="2">
        <v>82</v>
      </c>
      <c r="AA42" s="2">
        <v>49</v>
      </c>
      <c r="AB42" s="2">
        <v>0.45</v>
      </c>
      <c r="AC42" s="2">
        <v>8.9999999999999993E-3</v>
      </c>
      <c r="AD42" s="2">
        <v>510</v>
      </c>
      <c r="AE42" s="2">
        <v>6.9999999999999999E-4</v>
      </c>
      <c r="AF42" s="2">
        <v>3.4000000000000002E-2</v>
      </c>
      <c r="AG42" s="2">
        <v>0.93</v>
      </c>
      <c r="AH42" s="2" t="s">
        <v>544</v>
      </c>
      <c r="AI42" s="2">
        <v>4.3999999999999997E-2</v>
      </c>
      <c r="AJ42" s="2">
        <v>5.2999999999999999E-2</v>
      </c>
      <c r="AK42" s="2">
        <v>0.1</v>
      </c>
      <c r="AL42" s="2">
        <v>1.4100000000000001E-4</v>
      </c>
      <c r="AM42" s="2">
        <v>4.95E-4</v>
      </c>
      <c r="AN42" s="2">
        <v>0.15</v>
      </c>
      <c r="AO42" s="2"/>
      <c r="AP42" s="2">
        <v>172</v>
      </c>
    </row>
    <row r="43" spans="1:42">
      <c r="A43" s="2" t="s">
        <v>580</v>
      </c>
      <c r="B43" s="2" t="s">
        <v>543</v>
      </c>
      <c r="C43" s="2">
        <v>8.6</v>
      </c>
      <c r="D43" s="2">
        <v>4.9496999999999999E-2</v>
      </c>
      <c r="E43" s="2">
        <v>60</v>
      </c>
      <c r="F43" s="2">
        <v>1.4</v>
      </c>
      <c r="G43" s="2" t="s">
        <v>544</v>
      </c>
      <c r="H43" s="2">
        <v>0.1414</v>
      </c>
      <c r="I43" s="2">
        <v>6.3640000000000002E-2</v>
      </c>
      <c r="J43" s="2">
        <v>3.8</v>
      </c>
      <c r="K43" s="2" t="s">
        <v>544</v>
      </c>
      <c r="L43" s="2">
        <v>0.2</v>
      </c>
      <c r="M43" s="2">
        <v>0.21210000000000001</v>
      </c>
      <c r="N43" s="2">
        <v>4.2</v>
      </c>
      <c r="O43" s="2" t="s">
        <v>544</v>
      </c>
      <c r="P43" s="2" t="s">
        <v>544</v>
      </c>
      <c r="Q43" s="2" t="s">
        <v>544</v>
      </c>
      <c r="R43" s="2">
        <v>0.3</v>
      </c>
      <c r="S43" s="2" t="s">
        <v>544</v>
      </c>
      <c r="T43" s="2">
        <v>0.8</v>
      </c>
      <c r="U43" s="2">
        <v>0.1</v>
      </c>
      <c r="V43" s="2" t="s">
        <v>544</v>
      </c>
      <c r="W43" s="2">
        <v>190</v>
      </c>
      <c r="X43" s="2">
        <v>47</v>
      </c>
      <c r="Y43" s="2">
        <v>940</v>
      </c>
      <c r="Z43" s="2">
        <v>150</v>
      </c>
      <c r="AA43" s="2">
        <v>87</v>
      </c>
      <c r="AB43" s="2">
        <v>0.32</v>
      </c>
      <c r="AC43" s="2">
        <v>1.2E-2</v>
      </c>
      <c r="AD43" s="2">
        <v>1050</v>
      </c>
      <c r="AE43" s="2">
        <v>2E-3</v>
      </c>
      <c r="AF43" s="2">
        <v>0.12</v>
      </c>
      <c r="AG43" s="2">
        <v>1.5</v>
      </c>
      <c r="AH43" s="2" t="s">
        <v>544</v>
      </c>
      <c r="AI43" s="2">
        <v>0.13</v>
      </c>
      <c r="AJ43" s="2">
        <v>8.8999999999999996E-2</v>
      </c>
      <c r="AK43" s="2">
        <v>0.2</v>
      </c>
      <c r="AL43" s="2">
        <v>2.9999999999999997E-4</v>
      </c>
      <c r="AM43" s="2">
        <v>1E-3</v>
      </c>
      <c r="AN43" s="2">
        <v>0.3</v>
      </c>
      <c r="AO43" s="2"/>
      <c r="AP43" s="2">
        <v>123</v>
      </c>
    </row>
    <row r="44" spans="1:42">
      <c r="A44" s="2" t="s">
        <v>581</v>
      </c>
      <c r="B44" s="2" t="s">
        <v>543</v>
      </c>
      <c r="C44" s="2">
        <v>1.9</v>
      </c>
      <c r="D44" s="2">
        <v>4.9496999999999999E-2</v>
      </c>
      <c r="E44" s="2">
        <v>1.909</v>
      </c>
      <c r="F44" s="2">
        <v>0.9</v>
      </c>
      <c r="G44" s="2" t="s">
        <v>544</v>
      </c>
      <c r="H44" s="2">
        <v>0.2</v>
      </c>
      <c r="I44" s="2">
        <v>6.3640000000000002E-2</v>
      </c>
      <c r="J44" s="2">
        <v>1.2</v>
      </c>
      <c r="K44" s="2" t="s">
        <v>544</v>
      </c>
      <c r="L44" s="2">
        <v>6.3640000000000002E-2</v>
      </c>
      <c r="M44" s="2">
        <v>0.21210000000000001</v>
      </c>
      <c r="N44" s="2">
        <v>1.7</v>
      </c>
      <c r="O44" s="2" t="s">
        <v>544</v>
      </c>
      <c r="P44" s="2" t="s">
        <v>544</v>
      </c>
      <c r="Q44" s="2" t="s">
        <v>544</v>
      </c>
      <c r="R44" s="2">
        <v>0.08</v>
      </c>
      <c r="S44" s="2" t="s">
        <v>544</v>
      </c>
      <c r="T44" s="2">
        <v>0.2</v>
      </c>
      <c r="U44" s="2">
        <v>0.1</v>
      </c>
      <c r="V44" s="2" t="s">
        <v>544</v>
      </c>
      <c r="W44" s="2">
        <v>21</v>
      </c>
      <c r="X44" s="2">
        <v>16</v>
      </c>
      <c r="Y44" s="2">
        <v>370</v>
      </c>
      <c r="Z44" s="2">
        <v>38</v>
      </c>
      <c r="AA44" s="2">
        <v>45</v>
      </c>
      <c r="AB44" s="2">
        <v>0.32</v>
      </c>
      <c r="AC44" s="2">
        <v>7.0000000000000001E-3</v>
      </c>
      <c r="AD44" s="2">
        <v>330</v>
      </c>
      <c r="AE44" s="2">
        <v>4.0000000000000002E-4</v>
      </c>
      <c r="AF44" s="2">
        <v>2.7E-2</v>
      </c>
      <c r="AG44" s="2">
        <v>0.48</v>
      </c>
      <c r="AH44" s="2">
        <v>5.9999999999999995E-4</v>
      </c>
      <c r="AI44" s="2">
        <v>8.9999999999999993E-3</v>
      </c>
      <c r="AJ44" s="2">
        <v>3.5999999999999997E-2</v>
      </c>
      <c r="AK44" s="2">
        <v>6.6000000000000003E-2</v>
      </c>
      <c r="AL44" s="2">
        <v>1.4100000000000001E-4</v>
      </c>
      <c r="AM44" s="2">
        <v>4.95E-4</v>
      </c>
      <c r="AN44" s="2">
        <v>7.0710999999999996E-2</v>
      </c>
      <c r="AO44" s="2"/>
      <c r="AP44" s="2">
        <v>158</v>
      </c>
    </row>
    <row r="45" spans="1:42">
      <c r="A45" s="2" t="s">
        <v>582</v>
      </c>
      <c r="B45" s="2" t="s">
        <v>543</v>
      </c>
      <c r="C45" s="2">
        <v>2</v>
      </c>
      <c r="D45" s="2">
        <v>4.9496999999999999E-2</v>
      </c>
      <c r="E45" s="2">
        <v>12</v>
      </c>
      <c r="F45" s="2">
        <v>0.7</v>
      </c>
      <c r="G45" s="2" t="s">
        <v>544</v>
      </c>
      <c r="H45" s="2">
        <v>13</v>
      </c>
      <c r="I45" s="2">
        <v>0.1</v>
      </c>
      <c r="J45" s="2">
        <v>2.9</v>
      </c>
      <c r="K45" s="2" t="s">
        <v>544</v>
      </c>
      <c r="L45" s="2">
        <v>0.2</v>
      </c>
      <c r="M45" s="2">
        <v>0.6</v>
      </c>
      <c r="N45" s="2">
        <v>3</v>
      </c>
      <c r="O45" s="2" t="s">
        <v>544</v>
      </c>
      <c r="P45" s="2" t="s">
        <v>544</v>
      </c>
      <c r="Q45" s="2" t="s">
        <v>544</v>
      </c>
      <c r="R45" s="2">
        <v>0.2</v>
      </c>
      <c r="S45" s="2" t="s">
        <v>544</v>
      </c>
      <c r="T45" s="2">
        <v>0.3</v>
      </c>
      <c r="U45" s="2">
        <v>3.5349999999999999E-2</v>
      </c>
      <c r="V45" s="2" t="s">
        <v>544</v>
      </c>
      <c r="W45" s="2">
        <v>150</v>
      </c>
      <c r="X45" s="2">
        <v>26</v>
      </c>
      <c r="Y45" s="2">
        <v>710</v>
      </c>
      <c r="Z45" s="2">
        <v>94</v>
      </c>
      <c r="AA45" s="2">
        <v>57</v>
      </c>
      <c r="AB45" s="2">
        <v>0.25</v>
      </c>
      <c r="AC45" s="2">
        <v>8.9999999999999993E-3</v>
      </c>
      <c r="AD45" s="2">
        <v>470</v>
      </c>
      <c r="AE45" s="2">
        <v>8.9999999999999998E-4</v>
      </c>
      <c r="AF45" s="2">
        <v>4.7E-2</v>
      </c>
      <c r="AG45" s="2">
        <v>0.84</v>
      </c>
      <c r="AH45" s="2" t="s">
        <v>544</v>
      </c>
      <c r="AI45" s="2">
        <v>2.7E-2</v>
      </c>
      <c r="AJ45" s="2">
        <v>6.2E-2</v>
      </c>
      <c r="AK45" s="2">
        <v>7.4999999999999997E-2</v>
      </c>
      <c r="AL45" s="2">
        <v>2.0000000000000001E-4</v>
      </c>
      <c r="AM45" s="2">
        <v>4.95E-4</v>
      </c>
      <c r="AN45" s="2">
        <v>0.19</v>
      </c>
      <c r="AO45" s="2"/>
      <c r="AP45" s="2">
        <v>118</v>
      </c>
    </row>
    <row r="46" spans="1:42">
      <c r="A46" s="2" t="s">
        <v>583</v>
      </c>
      <c r="B46" s="2" t="s">
        <v>543</v>
      </c>
      <c r="C46" s="2">
        <v>4.3</v>
      </c>
      <c r="D46" s="2">
        <v>4.9496999999999999E-2</v>
      </c>
      <c r="E46" s="2">
        <v>24</v>
      </c>
      <c r="F46" s="2">
        <v>1</v>
      </c>
      <c r="G46" s="2" t="s">
        <v>544</v>
      </c>
      <c r="H46" s="2">
        <v>0.1414</v>
      </c>
      <c r="I46" s="2">
        <v>6.3640000000000002E-2</v>
      </c>
      <c r="J46" s="2">
        <v>4.5</v>
      </c>
      <c r="K46" s="2" t="s">
        <v>544</v>
      </c>
      <c r="L46" s="2">
        <v>0.2</v>
      </c>
      <c r="M46" s="2">
        <v>0.21210000000000001</v>
      </c>
      <c r="N46" s="2">
        <v>1.6</v>
      </c>
      <c r="O46" s="2" t="s">
        <v>544</v>
      </c>
      <c r="P46" s="2" t="s">
        <v>544</v>
      </c>
      <c r="Q46" s="2" t="s">
        <v>544</v>
      </c>
      <c r="R46" s="2">
        <v>0.2</v>
      </c>
      <c r="S46" s="2" t="s">
        <v>544</v>
      </c>
      <c r="T46" s="2">
        <v>0.4</v>
      </c>
      <c r="U46" s="2">
        <v>0.1</v>
      </c>
      <c r="V46" s="2" t="s">
        <v>544</v>
      </c>
      <c r="W46" s="2">
        <v>74</v>
      </c>
      <c r="X46" s="2">
        <v>23</v>
      </c>
      <c r="Y46" s="2">
        <v>1180</v>
      </c>
      <c r="Z46" s="2">
        <v>49</v>
      </c>
      <c r="AA46" s="2">
        <v>69</v>
      </c>
      <c r="AB46" s="2">
        <v>0.21</v>
      </c>
      <c r="AC46" s="2">
        <v>8.0000000000000002E-3</v>
      </c>
      <c r="AD46" s="2">
        <v>670</v>
      </c>
      <c r="AE46" s="2">
        <v>6.9999999999999999E-4</v>
      </c>
      <c r="AF46" s="2">
        <v>6.5000000000000002E-2</v>
      </c>
      <c r="AG46" s="2">
        <v>1.2</v>
      </c>
      <c r="AH46" s="2" t="s">
        <v>544</v>
      </c>
      <c r="AI46" s="2">
        <v>9.0999999999999998E-2</v>
      </c>
      <c r="AJ46" s="2">
        <v>7.3999999999999996E-2</v>
      </c>
      <c r="AK46" s="2">
        <v>0.15</v>
      </c>
      <c r="AL46" s="2">
        <v>1.4100000000000001E-4</v>
      </c>
      <c r="AM46" s="2">
        <v>4.95E-4</v>
      </c>
      <c r="AN46" s="2">
        <v>7.0710999999999996E-2</v>
      </c>
      <c r="AO46" s="2"/>
      <c r="AP46" s="2">
        <v>157</v>
      </c>
    </row>
    <row r="47" spans="1:42">
      <c r="A47" s="2" t="s">
        <v>584</v>
      </c>
      <c r="B47" s="2" t="s">
        <v>543</v>
      </c>
      <c r="C47" s="2">
        <v>4.3</v>
      </c>
      <c r="D47" s="2">
        <v>4.9496999999999999E-2</v>
      </c>
      <c r="E47" s="2">
        <v>1.909</v>
      </c>
      <c r="F47" s="2">
        <v>0.1414</v>
      </c>
      <c r="G47" s="2" t="s">
        <v>544</v>
      </c>
      <c r="H47" s="2">
        <v>0.1414</v>
      </c>
      <c r="I47" s="2">
        <v>6.3640000000000002E-2</v>
      </c>
      <c r="J47" s="2">
        <v>2.9</v>
      </c>
      <c r="K47" s="2" t="s">
        <v>544</v>
      </c>
      <c r="L47" s="2">
        <v>6.3640000000000002E-2</v>
      </c>
      <c r="M47" s="2">
        <v>0.21210000000000001</v>
      </c>
      <c r="N47" s="2">
        <v>0.56559999999999999</v>
      </c>
      <c r="O47" s="2" t="s">
        <v>544</v>
      </c>
      <c r="P47" s="2" t="s">
        <v>544</v>
      </c>
      <c r="Q47" s="2" t="s">
        <v>544</v>
      </c>
      <c r="R47" s="2">
        <v>3.5349999999999999E-2</v>
      </c>
      <c r="S47" s="2" t="s">
        <v>544</v>
      </c>
      <c r="T47" s="2">
        <v>4.9489999999999999E-2</v>
      </c>
      <c r="U47" s="2">
        <v>0.2</v>
      </c>
      <c r="V47" s="2" t="s">
        <v>544</v>
      </c>
      <c r="W47" s="2">
        <v>46</v>
      </c>
      <c r="X47" s="2">
        <v>20</v>
      </c>
      <c r="Y47" s="2">
        <v>660</v>
      </c>
      <c r="Z47" s="2">
        <v>13</v>
      </c>
      <c r="AA47" s="2">
        <v>42</v>
      </c>
      <c r="AB47" s="2">
        <v>0.17</v>
      </c>
      <c r="AC47" s="2">
        <v>6.0000000000000001E-3</v>
      </c>
      <c r="AD47" s="2">
        <v>340</v>
      </c>
      <c r="AE47" s="2">
        <v>2.8284271247461902E-4</v>
      </c>
      <c r="AF47" s="2">
        <v>5.6000000000000001E-2</v>
      </c>
      <c r="AG47" s="2">
        <v>1.3</v>
      </c>
      <c r="AH47" s="2" t="s">
        <v>544</v>
      </c>
      <c r="AI47" s="2">
        <v>6.7000000000000004E-2</v>
      </c>
      <c r="AJ47" s="2">
        <v>2.5999999999999999E-2</v>
      </c>
      <c r="AK47" s="2">
        <v>2.7E-2</v>
      </c>
      <c r="AL47" s="2">
        <v>1.4100000000000001E-4</v>
      </c>
      <c r="AM47" s="2">
        <v>4.95E-4</v>
      </c>
      <c r="AN47" s="2">
        <v>7.0710999999999996E-2</v>
      </c>
      <c r="AO47" s="2"/>
      <c r="AP47" s="2">
        <v>41.3</v>
      </c>
    </row>
    <row r="48" spans="1:42">
      <c r="A48" s="2" t="s">
        <v>585</v>
      </c>
      <c r="B48" s="2" t="s">
        <v>543</v>
      </c>
      <c r="C48" s="2">
        <v>1.7</v>
      </c>
      <c r="D48" s="2">
        <v>4.9496999999999999E-2</v>
      </c>
      <c r="E48" s="2">
        <v>7.1</v>
      </c>
      <c r="F48" s="2">
        <v>1.7</v>
      </c>
      <c r="G48" s="2" t="s">
        <v>544</v>
      </c>
      <c r="H48" s="2">
        <v>0.1414</v>
      </c>
      <c r="I48" s="2">
        <v>0.1</v>
      </c>
      <c r="J48" s="2">
        <v>2.8</v>
      </c>
      <c r="K48" s="2" t="s">
        <v>544</v>
      </c>
      <c r="L48" s="2">
        <v>0.1</v>
      </c>
      <c r="M48" s="2">
        <v>0.21210000000000001</v>
      </c>
      <c r="N48" s="2">
        <v>1.6</v>
      </c>
      <c r="O48" s="2" t="s">
        <v>544</v>
      </c>
      <c r="P48" s="2" t="s">
        <v>544</v>
      </c>
      <c r="Q48" s="2" t="s">
        <v>544</v>
      </c>
      <c r="R48" s="2">
        <v>0.2</v>
      </c>
      <c r="S48" s="2" t="s">
        <v>544</v>
      </c>
      <c r="T48" s="2">
        <v>0.2</v>
      </c>
      <c r="U48" s="2">
        <v>0.05</v>
      </c>
      <c r="V48" s="2" t="s">
        <v>544</v>
      </c>
      <c r="W48" s="2">
        <v>93</v>
      </c>
      <c r="X48" s="2">
        <v>34</v>
      </c>
      <c r="Y48" s="2">
        <v>550</v>
      </c>
      <c r="Z48" s="2">
        <v>31</v>
      </c>
      <c r="AA48" s="2">
        <v>63</v>
      </c>
      <c r="AB48" s="2">
        <v>0.1</v>
      </c>
      <c r="AC48" s="2">
        <v>7.0000000000000001E-3</v>
      </c>
      <c r="AD48" s="2">
        <v>480</v>
      </c>
      <c r="AE48" s="2">
        <v>1E-3</v>
      </c>
      <c r="AF48" s="2">
        <v>6.4000000000000001E-2</v>
      </c>
      <c r="AG48" s="2">
        <v>0.91</v>
      </c>
      <c r="AH48" s="2" t="s">
        <v>544</v>
      </c>
      <c r="AI48" s="2">
        <v>3.6999999999999998E-2</v>
      </c>
      <c r="AJ48" s="2">
        <v>4.5999999999999999E-2</v>
      </c>
      <c r="AK48" s="2">
        <v>5.8999999999999997E-2</v>
      </c>
      <c r="AL48" s="2">
        <v>1.4100000000000001E-4</v>
      </c>
      <c r="AM48" s="2">
        <v>1E-3</v>
      </c>
      <c r="AN48" s="2">
        <v>7.0710999999999996E-2</v>
      </c>
      <c r="AO48" s="2"/>
      <c r="AP48" s="2">
        <v>186</v>
      </c>
    </row>
    <row r="49" spans="1:42">
      <c r="A49" s="2" t="s">
        <v>586</v>
      </c>
      <c r="B49" s="2" t="s">
        <v>543</v>
      </c>
      <c r="C49" s="2">
        <v>2.4</v>
      </c>
      <c r="D49" s="2">
        <v>4.9496999999999999E-2</v>
      </c>
      <c r="E49" s="2">
        <v>15</v>
      </c>
      <c r="F49" s="2">
        <v>2.2999999999999998</v>
      </c>
      <c r="G49" s="2" t="s">
        <v>544</v>
      </c>
      <c r="H49" s="2">
        <v>5.3</v>
      </c>
      <c r="I49" s="2">
        <v>6.3640000000000002E-2</v>
      </c>
      <c r="J49" s="2">
        <v>3.7</v>
      </c>
      <c r="K49" s="2" t="s">
        <v>544</v>
      </c>
      <c r="L49" s="2">
        <v>0.2</v>
      </c>
      <c r="M49" s="2">
        <v>0.21210000000000001</v>
      </c>
      <c r="N49" s="2">
        <v>1.3</v>
      </c>
      <c r="O49" s="2" t="s">
        <v>544</v>
      </c>
      <c r="P49" s="2" t="s">
        <v>544</v>
      </c>
      <c r="Q49" s="2" t="s">
        <v>544</v>
      </c>
      <c r="R49" s="2">
        <v>0.2</v>
      </c>
      <c r="S49" s="2" t="s">
        <v>544</v>
      </c>
      <c r="T49" s="2">
        <v>0.3</v>
      </c>
      <c r="U49" s="2">
        <v>3.5349999999999999E-2</v>
      </c>
      <c r="V49" s="2" t="s">
        <v>544</v>
      </c>
      <c r="W49" s="2">
        <v>65</v>
      </c>
      <c r="X49" s="2">
        <v>31</v>
      </c>
      <c r="Y49" s="2">
        <v>260</v>
      </c>
      <c r="Z49" s="2">
        <v>53</v>
      </c>
      <c r="AA49" s="2">
        <v>48</v>
      </c>
      <c r="AB49" s="2">
        <v>0.27</v>
      </c>
      <c r="AC49" s="2">
        <v>8.9999999999999993E-3</v>
      </c>
      <c r="AD49" s="2">
        <v>490</v>
      </c>
      <c r="AE49" s="2">
        <v>1E-3</v>
      </c>
      <c r="AF49" s="2">
        <v>3.5000000000000003E-2</v>
      </c>
      <c r="AG49" s="2">
        <v>2.2000000000000002</v>
      </c>
      <c r="AH49" s="2" t="s">
        <v>544</v>
      </c>
      <c r="AI49" s="2">
        <v>0.28000000000000003</v>
      </c>
      <c r="AJ49" s="2">
        <v>3.2000000000000001E-2</v>
      </c>
      <c r="AK49" s="2">
        <v>0.17</v>
      </c>
      <c r="AL49" s="2">
        <v>1.4100000000000001E-4</v>
      </c>
      <c r="AM49" s="2">
        <v>4.95E-4</v>
      </c>
      <c r="AN49" s="2">
        <v>7.0710999999999996E-2</v>
      </c>
      <c r="AO49" s="2"/>
      <c r="AP49" s="2">
        <v>48.7</v>
      </c>
    </row>
    <row r="50" spans="1:42" s="121" customFormat="1">
      <c r="A50" s="122" t="s">
        <v>773</v>
      </c>
      <c r="B50" s="122" t="s">
        <v>543</v>
      </c>
      <c r="C50" s="122" t="s">
        <v>544</v>
      </c>
      <c r="D50" s="122" t="s">
        <v>544</v>
      </c>
      <c r="E50" s="122">
        <v>4.9000000000000004</v>
      </c>
      <c r="F50" s="122">
        <v>0.3</v>
      </c>
      <c r="G50" s="122" t="s">
        <v>544</v>
      </c>
      <c r="H50" s="122" t="s">
        <v>544</v>
      </c>
      <c r="I50" s="122" t="s">
        <v>544</v>
      </c>
      <c r="J50" s="122">
        <v>3.6</v>
      </c>
      <c r="K50" s="122" t="s">
        <v>544</v>
      </c>
      <c r="L50" s="122">
        <v>0.2</v>
      </c>
      <c r="M50" s="122" t="s">
        <v>544</v>
      </c>
      <c r="N50" s="122">
        <v>0.6</v>
      </c>
      <c r="O50" s="122" t="s">
        <v>544</v>
      </c>
      <c r="P50" s="122" t="s">
        <v>544</v>
      </c>
      <c r="Q50" s="122" t="s">
        <v>544</v>
      </c>
      <c r="R50" s="122">
        <v>0.09</v>
      </c>
      <c r="S50" s="122" t="s">
        <v>544</v>
      </c>
      <c r="T50" s="122">
        <v>1.2</v>
      </c>
      <c r="U50" s="122" t="s">
        <v>544</v>
      </c>
      <c r="V50" s="122" t="s">
        <v>544</v>
      </c>
      <c r="W50" s="122">
        <v>43</v>
      </c>
      <c r="X50" s="122">
        <v>31</v>
      </c>
      <c r="Y50" s="122">
        <v>470</v>
      </c>
      <c r="Z50" s="122">
        <v>18</v>
      </c>
      <c r="AA50" s="122">
        <v>17</v>
      </c>
      <c r="AB50" s="122">
        <v>0.11</v>
      </c>
      <c r="AC50" s="122">
        <v>8.0000000000000002E-3</v>
      </c>
      <c r="AD50" s="122">
        <v>310</v>
      </c>
      <c r="AE50" s="122">
        <v>8.9999999999999998E-4</v>
      </c>
      <c r="AF50" s="122">
        <v>0.04</v>
      </c>
      <c r="AG50" s="122">
        <v>1.7</v>
      </c>
      <c r="AH50" s="122" t="s">
        <v>544</v>
      </c>
      <c r="AI50" s="122">
        <v>0.05</v>
      </c>
      <c r="AJ50" s="122">
        <v>2.9000000000000001E-2</v>
      </c>
      <c r="AK50" s="122">
        <v>2.5000000000000001E-2</v>
      </c>
      <c r="AL50" s="122" t="s">
        <v>544</v>
      </c>
      <c r="AM50" s="122" t="s">
        <v>544</v>
      </c>
      <c r="AN50" s="122" t="s">
        <v>544</v>
      </c>
      <c r="AO50" s="122"/>
      <c r="AP50" s="122">
        <v>62.8</v>
      </c>
    </row>
    <row r="51" spans="1:42">
      <c r="A51" s="2" t="s">
        <v>587</v>
      </c>
      <c r="B51" s="2" t="s">
        <v>543</v>
      </c>
      <c r="C51" s="2">
        <v>4.0999999999999996</v>
      </c>
      <c r="D51" s="2">
        <v>4.9496999999999999E-2</v>
      </c>
      <c r="E51" s="2">
        <v>4.0999999999999996</v>
      </c>
      <c r="F51" s="2">
        <v>1.2</v>
      </c>
      <c r="G51" s="2" t="s">
        <v>544</v>
      </c>
      <c r="H51" s="2">
        <v>0.7</v>
      </c>
      <c r="I51" s="2">
        <v>0.1</v>
      </c>
      <c r="J51" s="2">
        <v>2.1</v>
      </c>
      <c r="K51" s="2" t="s">
        <v>544</v>
      </c>
      <c r="L51" s="2">
        <v>0.4</v>
      </c>
      <c r="M51" s="2">
        <v>0.21210000000000001</v>
      </c>
      <c r="N51" s="2">
        <v>3.6</v>
      </c>
      <c r="O51" s="2" t="s">
        <v>544</v>
      </c>
      <c r="P51" s="2" t="s">
        <v>544</v>
      </c>
      <c r="Q51" s="2" t="s">
        <v>544</v>
      </c>
      <c r="R51" s="2">
        <v>0.1</v>
      </c>
      <c r="S51" s="2" t="s">
        <v>544</v>
      </c>
      <c r="T51" s="2">
        <v>0.7</v>
      </c>
      <c r="U51" s="2">
        <v>0.1</v>
      </c>
      <c r="V51" s="2" t="s">
        <v>544</v>
      </c>
      <c r="W51" s="2">
        <v>170</v>
      </c>
      <c r="X51" s="2">
        <v>15</v>
      </c>
      <c r="Y51" s="2">
        <v>750</v>
      </c>
      <c r="Z51" s="2">
        <v>170</v>
      </c>
      <c r="AA51" s="2">
        <v>140</v>
      </c>
      <c r="AB51" s="2">
        <v>0.57999999999999996</v>
      </c>
      <c r="AC51" s="2">
        <v>0.01</v>
      </c>
      <c r="AD51" s="2">
        <v>770</v>
      </c>
      <c r="AE51" s="2">
        <v>6.9999999999999999E-4</v>
      </c>
      <c r="AF51" s="2">
        <v>4.3999999999999997E-2</v>
      </c>
      <c r="AG51" s="2">
        <v>1.1000000000000001</v>
      </c>
      <c r="AH51" s="2" t="s">
        <v>544</v>
      </c>
      <c r="AI51" s="2">
        <v>8.2000000000000003E-2</v>
      </c>
      <c r="AJ51" s="2">
        <v>7.8E-2</v>
      </c>
      <c r="AK51" s="2">
        <v>0.19</v>
      </c>
      <c r="AL51" s="2">
        <v>2.0000000000000001E-4</v>
      </c>
      <c r="AM51" s="2">
        <v>4.95E-4</v>
      </c>
      <c r="AN51" s="2">
        <v>0.3</v>
      </c>
      <c r="AO51" s="2"/>
      <c r="AP51" s="2">
        <v>129</v>
      </c>
    </row>
    <row r="52" spans="1:42">
      <c r="A52" s="2" t="s">
        <v>588</v>
      </c>
      <c r="B52" s="2" t="s">
        <v>543</v>
      </c>
      <c r="C52" s="2">
        <v>2</v>
      </c>
      <c r="D52" s="2">
        <v>4.9496999999999999E-2</v>
      </c>
      <c r="E52" s="2">
        <v>7.9</v>
      </c>
      <c r="F52" s="2">
        <v>0.2</v>
      </c>
      <c r="G52" s="2" t="s">
        <v>544</v>
      </c>
      <c r="H52" s="2">
        <v>0.1414</v>
      </c>
      <c r="I52" s="2">
        <v>0.3</v>
      </c>
      <c r="J52" s="2">
        <v>5.8</v>
      </c>
      <c r="K52" s="2" t="s">
        <v>544</v>
      </c>
      <c r="L52" s="2">
        <v>0.2</v>
      </c>
      <c r="M52" s="2">
        <v>0.5</v>
      </c>
      <c r="N52" s="2">
        <v>2.2999999999999998</v>
      </c>
      <c r="O52" s="2" t="s">
        <v>544</v>
      </c>
      <c r="P52" s="2" t="s">
        <v>544</v>
      </c>
      <c r="Q52" s="2" t="s">
        <v>544</v>
      </c>
      <c r="R52" s="2">
        <v>0.2</v>
      </c>
      <c r="S52" s="2" t="s">
        <v>544</v>
      </c>
      <c r="T52" s="2">
        <v>2.2000000000000002</v>
      </c>
      <c r="U52" s="2">
        <v>0.4</v>
      </c>
      <c r="V52" s="2" t="s">
        <v>544</v>
      </c>
      <c r="W52" s="2">
        <v>46</v>
      </c>
      <c r="X52" s="2">
        <v>31</v>
      </c>
      <c r="Y52" s="2">
        <v>550</v>
      </c>
      <c r="Z52" s="2">
        <v>4.2</v>
      </c>
      <c r="AA52" s="2">
        <v>61</v>
      </c>
      <c r="AB52" s="2">
        <v>0.43</v>
      </c>
      <c r="AC52" s="2">
        <v>8.0000000000000002E-3</v>
      </c>
      <c r="AD52" s="2">
        <v>490</v>
      </c>
      <c r="AE52" s="2">
        <v>1E-3</v>
      </c>
      <c r="AF52" s="2">
        <v>7.8E-2</v>
      </c>
      <c r="AG52" s="2">
        <v>2.7</v>
      </c>
      <c r="AH52" s="2" t="s">
        <v>544</v>
      </c>
      <c r="AI52" s="2">
        <v>3.5999999999999997E-2</v>
      </c>
      <c r="AJ52" s="2">
        <v>4.2000000000000003E-2</v>
      </c>
      <c r="AK52" s="2">
        <v>1.9E-2</v>
      </c>
      <c r="AL52" s="2">
        <v>1.4100000000000001E-4</v>
      </c>
      <c r="AM52" s="2">
        <v>4.95E-4</v>
      </c>
      <c r="AN52" s="2">
        <v>7.0710999999999996E-2</v>
      </c>
      <c r="AO52" s="2"/>
      <c r="AP52" s="2">
        <v>154</v>
      </c>
    </row>
    <row r="53" spans="1:42">
      <c r="A53" s="2" t="s">
        <v>589</v>
      </c>
      <c r="B53" s="2" t="s">
        <v>543</v>
      </c>
      <c r="C53" s="2">
        <v>7.2</v>
      </c>
      <c r="D53" s="2">
        <v>4.9496999999999999E-2</v>
      </c>
      <c r="E53" s="2">
        <v>1.909</v>
      </c>
      <c r="F53" s="2">
        <v>0.4</v>
      </c>
      <c r="G53" s="2" t="s">
        <v>544</v>
      </c>
      <c r="H53" s="2">
        <v>0.1414</v>
      </c>
      <c r="I53" s="2">
        <v>0.2</v>
      </c>
      <c r="J53" s="2">
        <v>2.2999999999999998</v>
      </c>
      <c r="K53" s="2" t="s">
        <v>544</v>
      </c>
      <c r="L53" s="2">
        <v>0.2</v>
      </c>
      <c r="M53" s="2">
        <v>0.21210000000000001</v>
      </c>
      <c r="N53" s="2">
        <v>3.1</v>
      </c>
      <c r="O53" s="2" t="s">
        <v>544</v>
      </c>
      <c r="P53" s="2" t="s">
        <v>544</v>
      </c>
      <c r="Q53" s="2" t="s">
        <v>544</v>
      </c>
      <c r="R53" s="2">
        <v>0.1</v>
      </c>
      <c r="S53" s="2" t="s">
        <v>544</v>
      </c>
      <c r="T53" s="2">
        <v>1.1000000000000001</v>
      </c>
      <c r="U53" s="2">
        <v>0.2</v>
      </c>
      <c r="V53" s="2" t="s">
        <v>544</v>
      </c>
      <c r="W53" s="2">
        <v>140</v>
      </c>
      <c r="X53" s="2">
        <v>38</v>
      </c>
      <c r="Y53" s="2">
        <v>730</v>
      </c>
      <c r="Z53" s="2">
        <v>95</v>
      </c>
      <c r="AA53" s="2">
        <v>74</v>
      </c>
      <c r="AB53" s="2">
        <v>0.14000000000000001</v>
      </c>
      <c r="AC53" s="2">
        <v>8.0000000000000002E-3</v>
      </c>
      <c r="AD53" s="2">
        <v>500</v>
      </c>
      <c r="AE53" s="2">
        <v>2E-3</v>
      </c>
      <c r="AF53" s="2">
        <v>6.7000000000000004E-2</v>
      </c>
      <c r="AG53" s="2">
        <v>0.94</v>
      </c>
      <c r="AH53" s="2" t="s">
        <v>544</v>
      </c>
      <c r="AI53" s="2">
        <v>0.03</v>
      </c>
      <c r="AJ53" s="2">
        <v>4.9000000000000002E-2</v>
      </c>
      <c r="AK53" s="2">
        <v>0.12</v>
      </c>
      <c r="AL53" s="2">
        <v>1.4100000000000001E-4</v>
      </c>
      <c r="AM53" s="2">
        <v>4.95E-4</v>
      </c>
      <c r="AN53" s="2">
        <v>0.2</v>
      </c>
      <c r="AO53" s="2"/>
      <c r="AP53" s="2">
        <v>204</v>
      </c>
    </row>
    <row r="54" spans="1:42">
      <c r="A54" s="2" t="s">
        <v>590</v>
      </c>
      <c r="B54" s="2" t="s">
        <v>543</v>
      </c>
      <c r="C54" s="2">
        <v>1.3</v>
      </c>
      <c r="D54" s="2">
        <v>4.9496999999999999E-2</v>
      </c>
      <c r="E54" s="2">
        <v>2.8</v>
      </c>
      <c r="F54" s="2">
        <v>2.2000000000000002</v>
      </c>
      <c r="G54" s="2" t="s">
        <v>544</v>
      </c>
      <c r="H54" s="2">
        <v>0.1414</v>
      </c>
      <c r="I54" s="2">
        <v>0.09</v>
      </c>
      <c r="J54" s="2">
        <v>2.8</v>
      </c>
      <c r="K54" s="2" t="s">
        <v>544</v>
      </c>
      <c r="L54" s="2">
        <v>0.1</v>
      </c>
      <c r="M54" s="2">
        <v>0.21210000000000001</v>
      </c>
      <c r="N54" s="2">
        <v>1.5</v>
      </c>
      <c r="O54" s="2" t="s">
        <v>544</v>
      </c>
      <c r="P54" s="2" t="s">
        <v>544</v>
      </c>
      <c r="Q54" s="2" t="s">
        <v>544</v>
      </c>
      <c r="R54" s="2">
        <v>0.06</v>
      </c>
      <c r="S54" s="2" t="s">
        <v>544</v>
      </c>
      <c r="T54" s="2">
        <v>0.1</v>
      </c>
      <c r="U54" s="2">
        <v>0.1</v>
      </c>
      <c r="V54" s="2" t="s">
        <v>544</v>
      </c>
      <c r="W54" s="2">
        <v>44</v>
      </c>
      <c r="X54" s="2">
        <v>17</v>
      </c>
      <c r="Y54" s="2">
        <v>630</v>
      </c>
      <c r="Z54" s="2">
        <v>61</v>
      </c>
      <c r="AA54" s="2">
        <v>56</v>
      </c>
      <c r="AB54" s="2">
        <v>5.1999999999999998E-2</v>
      </c>
      <c r="AC54" s="2">
        <v>6.0000000000000001E-3</v>
      </c>
      <c r="AD54" s="2">
        <v>300</v>
      </c>
      <c r="AE54" s="2">
        <v>5.9999999999999995E-4</v>
      </c>
      <c r="AF54" s="2">
        <v>2.1999999999999999E-2</v>
      </c>
      <c r="AG54" s="2">
        <v>0.67</v>
      </c>
      <c r="AH54" s="2" t="s">
        <v>544</v>
      </c>
      <c r="AI54" s="2">
        <v>4.5999999999999999E-2</v>
      </c>
      <c r="AJ54" s="2">
        <v>3.2000000000000001E-2</v>
      </c>
      <c r="AK54" s="2">
        <v>0.1</v>
      </c>
      <c r="AL54" s="2">
        <v>1.4100000000000001E-4</v>
      </c>
      <c r="AM54" s="2">
        <v>4.95E-4</v>
      </c>
      <c r="AN54" s="2">
        <v>0.12</v>
      </c>
      <c r="AO54" s="2"/>
      <c r="AP54" s="2">
        <v>253</v>
      </c>
    </row>
    <row r="55" spans="1:42">
      <c r="A55" s="2" t="s">
        <v>591</v>
      </c>
      <c r="B55" s="2" t="s">
        <v>543</v>
      </c>
      <c r="C55" s="2">
        <v>1.6</v>
      </c>
      <c r="D55" s="2">
        <v>4.9496999999999999E-2</v>
      </c>
      <c r="E55" s="2">
        <v>22</v>
      </c>
      <c r="F55" s="2">
        <v>0.9</v>
      </c>
      <c r="G55" s="2" t="s">
        <v>544</v>
      </c>
      <c r="H55" s="2">
        <v>0.1414</v>
      </c>
      <c r="I55" s="2">
        <v>0.2</v>
      </c>
      <c r="J55" s="2">
        <v>2.2000000000000002</v>
      </c>
      <c r="K55" s="2" t="s">
        <v>544</v>
      </c>
      <c r="L55" s="2">
        <v>0.2</v>
      </c>
      <c r="M55" s="2">
        <v>0.3</v>
      </c>
      <c r="N55" s="2">
        <v>2</v>
      </c>
      <c r="O55" s="2" t="s">
        <v>544</v>
      </c>
      <c r="P55" s="2" t="s">
        <v>544</v>
      </c>
      <c r="Q55" s="2" t="s">
        <v>544</v>
      </c>
      <c r="R55" s="2">
        <v>0.2</v>
      </c>
      <c r="S55" s="2" t="s">
        <v>544</v>
      </c>
      <c r="T55" s="2">
        <v>0.6</v>
      </c>
      <c r="U55" s="2">
        <v>0.2</v>
      </c>
      <c r="V55" s="2" t="s">
        <v>544</v>
      </c>
      <c r="W55" s="2">
        <v>61</v>
      </c>
      <c r="X55" s="2">
        <v>28</v>
      </c>
      <c r="Y55" s="2">
        <v>500</v>
      </c>
      <c r="Z55" s="2">
        <v>70</v>
      </c>
      <c r="AA55" s="2">
        <v>83</v>
      </c>
      <c r="AB55" s="2">
        <v>9.5000000000000001E-2</v>
      </c>
      <c r="AC55" s="2">
        <v>8.9999999999999993E-3</v>
      </c>
      <c r="AD55" s="2">
        <v>560</v>
      </c>
      <c r="AE55" s="2">
        <v>8.9999999999999998E-4</v>
      </c>
      <c r="AF55" s="2">
        <v>7.9000000000000001E-2</v>
      </c>
      <c r="AG55" s="2">
        <v>1.1000000000000001</v>
      </c>
      <c r="AH55" s="2" t="s">
        <v>544</v>
      </c>
      <c r="AI55" s="2">
        <v>7.1999999999999995E-2</v>
      </c>
      <c r="AJ55" s="2">
        <v>5.7000000000000002E-2</v>
      </c>
      <c r="AK55" s="2">
        <v>0.1</v>
      </c>
      <c r="AL55" s="2">
        <v>1.4100000000000001E-4</v>
      </c>
      <c r="AM55" s="2">
        <v>4.95E-4</v>
      </c>
      <c r="AN55" s="2">
        <v>0.14000000000000001</v>
      </c>
      <c r="AO55" s="2"/>
      <c r="AP55" s="2">
        <v>231</v>
      </c>
    </row>
    <row r="56" spans="1:42">
      <c r="A56" s="2" t="s">
        <v>592</v>
      </c>
      <c r="B56" s="2" t="s">
        <v>543</v>
      </c>
      <c r="C56" s="2">
        <v>2.1</v>
      </c>
      <c r="D56" s="2">
        <v>4.9496999999999999E-2</v>
      </c>
      <c r="E56" s="2">
        <v>7.1</v>
      </c>
      <c r="F56" s="2">
        <v>1</v>
      </c>
      <c r="G56" s="2" t="s">
        <v>544</v>
      </c>
      <c r="H56" s="2">
        <v>0.1414</v>
      </c>
      <c r="I56" s="2">
        <v>6.3640000000000002E-2</v>
      </c>
      <c r="J56" s="2">
        <v>3.4</v>
      </c>
      <c r="K56" s="2" t="s">
        <v>544</v>
      </c>
      <c r="L56" s="2">
        <v>0.2</v>
      </c>
      <c r="M56" s="2">
        <v>0.5</v>
      </c>
      <c r="N56" s="2">
        <v>2.5</v>
      </c>
      <c r="O56" s="2" t="s">
        <v>544</v>
      </c>
      <c r="P56" s="2" t="s">
        <v>544</v>
      </c>
      <c r="Q56" s="2" t="s">
        <v>544</v>
      </c>
      <c r="R56" s="2">
        <v>0.3</v>
      </c>
      <c r="S56" s="2" t="s">
        <v>544</v>
      </c>
      <c r="T56" s="2">
        <v>0.4</v>
      </c>
      <c r="U56" s="2">
        <v>0.08</v>
      </c>
      <c r="V56" s="2" t="s">
        <v>544</v>
      </c>
      <c r="W56" s="2">
        <v>250</v>
      </c>
      <c r="X56" s="2">
        <v>53</v>
      </c>
      <c r="Y56" s="2">
        <v>620</v>
      </c>
      <c r="Z56" s="2">
        <v>87</v>
      </c>
      <c r="AA56" s="2">
        <v>61</v>
      </c>
      <c r="AB56" s="2">
        <v>0.26</v>
      </c>
      <c r="AC56" s="2">
        <v>8.0000000000000002E-3</v>
      </c>
      <c r="AD56" s="2">
        <v>350</v>
      </c>
      <c r="AE56" s="2">
        <v>2E-3</v>
      </c>
      <c r="AF56" s="2">
        <v>2.7E-2</v>
      </c>
      <c r="AG56" s="2">
        <v>0.64</v>
      </c>
      <c r="AH56" s="2" t="s">
        <v>544</v>
      </c>
      <c r="AI56" s="2">
        <v>6.2E-2</v>
      </c>
      <c r="AJ56" s="2">
        <v>4.5999999999999999E-2</v>
      </c>
      <c r="AK56" s="2">
        <v>0.13</v>
      </c>
      <c r="AL56" s="2">
        <v>4.0000000000000002E-4</v>
      </c>
      <c r="AM56" s="2">
        <v>1E-3</v>
      </c>
      <c r="AN56" s="2">
        <v>0.18</v>
      </c>
      <c r="AO56" s="2"/>
      <c r="AP56" s="2">
        <v>72.7</v>
      </c>
    </row>
    <row r="57" spans="1:42">
      <c r="A57" s="2" t="s">
        <v>593</v>
      </c>
      <c r="B57" s="2" t="s">
        <v>543</v>
      </c>
      <c r="C57" s="2">
        <v>4</v>
      </c>
      <c r="D57" s="2">
        <v>4.9496999999999999E-2</v>
      </c>
      <c r="E57" s="2">
        <v>11</v>
      </c>
      <c r="F57" s="2">
        <v>0.9</v>
      </c>
      <c r="G57" s="2" t="s">
        <v>544</v>
      </c>
      <c r="H57" s="2">
        <v>0.1414</v>
      </c>
      <c r="I57" s="2">
        <v>0.3</v>
      </c>
      <c r="J57" s="2">
        <v>4.7</v>
      </c>
      <c r="K57" s="2" t="s">
        <v>544</v>
      </c>
      <c r="L57" s="2">
        <v>0.2</v>
      </c>
      <c r="M57" s="2">
        <v>0.21210000000000001</v>
      </c>
      <c r="N57" s="2">
        <v>3.3</v>
      </c>
      <c r="O57" s="2" t="s">
        <v>544</v>
      </c>
      <c r="P57" s="2" t="s">
        <v>544</v>
      </c>
      <c r="Q57" s="2" t="s">
        <v>544</v>
      </c>
      <c r="R57" s="2">
        <v>0.2</v>
      </c>
      <c r="S57" s="2" t="s">
        <v>544</v>
      </c>
      <c r="T57" s="2">
        <v>0.1</v>
      </c>
      <c r="U57" s="2">
        <v>0.08</v>
      </c>
      <c r="V57" s="2" t="s">
        <v>544</v>
      </c>
      <c r="W57" s="2">
        <v>110</v>
      </c>
      <c r="X57" s="2">
        <v>39</v>
      </c>
      <c r="Y57" s="2">
        <v>860</v>
      </c>
      <c r="Z57" s="2">
        <v>62</v>
      </c>
      <c r="AA57" s="2">
        <v>36</v>
      </c>
      <c r="AB57" s="2">
        <v>0.46</v>
      </c>
      <c r="AC57" s="2">
        <v>0.01</v>
      </c>
      <c r="AD57" s="2">
        <v>340</v>
      </c>
      <c r="AE57" s="2">
        <v>1E-3</v>
      </c>
      <c r="AF57" s="2">
        <v>5.8000000000000003E-2</v>
      </c>
      <c r="AG57" s="2">
        <v>3.8</v>
      </c>
      <c r="AH57" s="2" t="s">
        <v>544</v>
      </c>
      <c r="AI57" s="2">
        <v>9.9000000000000005E-2</v>
      </c>
      <c r="AJ57" s="2">
        <v>3.9E-2</v>
      </c>
      <c r="AK57" s="2">
        <v>0.1</v>
      </c>
      <c r="AL57" s="2">
        <v>1.4100000000000001E-4</v>
      </c>
      <c r="AM57" s="2">
        <v>2E-3</v>
      </c>
      <c r="AN57" s="2">
        <v>0.12</v>
      </c>
      <c r="AO57" s="2"/>
      <c r="AP57" s="2">
        <v>108</v>
      </c>
    </row>
    <row r="58" spans="1:42">
      <c r="A58" s="2" t="s">
        <v>594</v>
      </c>
      <c r="B58" s="2" t="s">
        <v>543</v>
      </c>
      <c r="C58" s="2">
        <v>2.4</v>
      </c>
      <c r="D58" s="2">
        <v>4.9496999999999999E-2</v>
      </c>
      <c r="E58" s="2">
        <v>1.909</v>
      </c>
      <c r="F58" s="2">
        <v>1.2</v>
      </c>
      <c r="G58" s="2" t="s">
        <v>544</v>
      </c>
      <c r="H58" s="2">
        <v>0.1414</v>
      </c>
      <c r="I58" s="2">
        <v>0.3</v>
      </c>
      <c r="J58" s="2">
        <v>1.7</v>
      </c>
      <c r="K58" s="2" t="s">
        <v>544</v>
      </c>
      <c r="L58" s="2">
        <v>0.1</v>
      </c>
      <c r="M58" s="2">
        <v>0.21210000000000001</v>
      </c>
      <c r="N58" s="2">
        <v>2.7</v>
      </c>
      <c r="O58" s="2" t="s">
        <v>544</v>
      </c>
      <c r="P58" s="2" t="s">
        <v>544</v>
      </c>
      <c r="Q58" s="2" t="s">
        <v>544</v>
      </c>
      <c r="R58" s="2">
        <v>7.0000000000000007E-2</v>
      </c>
      <c r="S58" s="2" t="s">
        <v>544</v>
      </c>
      <c r="T58" s="2">
        <v>0.3</v>
      </c>
      <c r="U58" s="2">
        <v>0.1</v>
      </c>
      <c r="V58" s="2" t="s">
        <v>544</v>
      </c>
      <c r="W58" s="2">
        <v>58</v>
      </c>
      <c r="X58" s="2">
        <v>17</v>
      </c>
      <c r="Y58" s="2">
        <v>830</v>
      </c>
      <c r="Z58" s="2">
        <v>110</v>
      </c>
      <c r="AA58" s="2">
        <v>65</v>
      </c>
      <c r="AB58" s="2">
        <v>0.43</v>
      </c>
      <c r="AC58" s="2">
        <v>8.0000000000000002E-3</v>
      </c>
      <c r="AD58" s="2">
        <v>440</v>
      </c>
      <c r="AE58" s="2">
        <v>5.9999999999999995E-4</v>
      </c>
      <c r="AF58" s="2">
        <v>8.8999999999999996E-2</v>
      </c>
      <c r="AG58" s="2">
        <v>0.94</v>
      </c>
      <c r="AH58" s="2" t="s">
        <v>544</v>
      </c>
      <c r="AI58" s="2">
        <v>2.3E-2</v>
      </c>
      <c r="AJ58" s="2">
        <v>3.9E-2</v>
      </c>
      <c r="AK58" s="2">
        <v>0.1</v>
      </c>
      <c r="AL58" s="2">
        <v>1.4100000000000001E-4</v>
      </c>
      <c r="AM58" s="2">
        <v>6.9999999999999999E-4</v>
      </c>
      <c r="AN58" s="2">
        <v>0.21</v>
      </c>
      <c r="AO58" s="2"/>
      <c r="AP58" s="2">
        <v>246</v>
      </c>
    </row>
    <row r="59" spans="1:42">
      <c r="A59" s="2" t="s">
        <v>595</v>
      </c>
      <c r="B59" s="2" t="s">
        <v>543</v>
      </c>
      <c r="C59" s="2">
        <v>5.0999999999999996</v>
      </c>
      <c r="D59" s="2">
        <v>4.9496999999999999E-2</v>
      </c>
      <c r="E59" s="2">
        <v>5.2</v>
      </c>
      <c r="F59" s="2">
        <v>1.5</v>
      </c>
      <c r="G59" s="2" t="s">
        <v>544</v>
      </c>
      <c r="H59" s="2">
        <v>0.1414</v>
      </c>
      <c r="I59" s="2">
        <v>0.1</v>
      </c>
      <c r="J59" s="2">
        <v>1.7</v>
      </c>
      <c r="K59" s="2" t="s">
        <v>544</v>
      </c>
      <c r="L59" s="2">
        <v>0.2</v>
      </c>
      <c r="M59" s="2">
        <v>0.21210000000000001</v>
      </c>
      <c r="N59" s="2">
        <v>4</v>
      </c>
      <c r="O59" s="2" t="s">
        <v>544</v>
      </c>
      <c r="P59" s="2" t="s">
        <v>544</v>
      </c>
      <c r="Q59" s="2" t="s">
        <v>544</v>
      </c>
      <c r="R59" s="2">
        <v>0.05</v>
      </c>
      <c r="S59" s="2" t="s">
        <v>544</v>
      </c>
      <c r="T59" s="2">
        <v>0.5</v>
      </c>
      <c r="U59" s="2">
        <v>0.1</v>
      </c>
      <c r="V59" s="2">
        <v>0.05</v>
      </c>
      <c r="W59" s="2">
        <v>66</v>
      </c>
      <c r="X59" s="2">
        <v>12</v>
      </c>
      <c r="Y59" s="2">
        <v>920</v>
      </c>
      <c r="Z59" s="2">
        <v>210</v>
      </c>
      <c r="AA59" s="2">
        <v>110</v>
      </c>
      <c r="AB59" s="2">
        <v>0.49</v>
      </c>
      <c r="AC59" s="2">
        <v>0.01</v>
      </c>
      <c r="AD59" s="2">
        <v>410</v>
      </c>
      <c r="AE59" s="2">
        <v>5.9999999999999995E-4</v>
      </c>
      <c r="AF59" s="2">
        <v>4.8000000000000001E-2</v>
      </c>
      <c r="AG59" s="2">
        <v>0.82</v>
      </c>
      <c r="AH59" s="2" t="s">
        <v>544</v>
      </c>
      <c r="AI59" s="2">
        <v>0.06</v>
      </c>
      <c r="AJ59" s="2">
        <v>0.05</v>
      </c>
      <c r="AK59" s="2">
        <v>0.21</v>
      </c>
      <c r="AL59" s="2">
        <v>2.9999999999999997E-4</v>
      </c>
      <c r="AM59" s="2">
        <v>8.0000000000000004E-4</v>
      </c>
      <c r="AN59" s="2">
        <v>0.35</v>
      </c>
      <c r="AO59" s="2"/>
      <c r="AP59" s="2">
        <v>216</v>
      </c>
    </row>
    <row r="60" spans="1:42">
      <c r="A60" s="2" t="s">
        <v>596</v>
      </c>
      <c r="B60" s="2" t="s">
        <v>543</v>
      </c>
      <c r="C60" s="2">
        <v>5.4</v>
      </c>
      <c r="D60" s="2">
        <v>4.9496999999999999E-2</v>
      </c>
      <c r="E60" s="2">
        <v>4.7</v>
      </c>
      <c r="F60" s="2">
        <v>1.4</v>
      </c>
      <c r="G60" s="2" t="s">
        <v>544</v>
      </c>
      <c r="H60" s="2">
        <v>0.1414</v>
      </c>
      <c r="I60" s="2">
        <v>0.2</v>
      </c>
      <c r="J60" s="2">
        <v>3.6</v>
      </c>
      <c r="K60" s="2" t="s">
        <v>544</v>
      </c>
      <c r="L60" s="2">
        <v>0.2</v>
      </c>
      <c r="M60" s="2">
        <v>0.21210000000000001</v>
      </c>
      <c r="N60" s="2">
        <v>3.3</v>
      </c>
      <c r="O60" s="2" t="s">
        <v>544</v>
      </c>
      <c r="P60" s="2" t="s">
        <v>544</v>
      </c>
      <c r="Q60" s="2" t="s">
        <v>544</v>
      </c>
      <c r="R60" s="2">
        <v>0.08</v>
      </c>
      <c r="S60" s="2" t="s">
        <v>544</v>
      </c>
      <c r="T60" s="2">
        <v>4.9489999999999999E-2</v>
      </c>
      <c r="U60" s="2">
        <v>0.1</v>
      </c>
      <c r="V60" s="2" t="s">
        <v>544</v>
      </c>
      <c r="W60" s="2">
        <v>74</v>
      </c>
      <c r="X60" s="2">
        <v>16</v>
      </c>
      <c r="Y60" s="2">
        <v>740</v>
      </c>
      <c r="Z60" s="2">
        <v>120</v>
      </c>
      <c r="AA60" s="2">
        <v>60</v>
      </c>
      <c r="AB60" s="2">
        <v>0.31</v>
      </c>
      <c r="AC60" s="2">
        <v>0.01</v>
      </c>
      <c r="AD60" s="2">
        <v>500</v>
      </c>
      <c r="AE60" s="2">
        <v>5.0000000000000001E-4</v>
      </c>
      <c r="AF60" s="2">
        <v>4.7E-2</v>
      </c>
      <c r="AG60" s="2">
        <v>1</v>
      </c>
      <c r="AH60" s="2" t="s">
        <v>544</v>
      </c>
      <c r="AI60" s="2">
        <v>3.5000000000000003E-2</v>
      </c>
      <c r="AJ60" s="2">
        <v>4.1000000000000002E-2</v>
      </c>
      <c r="AK60" s="2">
        <v>0.1</v>
      </c>
      <c r="AL60" s="2">
        <v>1.4100000000000001E-4</v>
      </c>
      <c r="AM60" s="2">
        <v>2E-3</v>
      </c>
      <c r="AN60" s="2">
        <v>0.22</v>
      </c>
      <c r="AO60" s="2"/>
      <c r="AP60" s="2">
        <v>184</v>
      </c>
    </row>
    <row r="61" spans="1:42">
      <c r="A61" s="2" t="s">
        <v>597</v>
      </c>
      <c r="B61" s="2" t="s">
        <v>543</v>
      </c>
      <c r="C61" s="2">
        <v>1.6</v>
      </c>
      <c r="D61" s="2">
        <v>4.9496999999999999E-2</v>
      </c>
      <c r="E61" s="2">
        <v>42</v>
      </c>
      <c r="F61" s="2">
        <v>1.4</v>
      </c>
      <c r="G61" s="2" t="s">
        <v>544</v>
      </c>
      <c r="H61" s="2">
        <v>0.1414</v>
      </c>
      <c r="I61" s="2">
        <v>6.3640000000000002E-2</v>
      </c>
      <c r="J61" s="2">
        <v>5.6</v>
      </c>
      <c r="K61" s="2" t="s">
        <v>544</v>
      </c>
      <c r="L61" s="2">
        <v>0.3</v>
      </c>
      <c r="M61" s="2">
        <v>0.5</v>
      </c>
      <c r="N61" s="2">
        <v>2.4</v>
      </c>
      <c r="O61" s="2" t="s">
        <v>544</v>
      </c>
      <c r="P61" s="2" t="s">
        <v>544</v>
      </c>
      <c r="Q61" s="2" t="s">
        <v>544</v>
      </c>
      <c r="R61" s="2">
        <v>0.2</v>
      </c>
      <c r="S61" s="2" t="s">
        <v>544</v>
      </c>
      <c r="T61" s="2">
        <v>0.6</v>
      </c>
      <c r="U61" s="2">
        <v>3.5349999999999999E-2</v>
      </c>
      <c r="V61" s="2" t="s">
        <v>544</v>
      </c>
      <c r="W61" s="2">
        <v>110</v>
      </c>
      <c r="X61" s="2">
        <v>29</v>
      </c>
      <c r="Y61" s="2">
        <v>650</v>
      </c>
      <c r="Z61" s="2">
        <v>32</v>
      </c>
      <c r="AA61" s="2">
        <v>44</v>
      </c>
      <c r="AB61" s="2">
        <v>0.2</v>
      </c>
      <c r="AC61" s="2">
        <v>4.4999999999999998E-2</v>
      </c>
      <c r="AD61" s="2">
        <v>830</v>
      </c>
      <c r="AE61" s="2">
        <v>1E-3</v>
      </c>
      <c r="AF61" s="2">
        <v>3.9E-2</v>
      </c>
      <c r="AG61" s="2">
        <v>1.5</v>
      </c>
      <c r="AH61" s="2" t="s">
        <v>544</v>
      </c>
      <c r="AI61" s="2">
        <v>0.08</v>
      </c>
      <c r="AJ61" s="2">
        <v>7.4999999999999997E-2</v>
      </c>
      <c r="AK61" s="2">
        <v>0.1</v>
      </c>
      <c r="AL61" s="2">
        <v>1.4100000000000001E-4</v>
      </c>
      <c r="AM61" s="2">
        <v>4.95E-4</v>
      </c>
      <c r="AN61" s="2">
        <v>7.0710999999999996E-2</v>
      </c>
      <c r="AO61" s="2"/>
      <c r="AP61" s="2">
        <v>144</v>
      </c>
    </row>
    <row r="62" spans="1:42">
      <c r="A62" s="2" t="s">
        <v>598</v>
      </c>
      <c r="B62" s="2" t="s">
        <v>543</v>
      </c>
      <c r="C62" s="2">
        <v>9.9</v>
      </c>
      <c r="D62" s="2">
        <v>4.9496999999999999E-2</v>
      </c>
      <c r="E62" s="2">
        <v>5.2</v>
      </c>
      <c r="F62" s="2">
        <v>3</v>
      </c>
      <c r="G62" s="2" t="s">
        <v>544</v>
      </c>
      <c r="H62" s="2">
        <v>2.1</v>
      </c>
      <c r="I62" s="2">
        <v>0.4</v>
      </c>
      <c r="J62" s="2">
        <v>3.8</v>
      </c>
      <c r="K62" s="2" t="s">
        <v>544</v>
      </c>
      <c r="L62" s="2">
        <v>0.2</v>
      </c>
      <c r="M62" s="2">
        <v>0.21210000000000001</v>
      </c>
      <c r="N62" s="2">
        <v>3.3</v>
      </c>
      <c r="O62" s="2" t="s">
        <v>544</v>
      </c>
      <c r="P62" s="2" t="s">
        <v>544</v>
      </c>
      <c r="Q62" s="2" t="s">
        <v>544</v>
      </c>
      <c r="R62" s="2">
        <v>7.0000000000000007E-2</v>
      </c>
      <c r="S62" s="2" t="s">
        <v>544</v>
      </c>
      <c r="T62" s="2">
        <v>0.4</v>
      </c>
      <c r="U62" s="2">
        <v>0.2</v>
      </c>
      <c r="V62" s="2" t="s">
        <v>544</v>
      </c>
      <c r="W62" s="2">
        <v>96</v>
      </c>
      <c r="X62" s="2">
        <v>20</v>
      </c>
      <c r="Y62" s="2">
        <v>730</v>
      </c>
      <c r="Z62" s="2">
        <v>150</v>
      </c>
      <c r="AA62" s="2">
        <v>76</v>
      </c>
      <c r="AB62" s="2">
        <v>0.66</v>
      </c>
      <c r="AC62" s="2">
        <v>8.0000000000000002E-3</v>
      </c>
      <c r="AD62" s="2">
        <v>390</v>
      </c>
      <c r="AE62" s="2">
        <v>8.0000000000000004E-4</v>
      </c>
      <c r="AF62" s="2">
        <v>4.1000000000000002E-2</v>
      </c>
      <c r="AG62" s="2">
        <v>0.75</v>
      </c>
      <c r="AH62" s="2" t="s">
        <v>544</v>
      </c>
      <c r="AI62" s="2">
        <v>3.2000000000000001E-2</v>
      </c>
      <c r="AJ62" s="2">
        <v>3.7999999999999999E-2</v>
      </c>
      <c r="AK62" s="2">
        <v>0.19</v>
      </c>
      <c r="AL62" s="2">
        <v>1.4100000000000001E-4</v>
      </c>
      <c r="AM62" s="2">
        <v>4.95E-4</v>
      </c>
      <c r="AN62" s="2">
        <v>0.28000000000000003</v>
      </c>
      <c r="AO62" s="2"/>
      <c r="AP62" s="2">
        <v>170</v>
      </c>
    </row>
    <row r="63" spans="1:42">
      <c r="A63" s="2" t="s">
        <v>599</v>
      </c>
      <c r="B63" s="2" t="s">
        <v>543</v>
      </c>
      <c r="C63" s="2">
        <v>2.4</v>
      </c>
      <c r="D63" s="2">
        <v>4.9496999999999999E-2</v>
      </c>
      <c r="E63" s="2">
        <v>15</v>
      </c>
      <c r="F63" s="2">
        <v>2.2999999999999998</v>
      </c>
      <c r="G63" s="2" t="s">
        <v>544</v>
      </c>
      <c r="H63" s="2">
        <v>0.1414</v>
      </c>
      <c r="I63" s="2">
        <v>6.3640000000000002E-2</v>
      </c>
      <c r="J63" s="2">
        <v>5.2</v>
      </c>
      <c r="K63" s="2" t="s">
        <v>544</v>
      </c>
      <c r="L63" s="2">
        <v>0.3</v>
      </c>
      <c r="M63" s="2">
        <v>0.21210000000000001</v>
      </c>
      <c r="N63" s="2">
        <v>2</v>
      </c>
      <c r="O63" s="2" t="s">
        <v>544</v>
      </c>
      <c r="P63" s="2" t="s">
        <v>544</v>
      </c>
      <c r="Q63" s="2" t="s">
        <v>544</v>
      </c>
      <c r="R63" s="2">
        <v>0.1</v>
      </c>
      <c r="S63" s="2" t="s">
        <v>544</v>
      </c>
      <c r="T63" s="2">
        <v>0.3</v>
      </c>
      <c r="U63" s="2">
        <v>3.5349999999999999E-2</v>
      </c>
      <c r="V63" s="2" t="s">
        <v>544</v>
      </c>
      <c r="W63" s="2">
        <v>59</v>
      </c>
      <c r="X63" s="2">
        <v>14</v>
      </c>
      <c r="Y63" s="2">
        <v>580</v>
      </c>
      <c r="Z63" s="2">
        <v>80</v>
      </c>
      <c r="AA63" s="2">
        <v>74</v>
      </c>
      <c r="AB63" s="2">
        <v>0.56999999999999995</v>
      </c>
      <c r="AC63" s="2">
        <v>1.0999999999999999E-2</v>
      </c>
      <c r="AD63" s="2">
        <v>400</v>
      </c>
      <c r="AE63" s="2">
        <v>5.9999999999999995E-4</v>
      </c>
      <c r="AF63" s="2">
        <v>3.5000000000000003E-2</v>
      </c>
      <c r="AG63" s="2">
        <v>2.8</v>
      </c>
      <c r="AH63" s="2" t="s">
        <v>544</v>
      </c>
      <c r="AI63" s="2">
        <v>7.8E-2</v>
      </c>
      <c r="AJ63" s="2">
        <v>5.8000000000000003E-2</v>
      </c>
      <c r="AK63" s="2">
        <v>0.2</v>
      </c>
      <c r="AL63" s="2">
        <v>1.4100000000000001E-4</v>
      </c>
      <c r="AM63" s="2">
        <v>4.95E-4</v>
      </c>
      <c r="AN63" s="2">
        <v>7.0710999999999996E-2</v>
      </c>
      <c r="AO63" s="2"/>
      <c r="AP63" s="2">
        <v>62.9</v>
      </c>
    </row>
    <row r="65" spans="1:42">
      <c r="A65" t="s">
        <v>600</v>
      </c>
      <c r="C65">
        <v>1</v>
      </c>
      <c r="D65">
        <v>7.0000000000000007E-2</v>
      </c>
      <c r="E65">
        <v>2.7</v>
      </c>
      <c r="F65">
        <v>0.2</v>
      </c>
      <c r="G65">
        <v>0</v>
      </c>
      <c r="H65">
        <v>0.2</v>
      </c>
      <c r="I65">
        <v>0.09</v>
      </c>
      <c r="J65">
        <v>1.2</v>
      </c>
      <c r="K65">
        <v>0.08</v>
      </c>
      <c r="L65">
        <v>0.09</v>
      </c>
      <c r="M65">
        <v>0.3</v>
      </c>
      <c r="N65">
        <v>0.8</v>
      </c>
      <c r="O65">
        <v>0</v>
      </c>
      <c r="P65">
        <v>0</v>
      </c>
      <c r="Q65">
        <v>0</v>
      </c>
      <c r="R65">
        <v>0.05</v>
      </c>
      <c r="S65">
        <v>0</v>
      </c>
      <c r="T65">
        <v>7.0000000000000007E-2</v>
      </c>
      <c r="U65">
        <v>0.05</v>
      </c>
      <c r="V65">
        <v>0.05</v>
      </c>
      <c r="W65">
        <v>21</v>
      </c>
      <c r="X65">
        <v>10</v>
      </c>
      <c r="Y65">
        <v>190</v>
      </c>
      <c r="Z65">
        <v>4.2</v>
      </c>
      <c r="AA65">
        <v>26</v>
      </c>
      <c r="AB65">
        <v>5.1999999999999998E-2</v>
      </c>
      <c r="AC65">
        <v>6.0000000000000001E-3</v>
      </c>
      <c r="AD65">
        <v>290</v>
      </c>
      <c r="AE65">
        <v>4.0000000000000002E-4</v>
      </c>
      <c r="AF65">
        <v>3.0000000000000001E-3</v>
      </c>
      <c r="AG65">
        <v>0.48</v>
      </c>
      <c r="AH65">
        <v>5.9999999999999995E-4</v>
      </c>
      <c r="AI65">
        <v>8.9999999999999993E-3</v>
      </c>
      <c r="AJ65">
        <v>2.5999999999999999E-2</v>
      </c>
      <c r="AK65">
        <v>1.9E-2</v>
      </c>
      <c r="AL65">
        <v>2.0000000000000001E-4</v>
      </c>
      <c r="AM65">
        <v>6.9999999999999999E-4</v>
      </c>
      <c r="AN65">
        <v>0.1</v>
      </c>
      <c r="AP65">
        <v>41.3</v>
      </c>
    </row>
    <row r="66" spans="1:42">
      <c r="A66" t="s">
        <v>601</v>
      </c>
      <c r="C66">
        <f>C65/SQRT(2)</f>
        <v>0.70710678118654746</v>
      </c>
      <c r="D66">
        <f t="shared" ref="D66:AP66" si="0">D65/SQRT(2)</f>
        <v>4.9497474683058325E-2</v>
      </c>
      <c r="E66">
        <f t="shared" si="0"/>
        <v>1.9091883092036783</v>
      </c>
      <c r="F66">
        <f t="shared" si="0"/>
        <v>0.1414213562373095</v>
      </c>
      <c r="G66">
        <f t="shared" si="0"/>
        <v>0</v>
      </c>
      <c r="H66">
        <f t="shared" si="0"/>
        <v>0.1414213562373095</v>
      </c>
      <c r="I66">
        <f t="shared" si="0"/>
        <v>6.3639610306789274E-2</v>
      </c>
      <c r="J66">
        <f t="shared" si="0"/>
        <v>0.84852813742385691</v>
      </c>
      <c r="K66">
        <f t="shared" si="0"/>
        <v>5.6568542494923796E-2</v>
      </c>
      <c r="L66">
        <f t="shared" si="0"/>
        <v>6.3639610306789274E-2</v>
      </c>
      <c r="M66">
        <f t="shared" si="0"/>
        <v>0.21213203435596423</v>
      </c>
      <c r="N66">
        <f t="shared" si="0"/>
        <v>0.56568542494923801</v>
      </c>
      <c r="O66">
        <f t="shared" si="0"/>
        <v>0</v>
      </c>
      <c r="P66">
        <f t="shared" si="0"/>
        <v>0</v>
      </c>
      <c r="Q66">
        <f t="shared" si="0"/>
        <v>0</v>
      </c>
      <c r="R66">
        <f t="shared" si="0"/>
        <v>3.5355339059327376E-2</v>
      </c>
      <c r="S66">
        <f t="shared" si="0"/>
        <v>0</v>
      </c>
      <c r="T66">
        <f t="shared" si="0"/>
        <v>4.9497474683058325E-2</v>
      </c>
      <c r="U66">
        <f t="shared" si="0"/>
        <v>3.5355339059327376E-2</v>
      </c>
      <c r="V66">
        <f t="shared" si="0"/>
        <v>3.5355339059327376E-2</v>
      </c>
      <c r="W66">
        <f t="shared" si="0"/>
        <v>14.849242404917497</v>
      </c>
      <c r="X66">
        <f t="shared" si="0"/>
        <v>7.0710678118654746</v>
      </c>
      <c r="Y66">
        <f t="shared" si="0"/>
        <v>134.35028842544403</v>
      </c>
      <c r="Z66">
        <f t="shared" si="0"/>
        <v>2.9698484809834995</v>
      </c>
      <c r="AA66">
        <f t="shared" si="0"/>
        <v>18.384776310850235</v>
      </c>
      <c r="AB66">
        <f t="shared" si="0"/>
        <v>3.6769552621700466E-2</v>
      </c>
      <c r="AC66">
        <f t="shared" si="0"/>
        <v>4.2426406871192849E-3</v>
      </c>
      <c r="AD66">
        <f t="shared" si="0"/>
        <v>205.06096654409876</v>
      </c>
      <c r="AE66">
        <f t="shared" si="0"/>
        <v>2.8284271247461902E-4</v>
      </c>
      <c r="AF66">
        <f t="shared" si="0"/>
        <v>2.1213203435596424E-3</v>
      </c>
      <c r="AG66">
        <f t="shared" si="0"/>
        <v>0.33941125496954277</v>
      </c>
      <c r="AH66">
        <f t="shared" si="0"/>
        <v>4.2426406871192844E-4</v>
      </c>
      <c r="AI66">
        <f t="shared" si="0"/>
        <v>6.3639610306789269E-3</v>
      </c>
      <c r="AJ66">
        <f t="shared" si="0"/>
        <v>1.8384776310850233E-2</v>
      </c>
      <c r="AK66">
        <f t="shared" si="0"/>
        <v>1.3435028842544402E-2</v>
      </c>
      <c r="AL66">
        <f t="shared" si="0"/>
        <v>1.4142135623730951E-4</v>
      </c>
      <c r="AM66">
        <f t="shared" si="0"/>
        <v>4.9497474683058318E-4</v>
      </c>
      <c r="AN66">
        <f t="shared" si="0"/>
        <v>7.0710678118654752E-2</v>
      </c>
      <c r="AP66">
        <f t="shared" si="0"/>
        <v>29.203510063004408</v>
      </c>
    </row>
    <row r="67" spans="1:42">
      <c r="A67" t="s">
        <v>602</v>
      </c>
      <c r="C67">
        <f>COUNTIF(C3:C33,"&lt;1")</f>
        <v>1</v>
      </c>
      <c r="D67">
        <f>COUNTIF(D3:D33,"&lt;.07")</f>
        <v>26</v>
      </c>
      <c r="E67">
        <f>COUNTIF(E3:E33,"2.7")</f>
        <v>1</v>
      </c>
      <c r="F67">
        <f>COUNTIF(F3:F33,"&lt;0.2")</f>
        <v>0</v>
      </c>
      <c r="G67">
        <f>COUNTIF(G3:G33,"&lt;g65")</f>
        <v>28</v>
      </c>
      <c r="H67">
        <f>COUNTIF(H3:H33,"&lt;0.2")</f>
        <v>25</v>
      </c>
      <c r="I67">
        <f>COUNTIF(I3:I33,"&lt;0.09")</f>
        <v>7</v>
      </c>
      <c r="J67">
        <f>COUNTIF(J3:J33,"&lt;1.2")</f>
        <v>0</v>
      </c>
      <c r="K67">
        <f>COUNTIF(K3:K33,"&lt;k65")</f>
        <v>26</v>
      </c>
      <c r="L67">
        <f>COUNTIF(L3:L33,"&lt;l65")</f>
        <v>0</v>
      </c>
      <c r="M67">
        <f>COUNTIF(M3:M33,"&lt;m65")</f>
        <v>0</v>
      </c>
      <c r="N67">
        <f>COUNTIF(N3:N33,"&lt;0.8")</f>
        <v>0</v>
      </c>
      <c r="O67">
        <f>COUNTIF(O3:O33,"&lt;o65")</f>
        <v>28</v>
      </c>
      <c r="P67">
        <f>COUNTIF(P3:P33,"&lt;p65")</f>
        <v>28</v>
      </c>
      <c r="Q67">
        <f>COUNTIF(Q3:Q33,"&lt;q65")</f>
        <v>28</v>
      </c>
      <c r="R67">
        <f>COUNTIF(R3:R33,"&lt;0.05")</f>
        <v>0</v>
      </c>
      <c r="S67">
        <f>COUNTIF(S3:S33,"&lt;S65")</f>
        <v>28</v>
      </c>
      <c r="T67">
        <f>COUNTIF(T3:T33,"&lt;0.07")</f>
        <v>0</v>
      </c>
      <c r="U67">
        <f>COUNTIF(U3:U33,"&lt;0.05")</f>
        <v>11</v>
      </c>
      <c r="V67">
        <f>COUNTIF(V3:V33,"&lt;V65")</f>
        <v>26</v>
      </c>
      <c r="W67">
        <f>COUNTIF(W3:W33,"&lt;21")</f>
        <v>0</v>
      </c>
      <c r="X67">
        <f>COUNTIF(X3:X33,"&lt;X65")</f>
        <v>0</v>
      </c>
      <c r="Y67">
        <f>COUNTIF(Y3:Y33,"&lt;Y65")</f>
        <v>0</v>
      </c>
      <c r="Z67">
        <f>COUNTIF(Z3:Z33,"&lt;Z65")</f>
        <v>0</v>
      </c>
      <c r="AA67">
        <f>COUNTIF(AA3:AA33,"&lt;AA65")</f>
        <v>0</v>
      </c>
      <c r="AB67">
        <f>COUNTIF(AB3:AB33,"&lt;AB65")</f>
        <v>0</v>
      </c>
      <c r="AC67">
        <f>COUNTIF(AC3:AC33,"&lt;AC65")</f>
        <v>0</v>
      </c>
      <c r="AD67">
        <f>COUNTIF(AD3:AD33,"&lt;AD65")</f>
        <v>0</v>
      </c>
      <c r="AE67">
        <f>COUNTIF(AE3:AE33,"&lt;.0004")</f>
        <v>0</v>
      </c>
      <c r="AF67">
        <f>COUNTIF(AF3:AF33,"&lt;AF65")</f>
        <v>0</v>
      </c>
      <c r="AG67">
        <f>COUNTIF(AG3:AG33,"&lt;AG65")</f>
        <v>0</v>
      </c>
      <c r="AH67">
        <f>COUNTIF(AH3:AH33,"&lt;AH65")</f>
        <v>28</v>
      </c>
      <c r="AI67">
        <f>COUNTIF(AI3:AI33,"&lt;AI65")</f>
        <v>0</v>
      </c>
      <c r="AJ67">
        <f>COUNTIF(AJ3:AJ33,"&lt;AJ65")</f>
        <v>0</v>
      </c>
      <c r="AK67">
        <f>COUNTIF(AK3:AK33,"&lt;AK65")</f>
        <v>0</v>
      </c>
      <c r="AL67">
        <f>COUNTIF(AL3:AL33,"&lt;.0002")</f>
        <v>22</v>
      </c>
      <c r="AM67">
        <f>COUNTIF(AM3:AM33,"&lt;.0007")</f>
        <v>23</v>
      </c>
      <c r="AN67">
        <f>COUNTIF(AN3:AN33,"&lt;.1")</f>
        <v>7</v>
      </c>
      <c r="AP67">
        <f>COUNTIF(AP3:AP33,"&lt;AP65")</f>
        <v>0</v>
      </c>
    </row>
    <row r="68" spans="1:42">
      <c r="A68" t="s">
        <v>603</v>
      </c>
      <c r="C68">
        <f>COUNTIF(C35:C63,"&lt;1")</f>
        <v>0</v>
      </c>
      <c r="D68">
        <f>COUNTIF(D35:D63,"&lt;.07")</f>
        <v>28</v>
      </c>
      <c r="E68">
        <f>COUNTIF(E35:E63,"&lt;2.7")</f>
        <v>4</v>
      </c>
      <c r="F68">
        <f>COUNTIF(F35:F63,"&lt;0.2")</f>
        <v>1</v>
      </c>
      <c r="G68">
        <f>COUNTIF(G35:G63,"&lt;G65")</f>
        <v>29</v>
      </c>
      <c r="H68">
        <f>COUNTIF(H35:H63,"&lt;0.2")</f>
        <v>23</v>
      </c>
      <c r="I68">
        <f>COUNTIF(I35:I63,"&lt;0.09")</f>
        <v>11</v>
      </c>
      <c r="J68">
        <f>COUNTIF(J35:J63,"&lt;1.2")</f>
        <v>0</v>
      </c>
      <c r="K68">
        <f>COUNTIF(K35:K63,"&lt;K65")</f>
        <v>29</v>
      </c>
      <c r="L68">
        <f>COUNTIF(L35:L63,"LC65")</f>
        <v>0</v>
      </c>
      <c r="M68">
        <f>COUNTIF(M35:M63,"&lt;M65")</f>
        <v>1</v>
      </c>
      <c r="N68">
        <f>COUNTIF(N35:N63,"&lt;0.8")</f>
        <v>2</v>
      </c>
      <c r="O68">
        <f>COUNTIF(O35:O63,"&lt;O65")</f>
        <v>29</v>
      </c>
      <c r="P68">
        <f>COUNTIF(P35:P63,"&lt;P65")</f>
        <v>29</v>
      </c>
      <c r="Q68">
        <f>COUNTIF(Q35:Q63,"&lt;Q65")</f>
        <v>29</v>
      </c>
      <c r="R68">
        <f>COUNTIF(R35:R63,"&lt;0.05")</f>
        <v>2</v>
      </c>
      <c r="S68">
        <f>COUNTIF(S35:S63,"&lt;s65")</f>
        <v>29</v>
      </c>
      <c r="T68">
        <f>COUNTIF(T35:T63,"&lt;0.07")</f>
        <v>2</v>
      </c>
      <c r="U68">
        <f>COUNTIF(U35:U63,"&lt;0.05")</f>
        <v>7</v>
      </c>
      <c r="V68">
        <f>COUNTIF(V35:V63,"&lt;v65")</f>
        <v>28</v>
      </c>
      <c r="W68">
        <f>COUNTIF(W35:W63,"&lt;21")</f>
        <v>0</v>
      </c>
      <c r="X68">
        <f>COUNTIF(X35:X63,"&lt;x65")</f>
        <v>0</v>
      </c>
      <c r="Y68">
        <f>COUNTIF(Y35:Y63,"&lt;y65")</f>
        <v>0</v>
      </c>
      <c r="Z68">
        <f>COUNTIF(Z35:Z63,"&lt;z65")</f>
        <v>0</v>
      </c>
      <c r="AA68">
        <f>COUNTIF(AA35:AA63,"&lt;aa65")</f>
        <v>0</v>
      </c>
      <c r="AB68">
        <f>COUNTIF(AB35:AB63,"&lt;ab65")</f>
        <v>0</v>
      </c>
      <c r="AC68">
        <f>COUNTIF(AC35:AC63,"&lt;ac65")</f>
        <v>0</v>
      </c>
      <c r="AD68">
        <f>COUNTIF(AD35:AD63,"&lt;ad65")</f>
        <v>0</v>
      </c>
      <c r="AE68">
        <f>COUNTIF(AE35:AE63,"&lt;.0004")</f>
        <v>2</v>
      </c>
      <c r="AF68">
        <f>COUNTIF(AF35:AF63,"&lt;af65")</f>
        <v>0</v>
      </c>
      <c r="AG68">
        <f>COUNTIF(AG35:AG63,"&lt;ag65")</f>
        <v>0</v>
      </c>
      <c r="AH68">
        <f>COUNTIF(AH35:AH63,"&lt;ah65")</f>
        <v>28</v>
      </c>
      <c r="AI68">
        <f>COUNTIF(AI35:AI63,"&lt;ai65")</f>
        <v>0</v>
      </c>
      <c r="AJ68">
        <f>COUNTIF(AJ35:AJ63,"&lt;Caj5")</f>
        <v>0</v>
      </c>
      <c r="AK68">
        <f>COUNTIF(AK35:AK63,"&lt;ak65")</f>
        <v>0</v>
      </c>
      <c r="AL68">
        <f>COUNTIF(AL35:AL63,"&lt;.0002")</f>
        <v>22</v>
      </c>
      <c r="AM68">
        <f>COUNTIF(AM35:AM63,"&lt;.0007")</f>
        <v>19</v>
      </c>
      <c r="AN68">
        <f>COUNTIF(AN35:AN63,"&lt;.1")</f>
        <v>8</v>
      </c>
      <c r="AP68">
        <f>COUNTIF(AP35:AP63,"&lt;ap65")</f>
        <v>0</v>
      </c>
    </row>
    <row r="69" spans="1:42">
      <c r="A69" t="s">
        <v>604</v>
      </c>
      <c r="C69" s="108">
        <f>C67/28</f>
        <v>3.5714285714285712E-2</v>
      </c>
      <c r="D69" s="108">
        <f t="shared" ref="D69:AP70" si="1">D67/28</f>
        <v>0.9285714285714286</v>
      </c>
      <c r="E69" s="108">
        <f t="shared" si="1"/>
        <v>3.5714285714285712E-2</v>
      </c>
      <c r="F69" s="108">
        <f t="shared" si="1"/>
        <v>0</v>
      </c>
      <c r="G69" s="108">
        <f t="shared" si="1"/>
        <v>1</v>
      </c>
      <c r="H69" s="108">
        <f t="shared" si="1"/>
        <v>0.8928571428571429</v>
      </c>
      <c r="I69" s="108">
        <f t="shared" si="1"/>
        <v>0.25</v>
      </c>
      <c r="J69" s="108">
        <f t="shared" si="1"/>
        <v>0</v>
      </c>
      <c r="K69" s="108">
        <f t="shared" si="1"/>
        <v>0.9285714285714286</v>
      </c>
      <c r="L69" s="108">
        <f t="shared" si="1"/>
        <v>0</v>
      </c>
      <c r="M69" s="108">
        <f t="shared" si="1"/>
        <v>0</v>
      </c>
      <c r="N69" s="108">
        <f t="shared" si="1"/>
        <v>0</v>
      </c>
      <c r="O69" s="108">
        <f t="shared" si="1"/>
        <v>1</v>
      </c>
      <c r="P69" s="108">
        <f t="shared" si="1"/>
        <v>1</v>
      </c>
      <c r="Q69" s="108">
        <f t="shared" si="1"/>
        <v>1</v>
      </c>
      <c r="R69" s="108">
        <f t="shared" si="1"/>
        <v>0</v>
      </c>
      <c r="S69" s="108">
        <f t="shared" si="1"/>
        <v>1</v>
      </c>
      <c r="T69" s="108">
        <f t="shared" si="1"/>
        <v>0</v>
      </c>
      <c r="U69" s="108">
        <f t="shared" si="1"/>
        <v>0.39285714285714285</v>
      </c>
      <c r="V69" s="108">
        <f t="shared" si="1"/>
        <v>0.9285714285714286</v>
      </c>
      <c r="W69" s="108">
        <f t="shared" si="1"/>
        <v>0</v>
      </c>
      <c r="X69" s="108">
        <f t="shared" si="1"/>
        <v>0</v>
      </c>
      <c r="Y69" s="108">
        <f t="shared" si="1"/>
        <v>0</v>
      </c>
      <c r="Z69" s="108">
        <f t="shared" si="1"/>
        <v>0</v>
      </c>
      <c r="AA69" s="108">
        <f t="shared" si="1"/>
        <v>0</v>
      </c>
      <c r="AB69" s="108">
        <f t="shared" si="1"/>
        <v>0</v>
      </c>
      <c r="AC69" s="108">
        <f t="shared" si="1"/>
        <v>0</v>
      </c>
      <c r="AD69" s="108">
        <f t="shared" si="1"/>
        <v>0</v>
      </c>
      <c r="AE69" s="108">
        <f t="shared" si="1"/>
        <v>0</v>
      </c>
      <c r="AF69" s="108">
        <f t="shared" si="1"/>
        <v>0</v>
      </c>
      <c r="AG69" s="108">
        <f t="shared" si="1"/>
        <v>0</v>
      </c>
      <c r="AH69" s="108">
        <f t="shared" si="1"/>
        <v>1</v>
      </c>
      <c r="AI69" s="108">
        <f t="shared" si="1"/>
        <v>0</v>
      </c>
      <c r="AJ69" s="108">
        <f t="shared" si="1"/>
        <v>0</v>
      </c>
      <c r="AK69" s="108">
        <f t="shared" si="1"/>
        <v>0</v>
      </c>
      <c r="AL69" s="108">
        <f t="shared" si="1"/>
        <v>0.7857142857142857</v>
      </c>
      <c r="AM69" s="108">
        <f t="shared" si="1"/>
        <v>0.8214285714285714</v>
      </c>
      <c r="AN69" s="108">
        <f t="shared" si="1"/>
        <v>0.25</v>
      </c>
      <c r="AO69" s="108"/>
      <c r="AP69" s="108">
        <f t="shared" si="1"/>
        <v>0</v>
      </c>
    </row>
    <row r="70" spans="1:42">
      <c r="A70" t="s">
        <v>605</v>
      </c>
      <c r="C70" s="108">
        <f>C68/28</f>
        <v>0</v>
      </c>
      <c r="D70" s="108">
        <f t="shared" si="1"/>
        <v>1</v>
      </c>
      <c r="E70" s="108">
        <f t="shared" si="1"/>
        <v>0.14285714285714285</v>
      </c>
      <c r="F70" s="108">
        <f t="shared" si="1"/>
        <v>3.5714285714285712E-2</v>
      </c>
      <c r="G70" s="108">
        <f t="shared" si="1"/>
        <v>1.0357142857142858</v>
      </c>
      <c r="H70" s="108">
        <f t="shared" si="1"/>
        <v>0.8214285714285714</v>
      </c>
      <c r="I70" s="108">
        <f t="shared" si="1"/>
        <v>0.39285714285714285</v>
      </c>
      <c r="J70" s="108">
        <f t="shared" si="1"/>
        <v>0</v>
      </c>
      <c r="K70" s="108">
        <f t="shared" si="1"/>
        <v>1.0357142857142858</v>
      </c>
      <c r="L70" s="108">
        <f t="shared" si="1"/>
        <v>0</v>
      </c>
      <c r="M70" s="108">
        <f t="shared" si="1"/>
        <v>3.5714285714285712E-2</v>
      </c>
      <c r="N70" s="108">
        <f t="shared" si="1"/>
        <v>7.1428571428571425E-2</v>
      </c>
      <c r="O70" s="108">
        <f t="shared" si="1"/>
        <v>1.0357142857142858</v>
      </c>
      <c r="P70" s="108">
        <f t="shared" si="1"/>
        <v>1.0357142857142858</v>
      </c>
      <c r="Q70" s="108">
        <f t="shared" si="1"/>
        <v>1.0357142857142858</v>
      </c>
      <c r="R70" s="108">
        <f t="shared" si="1"/>
        <v>7.1428571428571425E-2</v>
      </c>
      <c r="S70" s="108">
        <f t="shared" si="1"/>
        <v>1.0357142857142858</v>
      </c>
      <c r="T70" s="108">
        <f t="shared" si="1"/>
        <v>7.1428571428571425E-2</v>
      </c>
      <c r="U70" s="108">
        <f t="shared" si="1"/>
        <v>0.25</v>
      </c>
      <c r="V70" s="108">
        <f t="shared" si="1"/>
        <v>1</v>
      </c>
      <c r="W70" s="108">
        <f t="shared" si="1"/>
        <v>0</v>
      </c>
      <c r="X70" s="108">
        <f t="shared" si="1"/>
        <v>0</v>
      </c>
      <c r="Y70" s="108">
        <f t="shared" si="1"/>
        <v>0</v>
      </c>
      <c r="Z70" s="108">
        <f t="shared" si="1"/>
        <v>0</v>
      </c>
      <c r="AA70" s="108">
        <f t="shared" si="1"/>
        <v>0</v>
      </c>
      <c r="AB70" s="108">
        <f t="shared" si="1"/>
        <v>0</v>
      </c>
      <c r="AC70" s="108">
        <f t="shared" si="1"/>
        <v>0</v>
      </c>
      <c r="AD70" s="108">
        <f t="shared" si="1"/>
        <v>0</v>
      </c>
      <c r="AE70" s="108">
        <f t="shared" si="1"/>
        <v>7.1428571428571425E-2</v>
      </c>
      <c r="AF70" s="108">
        <f t="shared" si="1"/>
        <v>0</v>
      </c>
      <c r="AG70" s="108">
        <f t="shared" si="1"/>
        <v>0</v>
      </c>
      <c r="AH70" s="108">
        <f t="shared" si="1"/>
        <v>1</v>
      </c>
      <c r="AI70" s="108">
        <f t="shared" si="1"/>
        <v>0</v>
      </c>
      <c r="AJ70" s="108">
        <f t="shared" si="1"/>
        <v>0</v>
      </c>
      <c r="AK70" s="108">
        <f t="shared" si="1"/>
        <v>0</v>
      </c>
      <c r="AL70" s="108">
        <f t="shared" si="1"/>
        <v>0.7857142857142857</v>
      </c>
      <c r="AM70" s="108">
        <f t="shared" si="1"/>
        <v>0.6785714285714286</v>
      </c>
      <c r="AN70" s="108">
        <f t="shared" si="1"/>
        <v>0.2857142857142857</v>
      </c>
      <c r="AO70" s="108"/>
      <c r="AP70" s="108">
        <f t="shared" si="1"/>
        <v>0</v>
      </c>
    </row>
    <row r="71" spans="1:42">
      <c r="D71" s="20" t="s">
        <v>606</v>
      </c>
      <c r="G71" s="20" t="s">
        <v>607</v>
      </c>
      <c r="K71" s="20" t="s">
        <v>606</v>
      </c>
      <c r="O71" s="20" t="s">
        <v>607</v>
      </c>
      <c r="P71" s="20"/>
      <c r="Q71" s="20"/>
      <c r="S71" s="20" t="s">
        <v>607</v>
      </c>
      <c r="V71" s="20" t="s">
        <v>608</v>
      </c>
      <c r="AH71" s="20" t="s">
        <v>609</v>
      </c>
    </row>
    <row r="73" spans="1:42">
      <c r="A73" t="s">
        <v>489</v>
      </c>
      <c r="C73">
        <f t="shared" ref="C73:AN73" si="2">COUNT(C3:C33)</f>
        <v>28</v>
      </c>
      <c r="D73">
        <f t="shared" si="2"/>
        <v>28</v>
      </c>
      <c r="E73">
        <f t="shared" si="2"/>
        <v>28</v>
      </c>
      <c r="F73">
        <f t="shared" si="2"/>
        <v>28</v>
      </c>
      <c r="G73">
        <f t="shared" si="2"/>
        <v>0</v>
      </c>
      <c r="H73">
        <f t="shared" si="2"/>
        <v>28</v>
      </c>
      <c r="I73">
        <f t="shared" si="2"/>
        <v>28</v>
      </c>
      <c r="J73">
        <f t="shared" si="2"/>
        <v>28</v>
      </c>
      <c r="K73">
        <f t="shared" si="2"/>
        <v>2</v>
      </c>
      <c r="L73">
        <f t="shared" si="2"/>
        <v>28</v>
      </c>
      <c r="M73">
        <f t="shared" si="2"/>
        <v>28</v>
      </c>
      <c r="N73">
        <f t="shared" si="2"/>
        <v>28</v>
      </c>
      <c r="O73">
        <f t="shared" si="2"/>
        <v>0</v>
      </c>
      <c r="P73">
        <f t="shared" si="2"/>
        <v>0</v>
      </c>
      <c r="Q73">
        <f t="shared" si="2"/>
        <v>0</v>
      </c>
      <c r="R73">
        <f t="shared" si="2"/>
        <v>28</v>
      </c>
      <c r="S73">
        <f t="shared" si="2"/>
        <v>0</v>
      </c>
      <c r="T73">
        <f t="shared" si="2"/>
        <v>26</v>
      </c>
      <c r="U73">
        <f t="shared" si="2"/>
        <v>28</v>
      </c>
      <c r="V73">
        <f t="shared" si="2"/>
        <v>2</v>
      </c>
      <c r="W73">
        <f t="shared" si="2"/>
        <v>28</v>
      </c>
      <c r="X73">
        <f t="shared" si="2"/>
        <v>28</v>
      </c>
      <c r="Y73">
        <f t="shared" si="2"/>
        <v>28</v>
      </c>
      <c r="Z73">
        <f t="shared" si="2"/>
        <v>28</v>
      </c>
      <c r="AA73">
        <f t="shared" si="2"/>
        <v>28</v>
      </c>
      <c r="AB73">
        <f t="shared" si="2"/>
        <v>28</v>
      </c>
      <c r="AC73">
        <f t="shared" si="2"/>
        <v>28</v>
      </c>
      <c r="AD73">
        <f t="shared" si="2"/>
        <v>28</v>
      </c>
      <c r="AE73">
        <f t="shared" si="2"/>
        <v>28</v>
      </c>
      <c r="AF73">
        <f t="shared" si="2"/>
        <v>28</v>
      </c>
      <c r="AG73">
        <f t="shared" si="2"/>
        <v>28</v>
      </c>
      <c r="AH73">
        <f t="shared" si="2"/>
        <v>0</v>
      </c>
      <c r="AI73">
        <f t="shared" si="2"/>
        <v>28</v>
      </c>
      <c r="AJ73">
        <f t="shared" si="2"/>
        <v>28</v>
      </c>
      <c r="AK73">
        <f t="shared" si="2"/>
        <v>28</v>
      </c>
      <c r="AL73">
        <f t="shared" si="2"/>
        <v>28</v>
      </c>
      <c r="AM73">
        <f t="shared" si="2"/>
        <v>28</v>
      </c>
      <c r="AN73">
        <f t="shared" si="2"/>
        <v>28</v>
      </c>
      <c r="AP73">
        <f>COUNT(AP3:AP33)</f>
        <v>28</v>
      </c>
    </row>
    <row r="74" spans="1:42">
      <c r="A74" t="s">
        <v>610</v>
      </c>
      <c r="C74">
        <f t="shared" ref="C74:AN74" si="3">COUNT(C35:C63)</f>
        <v>28</v>
      </c>
      <c r="D74">
        <f t="shared" si="3"/>
        <v>28</v>
      </c>
      <c r="E74">
        <f t="shared" si="3"/>
        <v>29</v>
      </c>
      <c r="F74">
        <f t="shared" si="3"/>
        <v>29</v>
      </c>
      <c r="G74">
        <f t="shared" si="3"/>
        <v>0</v>
      </c>
      <c r="H74">
        <f t="shared" si="3"/>
        <v>28</v>
      </c>
      <c r="I74">
        <f t="shared" si="3"/>
        <v>28</v>
      </c>
      <c r="J74">
        <f t="shared" si="3"/>
        <v>29</v>
      </c>
      <c r="K74">
        <f t="shared" si="3"/>
        <v>0</v>
      </c>
      <c r="L74">
        <f t="shared" si="3"/>
        <v>29</v>
      </c>
      <c r="M74">
        <f t="shared" si="3"/>
        <v>28</v>
      </c>
      <c r="N74">
        <f t="shared" si="3"/>
        <v>29</v>
      </c>
      <c r="O74">
        <f t="shared" si="3"/>
        <v>0</v>
      </c>
      <c r="P74">
        <f t="shared" si="3"/>
        <v>0</v>
      </c>
      <c r="Q74">
        <f t="shared" si="3"/>
        <v>0</v>
      </c>
      <c r="R74">
        <f t="shared" si="3"/>
        <v>29</v>
      </c>
      <c r="S74">
        <f t="shared" si="3"/>
        <v>0</v>
      </c>
      <c r="T74">
        <f t="shared" si="3"/>
        <v>29</v>
      </c>
      <c r="U74">
        <f t="shared" si="3"/>
        <v>28</v>
      </c>
      <c r="V74">
        <f t="shared" si="3"/>
        <v>1</v>
      </c>
      <c r="W74">
        <f t="shared" si="3"/>
        <v>29</v>
      </c>
      <c r="X74">
        <f t="shared" si="3"/>
        <v>29</v>
      </c>
      <c r="Y74">
        <f t="shared" si="3"/>
        <v>29</v>
      </c>
      <c r="Z74">
        <f t="shared" si="3"/>
        <v>29</v>
      </c>
      <c r="AA74">
        <f t="shared" si="3"/>
        <v>29</v>
      </c>
      <c r="AB74">
        <f t="shared" si="3"/>
        <v>29</v>
      </c>
      <c r="AC74">
        <f t="shared" si="3"/>
        <v>29</v>
      </c>
      <c r="AD74">
        <f t="shared" si="3"/>
        <v>29</v>
      </c>
      <c r="AE74">
        <f t="shared" si="3"/>
        <v>29</v>
      </c>
      <c r="AF74">
        <f t="shared" si="3"/>
        <v>29</v>
      </c>
      <c r="AG74">
        <f t="shared" si="3"/>
        <v>29</v>
      </c>
      <c r="AH74">
        <f t="shared" si="3"/>
        <v>1</v>
      </c>
      <c r="AI74">
        <f t="shared" si="3"/>
        <v>29</v>
      </c>
      <c r="AJ74">
        <f t="shared" si="3"/>
        <v>29</v>
      </c>
      <c r="AK74">
        <f t="shared" si="3"/>
        <v>29</v>
      </c>
      <c r="AL74">
        <f t="shared" si="3"/>
        <v>28</v>
      </c>
      <c r="AM74">
        <f t="shared" si="3"/>
        <v>28</v>
      </c>
      <c r="AN74">
        <f t="shared" si="3"/>
        <v>28</v>
      </c>
      <c r="AP74">
        <f>COUNT(AP35:AP63)</f>
        <v>29</v>
      </c>
    </row>
    <row r="76" spans="1:42">
      <c r="A76" t="s">
        <v>611</v>
      </c>
      <c r="C76" s="109">
        <f>AVERAGE(C3:C33)</f>
        <v>4.8323928571428585</v>
      </c>
      <c r="D76" s="109"/>
      <c r="E76" s="109">
        <f>AVERAGE(E3:E33)</f>
        <v>11.911035714285713</v>
      </c>
      <c r="F76" s="109">
        <f>AVERAGE(F3:F33)</f>
        <v>1.6535714285714287</v>
      </c>
      <c r="G76" s="109"/>
      <c r="H76" s="109">
        <f>AVERAGE(H3:H33)</f>
        <v>0.49410714285714336</v>
      </c>
      <c r="I76" s="109">
        <f>AVERAGE(I3:I33)</f>
        <v>0.16841</v>
      </c>
      <c r="J76" s="109">
        <f>AVERAGE(J3:J33)</f>
        <v>3.6857142857142859</v>
      </c>
      <c r="K76" s="109"/>
      <c r="L76" s="109">
        <f>AVERAGE(L3:L33)</f>
        <v>0.18435142857142858</v>
      </c>
      <c r="M76" s="109">
        <f>AVERAGE(M3:M33)</f>
        <v>0.31264642857142866</v>
      </c>
      <c r="N76" s="109">
        <f>AVERAGE(N3:N33)</f>
        <v>3.1249999999999996</v>
      </c>
      <c r="O76" s="109"/>
      <c r="P76" s="109"/>
      <c r="Q76" s="109"/>
      <c r="R76" s="109">
        <f>AVERAGE(R3:R33)</f>
        <v>0.15964285714285714</v>
      </c>
      <c r="S76" s="109"/>
      <c r="T76" s="109">
        <f>AVERAGE(T3:T33)</f>
        <v>0.5823076923076923</v>
      </c>
      <c r="U76" s="109">
        <f>AVERAGE(U3:U33)</f>
        <v>8.6387500000000034E-2</v>
      </c>
      <c r="V76" s="109"/>
      <c r="W76" s="109">
        <f t="shared" ref="W76:AG76" si="4">AVERAGE(W3:W33)</f>
        <v>94.642857142857139</v>
      </c>
      <c r="X76" s="109">
        <f t="shared" si="4"/>
        <v>25.75</v>
      </c>
      <c r="Y76" s="109">
        <f t="shared" si="4"/>
        <v>592.14285714285711</v>
      </c>
      <c r="Z76" s="109">
        <f t="shared" si="4"/>
        <v>113.53571428571429</v>
      </c>
      <c r="AA76" s="109">
        <f t="shared" si="4"/>
        <v>73.714285714285708</v>
      </c>
      <c r="AB76" s="109">
        <f t="shared" si="4"/>
        <v>0.31467857142857142</v>
      </c>
      <c r="AC76" s="109">
        <f t="shared" si="4"/>
        <v>1.0500000000000006E-2</v>
      </c>
      <c r="AD76" s="109">
        <f t="shared" si="4"/>
        <v>558.92857142857144</v>
      </c>
      <c r="AE76" s="110">
        <f t="shared" si="4"/>
        <v>1.0178571428571433E-3</v>
      </c>
      <c r="AF76" s="109">
        <f t="shared" si="4"/>
        <v>3.9857142857142869E-2</v>
      </c>
      <c r="AG76" s="109">
        <f t="shared" si="4"/>
        <v>1.5160714285714285</v>
      </c>
      <c r="AH76" s="109"/>
      <c r="AI76" s="109">
        <f t="shared" ref="AI76:AN76" si="5">AVERAGE(AI3:AI33)</f>
        <v>6.2249999999999993E-2</v>
      </c>
      <c r="AJ76" s="109">
        <f t="shared" si="5"/>
        <v>4.8142857142857147E-2</v>
      </c>
      <c r="AK76" s="109">
        <f t="shared" si="5"/>
        <v>0.14442857142857143</v>
      </c>
      <c r="AL76" s="110">
        <f t="shared" si="5"/>
        <v>1.8578571428571423E-4</v>
      </c>
      <c r="AM76" s="110">
        <f t="shared" si="5"/>
        <v>6.1732142857142866E-4</v>
      </c>
      <c r="AN76" s="109">
        <f t="shared" si="5"/>
        <v>0.21446346428571433</v>
      </c>
      <c r="AO76" s="109"/>
      <c r="AP76" s="109">
        <f>AVERAGE(AP3:AP33)</f>
        <v>141.87142857142857</v>
      </c>
    </row>
    <row r="77" spans="1:42">
      <c r="A77" t="s">
        <v>612</v>
      </c>
      <c r="C77" s="109">
        <f>AVERAGE(C35:C63)</f>
        <v>3.8178571428571426</v>
      </c>
      <c r="D77" s="109"/>
      <c r="E77" s="109">
        <f>AVERAGE(E35:E63)</f>
        <v>11.046068965517239</v>
      </c>
      <c r="F77" s="109">
        <f>AVERAGE(F35:F63)</f>
        <v>1.308324137931034</v>
      </c>
      <c r="G77" s="109"/>
      <c r="H77" s="109">
        <f>AVERAGE(H35:H63)</f>
        <v>0.87686428571428621</v>
      </c>
      <c r="I77" s="109">
        <f>AVERAGE(I35:I63)</f>
        <v>0.14250142857142856</v>
      </c>
      <c r="J77" s="109">
        <f>AVERAGE(J35:J63)</f>
        <v>3.1862068965517238</v>
      </c>
      <c r="K77" s="109"/>
      <c r="L77" s="109">
        <f>AVERAGE(L35:L63)</f>
        <v>0.17774344827586211</v>
      </c>
      <c r="M77" s="109">
        <f>AVERAGE(M35:M63)</f>
        <v>0.26978928571428579</v>
      </c>
      <c r="N77" s="109">
        <f>AVERAGE(N35:N63)</f>
        <v>2.622951724137931</v>
      </c>
      <c r="O77" s="109"/>
      <c r="P77" s="109"/>
      <c r="Q77" s="109"/>
      <c r="R77" s="109">
        <f>AVERAGE(R35:R63)</f>
        <v>0.13036896551724139</v>
      </c>
      <c r="S77" s="109"/>
      <c r="T77" s="109">
        <f>AVERAGE(T35:T63)</f>
        <v>0.53099931034482761</v>
      </c>
      <c r="U77" s="109">
        <f>AVERAGE(U35:U63)</f>
        <v>0.12669464285714291</v>
      </c>
      <c r="V77" s="109"/>
      <c r="W77" s="109">
        <f t="shared" ref="W77:AG77" si="6">AVERAGE(W35:W63)</f>
        <v>86.758620689655174</v>
      </c>
      <c r="X77" s="109">
        <f t="shared" si="6"/>
        <v>24.448275862068964</v>
      </c>
      <c r="Y77" s="109">
        <f t="shared" si="6"/>
        <v>658.27586206896547</v>
      </c>
      <c r="Z77" s="109">
        <f t="shared" si="6"/>
        <v>91.455172413793093</v>
      </c>
      <c r="AA77" s="109">
        <f t="shared" si="6"/>
        <v>66.310344827586206</v>
      </c>
      <c r="AB77" s="109">
        <f t="shared" si="6"/>
        <v>0.30127586206896545</v>
      </c>
      <c r="AC77" s="109">
        <f t="shared" si="6"/>
        <v>9.8620689655172442E-3</v>
      </c>
      <c r="AD77" s="109">
        <f t="shared" si="6"/>
        <v>510.34482758620692</v>
      </c>
      <c r="AE77" s="110">
        <f t="shared" si="6"/>
        <v>8.574374284465255E-4</v>
      </c>
      <c r="AF77" s="109">
        <f t="shared" si="6"/>
        <v>5.0137931034482747E-2</v>
      </c>
      <c r="AG77" s="109">
        <f t="shared" si="6"/>
        <v>1.3355172413793104</v>
      </c>
      <c r="AH77" s="109"/>
      <c r="AI77" s="109">
        <f t="shared" ref="AI77:AN77" si="7">AVERAGE(AI35:AI63)</f>
        <v>6.9724137931034491E-2</v>
      </c>
      <c r="AJ77" s="109">
        <f t="shared" si="7"/>
        <v>4.8620689655172411E-2</v>
      </c>
      <c r="AK77" s="109">
        <f t="shared" si="7"/>
        <v>0.12410344827586209</v>
      </c>
      <c r="AL77" s="110">
        <f t="shared" si="7"/>
        <v>1.6792857142857142E-4</v>
      </c>
      <c r="AM77" s="110">
        <f t="shared" si="7"/>
        <v>7.8232142857142845E-4</v>
      </c>
      <c r="AN77" s="109">
        <f t="shared" si="7"/>
        <v>0.1769888571428572</v>
      </c>
      <c r="AO77" s="109"/>
      <c r="AP77" s="109">
        <f>AVERAGE(AP35:AP63)</f>
        <v>148.55172413793105</v>
      </c>
    </row>
    <row r="78" spans="1:42">
      <c r="A78" t="s">
        <v>613</v>
      </c>
      <c r="C78" s="109">
        <f>STDEV(C3:C33)</f>
        <v>7.8067474819770171</v>
      </c>
      <c r="D78" s="109"/>
      <c r="E78" s="109">
        <f>STDEV(E3:E33)</f>
        <v>17.868373333666103</v>
      </c>
      <c r="F78" s="109">
        <f>STDEV(F3:F33)</f>
        <v>1.3560514965795587</v>
      </c>
      <c r="G78" s="109"/>
      <c r="H78" s="109">
        <f>STDEV(H3:H33)</f>
        <v>1.6356432269517127</v>
      </c>
      <c r="I78" s="109">
        <f>STDEV(I3:I33)</f>
        <v>0.14122694638483546</v>
      </c>
      <c r="J78" s="109">
        <f>STDEV(J3:J33)</f>
        <v>1.3623819787727138</v>
      </c>
      <c r="K78" s="109"/>
      <c r="L78" s="109">
        <f>STDEV(L3:L33)</f>
        <v>0.12894266879090349</v>
      </c>
      <c r="M78" s="109">
        <f>STDEV(M3:M33)</f>
        <v>0.25803936748480377</v>
      </c>
      <c r="N78" s="109">
        <f>STDEV(N3:N33)</f>
        <v>1.6401501737928141</v>
      </c>
      <c r="O78" s="109"/>
      <c r="P78" s="109"/>
      <c r="Q78" s="109"/>
      <c r="R78" s="109">
        <f>STDEV(R3:R33)</f>
        <v>8.6985828682230787E-2</v>
      </c>
      <c r="S78" s="109"/>
      <c r="T78" s="109">
        <f>STDEV(T3:T33)</f>
        <v>1.0125939272672246</v>
      </c>
      <c r="U78" s="109">
        <f>STDEV(U3:U33)</f>
        <v>8.3994586052382622E-2</v>
      </c>
      <c r="V78" s="109"/>
      <c r="W78" s="109">
        <f t="shared" ref="W78:AG78" si="8">STDEV(W3:W33)</f>
        <v>57.550759743811788</v>
      </c>
      <c r="X78" s="109">
        <f t="shared" si="8"/>
        <v>11.856003323836191</v>
      </c>
      <c r="Y78" s="109">
        <f t="shared" si="8"/>
        <v>217.58535392665163</v>
      </c>
      <c r="Z78" s="109">
        <f t="shared" si="8"/>
        <v>72.903529428791046</v>
      </c>
      <c r="AA78" s="109">
        <f t="shared" si="8"/>
        <v>22.58294529040484</v>
      </c>
      <c r="AB78" s="109">
        <f t="shared" si="8"/>
        <v>0.20621492807468275</v>
      </c>
      <c r="AC78" s="109">
        <f t="shared" si="8"/>
        <v>3.4694433324435328E-3</v>
      </c>
      <c r="AD78" s="109">
        <f t="shared" si="8"/>
        <v>251.04727731990127</v>
      </c>
      <c r="AE78" s="110">
        <f t="shared" si="8"/>
        <v>4.9966920274248676E-4</v>
      </c>
      <c r="AF78" s="109">
        <f t="shared" si="8"/>
        <v>2.9726798342279283E-2</v>
      </c>
      <c r="AG78" s="109">
        <f t="shared" si="8"/>
        <v>0.88073344555342226</v>
      </c>
      <c r="AH78" s="109"/>
      <c r="AI78" s="109">
        <f t="shared" ref="AI78:AN78" si="9">STDEV(AI3:AI33)</f>
        <v>4.4037547111022833E-2</v>
      </c>
      <c r="AJ78" s="109">
        <f t="shared" si="9"/>
        <v>1.2613086342761126E-2</v>
      </c>
      <c r="AK78" s="109">
        <f t="shared" si="9"/>
        <v>8.0090887525050267E-2</v>
      </c>
      <c r="AL78" s="110">
        <f t="shared" si="9"/>
        <v>1.0200303450201396E-4</v>
      </c>
      <c r="AM78" s="110">
        <f t="shared" si="9"/>
        <v>3.2059979131383772E-4</v>
      </c>
      <c r="AN78" s="109">
        <f t="shared" si="9"/>
        <v>0.13663307829405655</v>
      </c>
      <c r="AO78" s="109"/>
      <c r="AP78" s="109">
        <f>STDEV(AP3:AP33)</f>
        <v>59.470608097725282</v>
      </c>
    </row>
    <row r="79" spans="1:42">
      <c r="A79" t="s">
        <v>614</v>
      </c>
      <c r="C79" s="109">
        <f>STDEV(C35:C63)</f>
        <v>2.3371482419311591</v>
      </c>
      <c r="D79" s="109"/>
      <c r="E79" s="109">
        <f>STDEV(E35:E63)</f>
        <v>12.651642434118513</v>
      </c>
      <c r="F79" s="109">
        <f>STDEV(F35:F63)</f>
        <v>0.84304601876392016</v>
      </c>
      <c r="G79" s="109"/>
      <c r="H79" s="109">
        <f>STDEV(H35:H63)</f>
        <v>2.5888715814701801</v>
      </c>
      <c r="I79" s="109">
        <f>STDEV(I35:I63)</f>
        <v>9.8894658797249249E-2</v>
      </c>
      <c r="J79" s="109">
        <f>STDEV(J35:J63)</f>
        <v>1.1840379270985719</v>
      </c>
      <c r="K79" s="109"/>
      <c r="L79" s="109">
        <f>STDEV(L35:L63)</f>
        <v>7.7921877006756998E-2</v>
      </c>
      <c r="M79" s="109">
        <f>STDEV(M35:M63)</f>
        <v>0.11493949564327349</v>
      </c>
      <c r="N79" s="109">
        <f>STDEV(N35:N63)</f>
        <v>1.2333680179030937</v>
      </c>
      <c r="O79" s="109"/>
      <c r="P79" s="109"/>
      <c r="Q79" s="109"/>
      <c r="R79" s="109">
        <f>STDEV(R35:R63)</f>
        <v>7.5996545285428554E-2</v>
      </c>
      <c r="S79" s="109"/>
      <c r="T79" s="109">
        <f>STDEV(T35:T63)</f>
        <v>0.47801863233957009</v>
      </c>
      <c r="U79" s="109">
        <f>STDEV(U35:U63)</f>
        <v>0.10232563248194794</v>
      </c>
      <c r="V79" s="109"/>
      <c r="W79" s="109">
        <f t="shared" ref="W79:AG79" si="10">STDEV(W35:W63)</f>
        <v>51.382080792830742</v>
      </c>
      <c r="X79" s="109">
        <f t="shared" si="10"/>
        <v>10.551188852773729</v>
      </c>
      <c r="Y79" s="109">
        <f t="shared" si="10"/>
        <v>200.34022785389797</v>
      </c>
      <c r="Z79" s="109">
        <f t="shared" si="10"/>
        <v>59.586741012019608</v>
      </c>
      <c r="AA79" s="109">
        <f t="shared" si="10"/>
        <v>26.574831605804153</v>
      </c>
      <c r="AB79" s="109">
        <f t="shared" si="10"/>
        <v>0.15952852332324347</v>
      </c>
      <c r="AC79" s="109">
        <f t="shared" si="10"/>
        <v>6.9164614091054713E-3</v>
      </c>
      <c r="AD79" s="109">
        <f t="shared" si="10"/>
        <v>188.48044155108144</v>
      </c>
      <c r="AE79" s="110">
        <f t="shared" si="10"/>
        <v>4.4758202092191505E-4</v>
      </c>
      <c r="AF79" s="109">
        <f t="shared" si="10"/>
        <v>2.5781671421395255E-2</v>
      </c>
      <c r="AG79" s="109">
        <f t="shared" si="10"/>
        <v>0.72857780350731671</v>
      </c>
      <c r="AH79" s="109"/>
      <c r="AI79" s="109">
        <f t="shared" ref="AI79:AN79" si="11">STDEV(AI35:AI63)</f>
        <v>5.3524291248876699E-2</v>
      </c>
      <c r="AJ79" s="109">
        <f t="shared" si="11"/>
        <v>1.641735534884493E-2</v>
      </c>
      <c r="AK79" s="109">
        <f t="shared" si="11"/>
        <v>5.9122357885747788E-2</v>
      </c>
      <c r="AL79" s="110">
        <f t="shared" si="11"/>
        <v>6.3181647928181137E-5</v>
      </c>
      <c r="AM79" s="110">
        <f t="shared" si="11"/>
        <v>5.9779607904067249E-4</v>
      </c>
      <c r="AN79" s="109">
        <f t="shared" si="11"/>
        <v>0.10463318797402879</v>
      </c>
      <c r="AO79" s="109"/>
      <c r="AP79" s="109">
        <f>STDEV(AP35:AP63)</f>
        <v>66.451602263224302</v>
      </c>
    </row>
    <row r="81" spans="1:42">
      <c r="A81" t="s">
        <v>20</v>
      </c>
      <c r="C81" s="1">
        <f>TTEST(C3:C33,C35:C63,2,3)</f>
        <v>0.5147817003653945</v>
      </c>
      <c r="D81" s="1"/>
      <c r="E81" s="1">
        <f>TTEST(E3:E33,E35:E63,2,3)</f>
        <v>0.83434041092461131</v>
      </c>
      <c r="F81" s="1">
        <f>TTEST(F3:F33,F35:F63,2,3)</f>
        <v>0.25637194319643114</v>
      </c>
      <c r="G81" s="1"/>
      <c r="H81" s="1">
        <f>TTEST(H3:H33,H35:H63,2,3)</f>
        <v>0.5116918010364977</v>
      </c>
      <c r="I81" s="1">
        <f>TTEST(I3:I33,I35:I63,2,3)</f>
        <v>0.43040117246487208</v>
      </c>
      <c r="J81" s="1">
        <f>TTEST(J3:J33,J35:J63,2,3)</f>
        <v>0.14599901604724266</v>
      </c>
      <c r="K81" s="1"/>
      <c r="L81" s="1">
        <f>TTEST(L3:L33,L35:L63,2,3)</f>
        <v>0.81671085207667715</v>
      </c>
      <c r="M81" s="1">
        <f>TTEST(M3:M33,M35:M63,2,3)</f>
        <v>0.42716889897756916</v>
      </c>
      <c r="N81" s="1">
        <f>TTEST(N3:N33,N35:N63,2,3)</f>
        <v>0.19863656845960811</v>
      </c>
      <c r="O81" s="1"/>
      <c r="P81" s="1"/>
      <c r="Q81" s="1"/>
      <c r="R81" s="1">
        <f>TTEST(R3:R33,R35:R63,2,3)</f>
        <v>0.18232698115698553</v>
      </c>
      <c r="S81" s="1"/>
      <c r="T81" s="1">
        <f>TTEST(T3:T33,T35:T63,2,3)</f>
        <v>0.81491296103913546</v>
      </c>
      <c r="U81" s="1">
        <f>TTEST(U3:U33,U35:U63,2,3)</f>
        <v>0.11320780811586295</v>
      </c>
      <c r="V81" s="1"/>
      <c r="W81" s="1">
        <f t="shared" ref="W81:AG81" si="12">TTEST(W3:W33,W35:W63,2,3)</f>
        <v>0.58804800893616638</v>
      </c>
      <c r="X81" s="1">
        <f t="shared" si="12"/>
        <v>0.6636121156239132</v>
      </c>
      <c r="Y81" s="1">
        <f t="shared" si="12"/>
        <v>0.23820401915102965</v>
      </c>
      <c r="Z81" s="1">
        <f t="shared" si="12"/>
        <v>0.21704045109536324</v>
      </c>
      <c r="AA81" s="1">
        <f t="shared" si="12"/>
        <v>0.2614473147262335</v>
      </c>
      <c r="AB81" s="1">
        <f t="shared" si="12"/>
        <v>0.7853530064483234</v>
      </c>
      <c r="AC81" s="1">
        <f t="shared" si="12"/>
        <v>0.66050550038178479</v>
      </c>
      <c r="AD81" s="1">
        <f t="shared" si="12"/>
        <v>0.41381304623332127</v>
      </c>
      <c r="AE81" s="1">
        <f t="shared" si="12"/>
        <v>0.20769886563638376</v>
      </c>
      <c r="AF81" s="1">
        <f t="shared" si="12"/>
        <v>0.16944330326254367</v>
      </c>
      <c r="AG81" s="1">
        <f t="shared" si="12"/>
        <v>0.40374243382145669</v>
      </c>
      <c r="AH81" s="1"/>
      <c r="AI81" s="1">
        <f t="shared" ref="AI81:AN81" si="13">TTEST(AI3:AI33,AI35:AI63,2,3)</f>
        <v>0.56664821602938797</v>
      </c>
      <c r="AJ81" s="1">
        <f t="shared" si="13"/>
        <v>0.90220341636864787</v>
      </c>
      <c r="AK81" s="1">
        <f t="shared" si="13"/>
        <v>0.28228397529047611</v>
      </c>
      <c r="AL81" s="1">
        <f t="shared" si="13"/>
        <v>0.43510025917515793</v>
      </c>
      <c r="AM81" s="1">
        <f t="shared" si="13"/>
        <v>0.20521509925682038</v>
      </c>
      <c r="AN81" s="1">
        <f t="shared" si="13"/>
        <v>0.25463595769585745</v>
      </c>
      <c r="AO81" s="1"/>
      <c r="AP81" s="1">
        <f>TTEST(AP3:AP33,AP35:AP63,2,3)</f>
        <v>0.69053978895151746</v>
      </c>
    </row>
    <row r="82" spans="1:42">
      <c r="A82" t="s">
        <v>21</v>
      </c>
      <c r="C82" s="108">
        <f>C76/C77 -1</f>
        <v>0.2657343311506084</v>
      </c>
      <c r="D82" s="108"/>
      <c r="E82" s="108">
        <f t="shared" ref="E82:AP82" si="14">E76/E77 -1</f>
        <v>7.8305390946648901E-2</v>
      </c>
      <c r="F82" s="108">
        <f t="shared" si="14"/>
        <v>0.26388513414295334</v>
      </c>
      <c r="G82" s="108"/>
      <c r="H82" s="108">
        <f t="shared" si="14"/>
        <v>-0.43650670815649895</v>
      </c>
      <c r="I82" s="108">
        <f t="shared" si="14"/>
        <v>0.18181271365700602</v>
      </c>
      <c r="J82" s="108">
        <f t="shared" si="14"/>
        <v>0.15677179962894261</v>
      </c>
      <c r="K82" s="108"/>
      <c r="L82" s="108">
        <f t="shared" si="14"/>
        <v>3.7177068182624229E-2</v>
      </c>
      <c r="M82" s="108">
        <f t="shared" si="14"/>
        <v>0.15885413219311362</v>
      </c>
      <c r="N82" s="108">
        <f t="shared" si="14"/>
        <v>0.1914058391704001</v>
      </c>
      <c r="O82" s="108"/>
      <c r="P82" s="108"/>
      <c r="Q82" s="108"/>
      <c r="R82" s="108">
        <f t="shared" si="14"/>
        <v>0.22454647476468814</v>
      </c>
      <c r="S82" s="108"/>
      <c r="T82" s="108">
        <f t="shared" si="14"/>
        <v>9.6626080228890299E-2</v>
      </c>
      <c r="U82" s="108">
        <f t="shared" si="14"/>
        <v>-0.31814401894318456</v>
      </c>
      <c r="V82" s="108"/>
      <c r="W82" s="108">
        <f t="shared" si="14"/>
        <v>9.0875539404951189E-2</v>
      </c>
      <c r="X82" s="108">
        <f t="shared" si="14"/>
        <v>5.3244005641748915E-2</v>
      </c>
      <c r="Y82" s="108">
        <f t="shared" si="14"/>
        <v>-0.10046396767192989</v>
      </c>
      <c r="Z82" s="108">
        <f t="shared" si="14"/>
        <v>0.24143568142889471</v>
      </c>
      <c r="AA82" s="108">
        <f t="shared" si="14"/>
        <v>0.11165589480722082</v>
      </c>
      <c r="AB82" s="108">
        <f t="shared" si="14"/>
        <v>4.4486502395395755E-2</v>
      </c>
      <c r="AC82" s="108">
        <f t="shared" si="14"/>
        <v>6.4685314685315021E-2</v>
      </c>
      <c r="AD82" s="108">
        <f t="shared" si="14"/>
        <v>9.5197876447876473E-2</v>
      </c>
      <c r="AE82" s="108">
        <f t="shared" si="14"/>
        <v>0.18709203620987314</v>
      </c>
      <c r="AF82" s="108">
        <f t="shared" si="14"/>
        <v>-0.20505010807624247</v>
      </c>
      <c r="AG82" s="108">
        <f t="shared" si="14"/>
        <v>0.13519420161558027</v>
      </c>
      <c r="AH82" s="108"/>
      <c r="AI82" s="108">
        <f t="shared" si="14"/>
        <v>-0.10719584569732954</v>
      </c>
      <c r="AJ82" s="108">
        <f t="shared" si="14"/>
        <v>-9.8277608915905423E-3</v>
      </c>
      <c r="AK82" s="108">
        <f t="shared" si="14"/>
        <v>0.16377565196681609</v>
      </c>
      <c r="AL82" s="108">
        <f t="shared" si="14"/>
        <v>0.10633772862611623</v>
      </c>
      <c r="AM82" s="108">
        <f t="shared" si="14"/>
        <v>-0.21091075097009793</v>
      </c>
      <c r="AN82" s="108">
        <f t="shared" si="14"/>
        <v>0.21173427382837651</v>
      </c>
      <c r="AO82" s="108"/>
      <c r="AP82" s="108">
        <f t="shared" si="14"/>
        <v>-4.4969491975063169E-2</v>
      </c>
    </row>
    <row r="92" spans="1:42">
      <c r="A92" s="2" t="s">
        <v>771</v>
      </c>
      <c r="B92" s="2" t="s">
        <v>543</v>
      </c>
      <c r="C92" s="2">
        <v>2.6</v>
      </c>
      <c r="D92" s="2" t="s">
        <v>544</v>
      </c>
      <c r="E92" s="2">
        <v>7.4</v>
      </c>
      <c r="F92" s="2">
        <v>3.5</v>
      </c>
      <c r="G92" s="2" t="s">
        <v>544</v>
      </c>
      <c r="H92" s="2" t="s">
        <v>544</v>
      </c>
      <c r="I92" s="2">
        <v>0.2</v>
      </c>
      <c r="J92" s="2">
        <v>9.5</v>
      </c>
      <c r="K92" s="2" t="s">
        <v>544</v>
      </c>
      <c r="L92" s="2">
        <v>0.5</v>
      </c>
      <c r="M92" s="2">
        <v>0.9</v>
      </c>
      <c r="N92" s="2">
        <v>3.9</v>
      </c>
      <c r="O92" s="2" t="s">
        <v>544</v>
      </c>
      <c r="P92" s="2" t="s">
        <v>544</v>
      </c>
      <c r="Q92" s="2" t="s">
        <v>544</v>
      </c>
      <c r="R92" s="2">
        <v>0.4</v>
      </c>
      <c r="S92" s="2" t="s">
        <v>544</v>
      </c>
      <c r="T92" s="2">
        <v>0.4</v>
      </c>
      <c r="U92" s="2">
        <v>7.0000000000000007E-2</v>
      </c>
      <c r="V92" s="2" t="s">
        <v>544</v>
      </c>
      <c r="W92" s="2">
        <v>36</v>
      </c>
      <c r="X92" s="2">
        <v>47</v>
      </c>
      <c r="Y92" s="2">
        <v>470</v>
      </c>
      <c r="Z92" s="2">
        <v>200</v>
      </c>
      <c r="AA92" s="2">
        <v>79</v>
      </c>
      <c r="AB92" s="2">
        <v>0.28000000000000003</v>
      </c>
      <c r="AC92" s="2">
        <v>1.2E-2</v>
      </c>
      <c r="AD92" s="2">
        <v>550</v>
      </c>
      <c r="AE92" s="2">
        <v>3.0000000000000001E-3</v>
      </c>
      <c r="AF92" s="2">
        <v>1.9E-2</v>
      </c>
      <c r="AG92" s="2">
        <v>3.7</v>
      </c>
      <c r="AH92" s="2" t="s">
        <v>544</v>
      </c>
      <c r="AI92" s="2">
        <v>2.5000000000000001E-2</v>
      </c>
      <c r="AJ92" s="2">
        <v>4.5999999999999999E-2</v>
      </c>
      <c r="AK92" s="2">
        <v>0.18</v>
      </c>
      <c r="AL92" s="2" t="s">
        <v>544</v>
      </c>
      <c r="AM92" s="2" t="s">
        <v>544</v>
      </c>
      <c r="AN92" s="2">
        <v>0.37</v>
      </c>
      <c r="AO92" s="2"/>
      <c r="AP92" s="2">
        <v>99.9</v>
      </c>
    </row>
    <row r="94" spans="1:42">
      <c r="A94" s="2" t="s">
        <v>772</v>
      </c>
      <c r="B94" s="2" t="s">
        <v>543</v>
      </c>
      <c r="C94" s="2">
        <v>1.4</v>
      </c>
      <c r="D94" s="2" t="s">
        <v>544</v>
      </c>
      <c r="E94" s="2">
        <v>7.6</v>
      </c>
      <c r="F94" s="2">
        <v>0.4</v>
      </c>
      <c r="G94" s="2" t="s">
        <v>544</v>
      </c>
      <c r="H94" s="2" t="s">
        <v>544</v>
      </c>
      <c r="I94" s="2">
        <v>0.2</v>
      </c>
      <c r="J94" s="2">
        <v>2.2999999999999998</v>
      </c>
      <c r="K94" s="2" t="s">
        <v>544</v>
      </c>
      <c r="L94" s="2">
        <v>0.09</v>
      </c>
      <c r="M94" s="2">
        <v>0.3</v>
      </c>
      <c r="N94" s="2">
        <v>1</v>
      </c>
      <c r="O94" s="2" t="s">
        <v>544</v>
      </c>
      <c r="P94" s="2" t="s">
        <v>544</v>
      </c>
      <c r="Q94" s="2" t="s">
        <v>544</v>
      </c>
      <c r="R94" s="2">
        <v>0.1</v>
      </c>
      <c r="S94" s="2" t="s">
        <v>544</v>
      </c>
      <c r="T94" s="2">
        <v>1</v>
      </c>
      <c r="U94" s="2">
        <v>0.04</v>
      </c>
      <c r="V94" s="2" t="s">
        <v>544</v>
      </c>
      <c r="W94" s="2">
        <v>32</v>
      </c>
      <c r="X94" s="2">
        <v>25</v>
      </c>
      <c r="Y94" s="2">
        <v>320</v>
      </c>
      <c r="Z94" s="2">
        <v>41</v>
      </c>
      <c r="AA94" s="2">
        <v>39</v>
      </c>
      <c r="AB94" s="2">
        <v>0.15</v>
      </c>
      <c r="AC94" s="2">
        <v>5.0000000000000001E-3</v>
      </c>
      <c r="AD94" s="2">
        <v>290</v>
      </c>
      <c r="AE94" s="2">
        <v>6.9999999999999999E-4</v>
      </c>
      <c r="AF94" s="2">
        <v>1.0999999999999999E-2</v>
      </c>
      <c r="AG94" s="2">
        <v>0.86</v>
      </c>
      <c r="AH94" s="2" t="s">
        <v>544</v>
      </c>
      <c r="AI94" s="2">
        <v>1.4E-2</v>
      </c>
      <c r="AJ94" s="2">
        <v>0.03</v>
      </c>
      <c r="AK94" s="2">
        <v>4.5999999999999999E-2</v>
      </c>
      <c r="AL94" s="2" t="s">
        <v>544</v>
      </c>
      <c r="AM94" s="2" t="s">
        <v>544</v>
      </c>
      <c r="AN94" s="2">
        <v>7.5999999999999998E-2</v>
      </c>
      <c r="AO94" s="2"/>
      <c r="AP94" s="2">
        <v>286</v>
      </c>
    </row>
    <row r="96" spans="1:42">
      <c r="A96" s="2" t="s">
        <v>773</v>
      </c>
      <c r="B96" s="2" t="s">
        <v>543</v>
      </c>
      <c r="C96" s="2" t="s">
        <v>544</v>
      </c>
      <c r="D96" s="2" t="s">
        <v>544</v>
      </c>
      <c r="E96" s="2">
        <v>4.9000000000000004</v>
      </c>
      <c r="F96" s="2">
        <v>0.3</v>
      </c>
      <c r="G96" s="2" t="s">
        <v>544</v>
      </c>
      <c r="H96" s="2" t="s">
        <v>544</v>
      </c>
      <c r="I96" s="2" t="s">
        <v>544</v>
      </c>
      <c r="J96" s="2">
        <v>3.6</v>
      </c>
      <c r="K96" s="2" t="s">
        <v>544</v>
      </c>
      <c r="L96" s="2">
        <v>0.2</v>
      </c>
      <c r="M96" s="2" t="s">
        <v>544</v>
      </c>
      <c r="N96" s="2">
        <v>0.6</v>
      </c>
      <c r="O96" s="2" t="s">
        <v>544</v>
      </c>
      <c r="P96" s="2" t="s">
        <v>544</v>
      </c>
      <c r="Q96" s="2" t="s">
        <v>544</v>
      </c>
      <c r="R96" s="2">
        <v>0.09</v>
      </c>
      <c r="S96" s="2" t="s">
        <v>544</v>
      </c>
      <c r="T96" s="2">
        <v>1.2</v>
      </c>
      <c r="U96" s="2" t="s">
        <v>544</v>
      </c>
      <c r="V96" s="2" t="s">
        <v>544</v>
      </c>
      <c r="W96" s="2">
        <v>43</v>
      </c>
      <c r="X96" s="2">
        <v>31</v>
      </c>
      <c r="Y96" s="2">
        <v>470</v>
      </c>
      <c r="Z96" s="2">
        <v>18</v>
      </c>
      <c r="AA96" s="2">
        <v>17</v>
      </c>
      <c r="AB96" s="2">
        <v>0.11</v>
      </c>
      <c r="AC96" s="2">
        <v>8.0000000000000002E-3</v>
      </c>
      <c r="AD96" s="2">
        <v>310</v>
      </c>
      <c r="AE96" s="2">
        <v>8.9999999999999998E-4</v>
      </c>
      <c r="AF96" s="2">
        <v>0.04</v>
      </c>
      <c r="AG96" s="2">
        <v>1.7</v>
      </c>
      <c r="AH96" s="2" t="s">
        <v>544</v>
      </c>
      <c r="AI96" s="2">
        <v>0.05</v>
      </c>
      <c r="AJ96" s="2">
        <v>2.9000000000000001E-2</v>
      </c>
      <c r="AK96" s="2">
        <v>2.5000000000000001E-2</v>
      </c>
      <c r="AL96" s="2" t="s">
        <v>544</v>
      </c>
      <c r="AM96" s="2" t="s">
        <v>544</v>
      </c>
      <c r="AN96" s="2" t="s">
        <v>544</v>
      </c>
      <c r="AO96" s="2"/>
      <c r="AP96" s="2">
        <v>177</v>
      </c>
    </row>
  </sheetData>
  <conditionalFormatting sqref="C3:AN20 C92:AN92 C22:AN49 C94:AN94 C51:AN63 C96:AN96">
    <cfRule type="containsText" dxfId="5" priority="3" operator="containsText" text="&lt;dl">
      <formula>NOT(ISERROR(SEARCH("&lt;dl",C3)))</formula>
    </cfRule>
  </conditionalFormatting>
  <conditionalFormatting sqref="C1:AN1">
    <cfRule type="containsText" dxfId="4" priority="2" operator="containsText" text="&lt;dl">
      <formula>NOT(ISERROR(SEARCH("&lt;dl",C1)))</formula>
    </cfRule>
  </conditionalFormatting>
  <conditionalFormatting sqref="C50:AN50">
    <cfRule type="containsText" dxfId="3" priority="1" operator="containsText" text="&lt;dl">
      <formula>NOT(ISERROR(SEARCH("&lt;dl",C50)))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8"/>
  <sheetViews>
    <sheetView topLeftCell="I1" workbookViewId="0">
      <selection activeCell="Y3" sqref="Y3"/>
    </sheetView>
  </sheetViews>
  <sheetFormatPr defaultColWidth="10.42578125" defaultRowHeight="15"/>
  <cols>
    <col min="1" max="1" width="21.42578125" customWidth="1"/>
    <col min="2" max="2" width="9.85546875" customWidth="1"/>
    <col min="3" max="3" width="13" bestFit="1" customWidth="1"/>
  </cols>
  <sheetData>
    <row r="1" spans="1:27" s="22" customFormat="1">
      <c r="B1" s="22" t="s">
        <v>319</v>
      </c>
      <c r="C1" s="22" t="s">
        <v>320</v>
      </c>
      <c r="D1" s="22" t="s">
        <v>321</v>
      </c>
      <c r="E1" s="22" t="s">
        <v>322</v>
      </c>
      <c r="F1" s="22" t="s">
        <v>323</v>
      </c>
      <c r="G1" s="22" t="s">
        <v>324</v>
      </c>
      <c r="H1" s="22" t="s">
        <v>325</v>
      </c>
      <c r="I1" s="22" t="s">
        <v>326</v>
      </c>
      <c r="J1" s="22" t="s">
        <v>327</v>
      </c>
      <c r="K1" s="22" t="s">
        <v>328</v>
      </c>
      <c r="L1" s="22" t="s">
        <v>329</v>
      </c>
      <c r="M1" s="22" t="s">
        <v>330</v>
      </c>
      <c r="N1" s="22" t="s">
        <v>331</v>
      </c>
      <c r="O1" s="22" t="s">
        <v>332</v>
      </c>
      <c r="P1" s="22" t="s">
        <v>333</v>
      </c>
      <c r="Q1" s="22" t="s">
        <v>334</v>
      </c>
      <c r="R1" s="22" t="s">
        <v>335</v>
      </c>
      <c r="S1" s="22" t="s">
        <v>336</v>
      </c>
      <c r="T1" s="22" t="s">
        <v>337</v>
      </c>
      <c r="W1" s="22" t="s">
        <v>132</v>
      </c>
      <c r="X1" s="22" t="s">
        <v>338</v>
      </c>
      <c r="Y1" s="22" t="s">
        <v>784</v>
      </c>
      <c r="AA1" s="22" t="s">
        <v>488</v>
      </c>
    </row>
    <row r="2" spans="1:27" s="22" customFormat="1"/>
    <row r="3" spans="1:27">
      <c r="A3" t="s">
        <v>40</v>
      </c>
      <c r="B3" s="21">
        <v>0</v>
      </c>
      <c r="C3">
        <v>0</v>
      </c>
      <c r="D3">
        <v>0</v>
      </c>
      <c r="E3">
        <v>0</v>
      </c>
      <c r="F3">
        <v>0</v>
      </c>
      <c r="G3">
        <v>0</v>
      </c>
      <c r="H3">
        <v>0</v>
      </c>
      <c r="I3">
        <v>0</v>
      </c>
      <c r="J3">
        <v>0</v>
      </c>
      <c r="K3">
        <v>0</v>
      </c>
      <c r="L3">
        <v>1</v>
      </c>
      <c r="M3">
        <v>0</v>
      </c>
      <c r="N3">
        <v>3</v>
      </c>
      <c r="O3">
        <v>0</v>
      </c>
      <c r="P3">
        <v>0</v>
      </c>
      <c r="W3">
        <f>SUM(B3:T3)</f>
        <v>4</v>
      </c>
      <c r="X3">
        <f>COUNT(B3:Q3, S3)</f>
        <v>15</v>
      </c>
      <c r="Y3" s="1">
        <f>W3/X3</f>
        <v>0.26666666666666666</v>
      </c>
      <c r="AA3">
        <f>SQRT(Y3)</f>
        <v>0.5163977794943222</v>
      </c>
    </row>
    <row r="4" spans="1:27">
      <c r="A4" t="s">
        <v>41</v>
      </c>
      <c r="B4">
        <v>0</v>
      </c>
      <c r="C4">
        <v>0</v>
      </c>
      <c r="D4">
        <v>0</v>
      </c>
      <c r="E4">
        <v>0</v>
      </c>
      <c r="F4">
        <v>1</v>
      </c>
      <c r="G4">
        <v>0</v>
      </c>
      <c r="H4">
        <v>0</v>
      </c>
      <c r="I4">
        <v>0</v>
      </c>
      <c r="J4">
        <v>0</v>
      </c>
      <c r="K4">
        <v>0</v>
      </c>
      <c r="L4">
        <v>0</v>
      </c>
      <c r="M4">
        <v>0</v>
      </c>
      <c r="N4">
        <v>0</v>
      </c>
      <c r="O4">
        <v>0</v>
      </c>
      <c r="P4">
        <v>0</v>
      </c>
      <c r="W4">
        <f t="shared" ref="W4:W61" si="0">SUM(B4:T4)</f>
        <v>1</v>
      </c>
      <c r="X4">
        <f t="shared" ref="X4:X63" si="1">COUNT(B4:Q4, S4)</f>
        <v>15</v>
      </c>
      <c r="Y4" s="1">
        <f t="shared" ref="Y4:Y63" si="2">W4/X4</f>
        <v>6.6666666666666666E-2</v>
      </c>
      <c r="AA4">
        <f t="shared" ref="AA4:AA63" si="3">SQRT(Y4)</f>
        <v>0.2581988897471611</v>
      </c>
    </row>
    <row r="5" spans="1:27">
      <c r="A5" t="s">
        <v>42</v>
      </c>
      <c r="B5">
        <v>0</v>
      </c>
      <c r="C5">
        <v>0</v>
      </c>
      <c r="D5">
        <v>1</v>
      </c>
      <c r="E5">
        <v>2</v>
      </c>
      <c r="F5">
        <v>2</v>
      </c>
      <c r="G5">
        <v>0</v>
      </c>
      <c r="H5">
        <v>1</v>
      </c>
      <c r="I5">
        <v>0</v>
      </c>
      <c r="J5">
        <v>2</v>
      </c>
      <c r="K5">
        <v>0</v>
      </c>
      <c r="L5">
        <v>0</v>
      </c>
      <c r="M5">
        <v>0</v>
      </c>
      <c r="N5">
        <v>0</v>
      </c>
      <c r="O5">
        <v>0</v>
      </c>
      <c r="P5">
        <v>0</v>
      </c>
      <c r="W5">
        <f t="shared" si="0"/>
        <v>8</v>
      </c>
      <c r="X5">
        <f t="shared" si="1"/>
        <v>15</v>
      </c>
      <c r="Y5" s="1">
        <f t="shared" si="2"/>
        <v>0.53333333333333333</v>
      </c>
      <c r="AA5">
        <f t="shared" si="3"/>
        <v>0.73029674334022143</v>
      </c>
    </row>
    <row r="6" spans="1:27">
      <c r="A6" t="s">
        <v>43</v>
      </c>
      <c r="B6">
        <v>0</v>
      </c>
      <c r="C6">
        <v>0</v>
      </c>
      <c r="D6">
        <v>1</v>
      </c>
      <c r="E6">
        <v>3</v>
      </c>
      <c r="F6">
        <v>2</v>
      </c>
      <c r="G6">
        <v>1</v>
      </c>
      <c r="H6">
        <v>2</v>
      </c>
      <c r="I6">
        <v>2</v>
      </c>
      <c r="J6">
        <v>2</v>
      </c>
      <c r="K6">
        <v>2</v>
      </c>
      <c r="L6">
        <v>0</v>
      </c>
      <c r="M6">
        <v>0</v>
      </c>
      <c r="N6">
        <v>0</v>
      </c>
      <c r="O6">
        <v>0</v>
      </c>
      <c r="P6">
        <v>1</v>
      </c>
      <c r="W6">
        <f t="shared" si="0"/>
        <v>16</v>
      </c>
      <c r="X6">
        <f t="shared" si="1"/>
        <v>15</v>
      </c>
      <c r="Y6" s="1">
        <f t="shared" si="2"/>
        <v>1.0666666666666667</v>
      </c>
      <c r="AA6">
        <f t="shared" si="3"/>
        <v>1.0327955589886444</v>
      </c>
    </row>
    <row r="7" spans="1:27">
      <c r="A7" t="s">
        <v>44</v>
      </c>
      <c r="B7">
        <v>3</v>
      </c>
      <c r="C7">
        <v>0</v>
      </c>
      <c r="D7">
        <v>3</v>
      </c>
      <c r="E7">
        <v>3</v>
      </c>
      <c r="F7">
        <v>3</v>
      </c>
      <c r="G7">
        <v>3</v>
      </c>
      <c r="H7">
        <v>3</v>
      </c>
      <c r="I7">
        <v>1</v>
      </c>
      <c r="J7">
        <v>2</v>
      </c>
      <c r="K7">
        <v>2</v>
      </c>
      <c r="L7">
        <v>2</v>
      </c>
      <c r="M7">
        <v>0</v>
      </c>
      <c r="N7">
        <v>2</v>
      </c>
      <c r="O7">
        <v>0</v>
      </c>
      <c r="P7">
        <v>1</v>
      </c>
      <c r="W7">
        <f t="shared" si="0"/>
        <v>28</v>
      </c>
      <c r="X7">
        <f t="shared" si="1"/>
        <v>15</v>
      </c>
      <c r="Y7" s="1">
        <f t="shared" si="2"/>
        <v>1.8666666666666667</v>
      </c>
      <c r="AA7">
        <f t="shared" si="3"/>
        <v>1.3662601021279464</v>
      </c>
    </row>
    <row r="8" spans="1:27">
      <c r="A8" t="s">
        <v>45</v>
      </c>
      <c r="B8">
        <v>0</v>
      </c>
      <c r="C8">
        <v>0</v>
      </c>
      <c r="D8">
        <v>0</v>
      </c>
      <c r="E8">
        <v>1</v>
      </c>
      <c r="F8">
        <v>0</v>
      </c>
      <c r="G8">
        <v>2</v>
      </c>
      <c r="H8">
        <v>1</v>
      </c>
      <c r="I8">
        <v>1</v>
      </c>
      <c r="J8">
        <v>0</v>
      </c>
      <c r="K8">
        <v>1</v>
      </c>
      <c r="L8">
        <v>0</v>
      </c>
      <c r="M8">
        <v>0</v>
      </c>
      <c r="N8">
        <v>0</v>
      </c>
      <c r="O8">
        <v>3</v>
      </c>
      <c r="P8">
        <v>1</v>
      </c>
      <c r="W8">
        <f t="shared" si="0"/>
        <v>10</v>
      </c>
      <c r="X8">
        <f t="shared" si="1"/>
        <v>15</v>
      </c>
      <c r="Y8" s="1">
        <f t="shared" si="2"/>
        <v>0.66666666666666663</v>
      </c>
      <c r="AA8">
        <f t="shared" si="3"/>
        <v>0.81649658092772603</v>
      </c>
    </row>
    <row r="9" spans="1:27">
      <c r="A9" s="2" t="s">
        <v>121</v>
      </c>
      <c r="B9">
        <v>2</v>
      </c>
      <c r="C9">
        <v>0</v>
      </c>
      <c r="D9">
        <v>0</v>
      </c>
      <c r="E9">
        <v>0</v>
      </c>
      <c r="F9">
        <v>1</v>
      </c>
      <c r="G9">
        <v>0</v>
      </c>
      <c r="H9">
        <v>2</v>
      </c>
      <c r="I9">
        <v>0</v>
      </c>
      <c r="J9">
        <v>1</v>
      </c>
      <c r="K9">
        <v>0</v>
      </c>
      <c r="L9">
        <v>0</v>
      </c>
      <c r="M9">
        <v>0</v>
      </c>
      <c r="N9">
        <v>1</v>
      </c>
      <c r="O9">
        <v>0</v>
      </c>
      <c r="P9">
        <v>0</v>
      </c>
      <c r="W9">
        <f t="shared" si="0"/>
        <v>7</v>
      </c>
      <c r="X9">
        <f t="shared" si="1"/>
        <v>15</v>
      </c>
      <c r="Y9" s="1">
        <f t="shared" si="2"/>
        <v>0.46666666666666667</v>
      </c>
      <c r="AA9">
        <f t="shared" si="3"/>
        <v>0.68313005106397318</v>
      </c>
    </row>
    <row r="10" spans="1:27">
      <c r="A10" t="s">
        <v>48</v>
      </c>
      <c r="B10">
        <v>0</v>
      </c>
      <c r="C10">
        <v>0</v>
      </c>
      <c r="D10">
        <v>0</v>
      </c>
      <c r="E10">
        <v>0</v>
      </c>
      <c r="F10">
        <v>0</v>
      </c>
      <c r="G10">
        <v>0</v>
      </c>
      <c r="H10">
        <v>0</v>
      </c>
      <c r="I10">
        <v>0</v>
      </c>
      <c r="J10">
        <v>0</v>
      </c>
      <c r="K10">
        <v>0</v>
      </c>
      <c r="L10">
        <v>0</v>
      </c>
      <c r="M10">
        <v>0</v>
      </c>
      <c r="N10">
        <v>0</v>
      </c>
      <c r="O10">
        <v>0</v>
      </c>
      <c r="P10">
        <v>0</v>
      </c>
      <c r="W10">
        <f t="shared" si="0"/>
        <v>0</v>
      </c>
      <c r="X10">
        <f t="shared" si="1"/>
        <v>15</v>
      </c>
      <c r="Y10" s="1">
        <f t="shared" si="2"/>
        <v>0</v>
      </c>
      <c r="AA10">
        <f t="shared" si="3"/>
        <v>0</v>
      </c>
    </row>
    <row r="11" spans="1:27">
      <c r="A11" t="s">
        <v>49</v>
      </c>
      <c r="B11">
        <v>2</v>
      </c>
      <c r="C11">
        <v>0</v>
      </c>
      <c r="D11">
        <v>1</v>
      </c>
      <c r="E11">
        <v>1</v>
      </c>
      <c r="F11">
        <v>1</v>
      </c>
      <c r="G11">
        <v>0</v>
      </c>
      <c r="H11">
        <v>0</v>
      </c>
      <c r="I11">
        <v>0</v>
      </c>
      <c r="J11">
        <v>0</v>
      </c>
      <c r="K11">
        <v>0</v>
      </c>
      <c r="L11">
        <v>0</v>
      </c>
      <c r="M11">
        <v>0</v>
      </c>
      <c r="N11">
        <v>0</v>
      </c>
      <c r="O11">
        <v>0</v>
      </c>
      <c r="P11">
        <v>0</v>
      </c>
      <c r="W11">
        <f t="shared" si="0"/>
        <v>5</v>
      </c>
      <c r="X11">
        <f t="shared" si="1"/>
        <v>15</v>
      </c>
      <c r="Y11" s="1">
        <f t="shared" si="2"/>
        <v>0.33333333333333331</v>
      </c>
      <c r="AA11">
        <f t="shared" si="3"/>
        <v>0.57735026918962573</v>
      </c>
    </row>
    <row r="12" spans="1:27">
      <c r="A12" t="s">
        <v>50</v>
      </c>
      <c r="Y12" s="1"/>
    </row>
    <row r="13" spans="1:27">
      <c r="A13" t="s">
        <v>51</v>
      </c>
      <c r="B13">
        <v>0</v>
      </c>
      <c r="C13">
        <v>0</v>
      </c>
      <c r="D13">
        <v>1</v>
      </c>
      <c r="E13">
        <v>0</v>
      </c>
      <c r="F13">
        <v>0</v>
      </c>
      <c r="G13">
        <v>0</v>
      </c>
      <c r="H13">
        <v>0</v>
      </c>
      <c r="I13">
        <v>0</v>
      </c>
      <c r="J13">
        <v>0</v>
      </c>
      <c r="K13">
        <v>0</v>
      </c>
      <c r="L13">
        <v>0</v>
      </c>
      <c r="M13">
        <v>0</v>
      </c>
      <c r="N13">
        <v>0</v>
      </c>
      <c r="O13">
        <v>0</v>
      </c>
      <c r="P13">
        <v>0</v>
      </c>
      <c r="W13">
        <f t="shared" si="0"/>
        <v>1</v>
      </c>
      <c r="X13">
        <f t="shared" si="1"/>
        <v>15</v>
      </c>
      <c r="Y13" s="1">
        <f t="shared" si="2"/>
        <v>6.6666666666666666E-2</v>
      </c>
      <c r="AA13">
        <f t="shared" si="3"/>
        <v>0.2581988897471611</v>
      </c>
    </row>
    <row r="14" spans="1:27">
      <c r="A14" t="s">
        <v>52</v>
      </c>
      <c r="Y14" s="1"/>
    </row>
    <row r="15" spans="1:27">
      <c r="A15" t="s">
        <v>53</v>
      </c>
      <c r="B15">
        <v>0</v>
      </c>
      <c r="C15">
        <v>0</v>
      </c>
      <c r="D15">
        <v>0</v>
      </c>
      <c r="E15">
        <v>0</v>
      </c>
      <c r="F15">
        <v>0</v>
      </c>
      <c r="G15">
        <v>0</v>
      </c>
      <c r="H15">
        <v>0</v>
      </c>
      <c r="I15">
        <v>0</v>
      </c>
      <c r="J15">
        <v>0</v>
      </c>
      <c r="K15">
        <v>0</v>
      </c>
      <c r="L15">
        <v>0</v>
      </c>
      <c r="M15">
        <v>0</v>
      </c>
      <c r="N15">
        <v>0</v>
      </c>
      <c r="O15">
        <v>0</v>
      </c>
      <c r="P15">
        <v>0</v>
      </c>
      <c r="W15">
        <f>SUM(B15:T15)</f>
        <v>0</v>
      </c>
      <c r="X15">
        <f>COUNT(B15:Q15, S15)</f>
        <v>15</v>
      </c>
      <c r="Y15" s="1">
        <f>W15/X15</f>
        <v>0</v>
      </c>
      <c r="AA15">
        <f t="shared" si="3"/>
        <v>0</v>
      </c>
    </row>
    <row r="16" spans="1:27">
      <c r="A16" t="s">
        <v>54</v>
      </c>
      <c r="B16">
        <v>3</v>
      </c>
      <c r="C16">
        <v>0</v>
      </c>
      <c r="D16">
        <v>1</v>
      </c>
      <c r="E16">
        <v>1</v>
      </c>
      <c r="F16">
        <v>1</v>
      </c>
      <c r="G16">
        <v>2</v>
      </c>
      <c r="H16">
        <v>3</v>
      </c>
      <c r="I16">
        <v>1</v>
      </c>
      <c r="J16">
        <v>0</v>
      </c>
      <c r="K16">
        <v>0</v>
      </c>
      <c r="L16">
        <v>0</v>
      </c>
      <c r="M16">
        <v>0</v>
      </c>
      <c r="N16">
        <v>0</v>
      </c>
      <c r="O16">
        <v>0</v>
      </c>
      <c r="P16">
        <v>0</v>
      </c>
      <c r="W16">
        <f>SUM(B16:T16)</f>
        <v>12</v>
      </c>
      <c r="X16">
        <f>COUNT(B16:Q16, S16)</f>
        <v>15</v>
      </c>
      <c r="Y16" s="1">
        <f>W16/X16</f>
        <v>0.8</v>
      </c>
      <c r="AA16">
        <f t="shared" si="3"/>
        <v>0.89442719099991586</v>
      </c>
    </row>
    <row r="17" spans="1:27">
      <c r="A17" s="2" t="s">
        <v>55</v>
      </c>
      <c r="B17">
        <v>2</v>
      </c>
      <c r="C17">
        <v>0</v>
      </c>
      <c r="D17">
        <v>1</v>
      </c>
      <c r="E17">
        <v>1</v>
      </c>
      <c r="F17">
        <v>1</v>
      </c>
      <c r="G17">
        <v>0</v>
      </c>
      <c r="H17">
        <v>0</v>
      </c>
      <c r="I17">
        <v>0</v>
      </c>
      <c r="J17">
        <v>0</v>
      </c>
      <c r="K17">
        <v>1</v>
      </c>
      <c r="L17">
        <v>0</v>
      </c>
      <c r="M17">
        <v>0</v>
      </c>
      <c r="N17">
        <v>1</v>
      </c>
      <c r="O17">
        <v>0</v>
      </c>
      <c r="P17">
        <v>0</v>
      </c>
      <c r="W17">
        <f>SUM(B17:T17)</f>
        <v>7</v>
      </c>
      <c r="X17">
        <f>COUNT(B17:Q17, S17)</f>
        <v>15</v>
      </c>
      <c r="Y17" s="1">
        <f>W17/X17</f>
        <v>0.46666666666666667</v>
      </c>
      <c r="AA17">
        <f t="shared" si="3"/>
        <v>0.68313005106397318</v>
      </c>
    </row>
    <row r="18" spans="1:27">
      <c r="A18" t="s">
        <v>56</v>
      </c>
      <c r="B18">
        <v>1</v>
      </c>
      <c r="C18">
        <v>0</v>
      </c>
      <c r="D18">
        <v>0</v>
      </c>
      <c r="E18">
        <v>1</v>
      </c>
      <c r="F18">
        <v>1</v>
      </c>
      <c r="G18">
        <v>0</v>
      </c>
      <c r="H18">
        <v>0</v>
      </c>
      <c r="I18">
        <v>1</v>
      </c>
      <c r="J18">
        <v>0</v>
      </c>
      <c r="K18">
        <v>1</v>
      </c>
      <c r="L18">
        <v>1</v>
      </c>
      <c r="M18">
        <v>0</v>
      </c>
      <c r="N18">
        <v>2</v>
      </c>
      <c r="O18">
        <v>0</v>
      </c>
      <c r="P18">
        <v>0</v>
      </c>
      <c r="W18">
        <f t="shared" si="0"/>
        <v>8</v>
      </c>
      <c r="X18">
        <f t="shared" si="1"/>
        <v>15</v>
      </c>
      <c r="Y18" s="1">
        <f t="shared" si="2"/>
        <v>0.53333333333333333</v>
      </c>
      <c r="AA18">
        <f t="shared" si="3"/>
        <v>0.73029674334022143</v>
      </c>
    </row>
    <row r="19" spans="1:27">
      <c r="A19" t="s">
        <v>114</v>
      </c>
      <c r="B19">
        <v>0</v>
      </c>
      <c r="C19">
        <v>0</v>
      </c>
      <c r="D19">
        <v>0</v>
      </c>
      <c r="E19">
        <v>0</v>
      </c>
      <c r="F19">
        <v>0</v>
      </c>
      <c r="G19">
        <v>0</v>
      </c>
      <c r="H19">
        <v>0</v>
      </c>
      <c r="I19">
        <v>0</v>
      </c>
      <c r="J19">
        <v>0</v>
      </c>
      <c r="K19">
        <v>0</v>
      </c>
      <c r="L19">
        <v>0</v>
      </c>
      <c r="M19">
        <v>0</v>
      </c>
      <c r="N19">
        <v>0</v>
      </c>
      <c r="O19">
        <v>0</v>
      </c>
      <c r="P19">
        <v>0</v>
      </c>
      <c r="W19">
        <f>SUM(B19:T19)</f>
        <v>0</v>
      </c>
      <c r="X19">
        <f t="shared" si="1"/>
        <v>15</v>
      </c>
      <c r="Y19" s="1">
        <f t="shared" si="2"/>
        <v>0</v>
      </c>
      <c r="AA19">
        <f t="shared" si="3"/>
        <v>0</v>
      </c>
    </row>
    <row r="20" spans="1:27">
      <c r="A20" t="s">
        <v>58</v>
      </c>
      <c r="B20">
        <v>1</v>
      </c>
      <c r="C20">
        <v>0</v>
      </c>
      <c r="D20">
        <v>1</v>
      </c>
      <c r="E20">
        <v>1</v>
      </c>
      <c r="F20">
        <v>2</v>
      </c>
      <c r="G20">
        <v>1</v>
      </c>
      <c r="H20">
        <v>1</v>
      </c>
      <c r="I20">
        <v>0</v>
      </c>
      <c r="J20">
        <v>1</v>
      </c>
      <c r="K20">
        <v>3</v>
      </c>
      <c r="L20">
        <v>0</v>
      </c>
      <c r="M20">
        <v>0</v>
      </c>
      <c r="N20">
        <v>1</v>
      </c>
      <c r="O20">
        <v>0</v>
      </c>
      <c r="P20">
        <v>0</v>
      </c>
      <c r="W20">
        <f>SUM(B20:T20)</f>
        <v>12</v>
      </c>
      <c r="X20">
        <f t="shared" si="1"/>
        <v>15</v>
      </c>
      <c r="Y20" s="1">
        <f t="shared" si="2"/>
        <v>0.8</v>
      </c>
      <c r="AA20">
        <f t="shared" si="3"/>
        <v>0.89442719099991586</v>
      </c>
    </row>
    <row r="21" spans="1:27">
      <c r="Y21" s="1"/>
    </row>
    <row r="22" spans="1:27">
      <c r="A22" t="s">
        <v>59</v>
      </c>
      <c r="B22">
        <v>2</v>
      </c>
      <c r="C22">
        <v>0</v>
      </c>
      <c r="D22">
        <v>0</v>
      </c>
      <c r="E22">
        <v>0</v>
      </c>
      <c r="F22">
        <v>0</v>
      </c>
      <c r="G22">
        <v>0</v>
      </c>
      <c r="H22">
        <v>0</v>
      </c>
      <c r="I22">
        <v>0</v>
      </c>
      <c r="J22">
        <v>0</v>
      </c>
      <c r="K22">
        <v>1</v>
      </c>
      <c r="L22">
        <v>0</v>
      </c>
      <c r="M22">
        <v>0</v>
      </c>
      <c r="N22">
        <v>1</v>
      </c>
      <c r="O22">
        <v>0</v>
      </c>
      <c r="P22">
        <v>0</v>
      </c>
      <c r="Q22">
        <v>1</v>
      </c>
      <c r="R22" t="s">
        <v>339</v>
      </c>
      <c r="W22">
        <f>SUM(B22:T22)</f>
        <v>5</v>
      </c>
      <c r="X22">
        <f>COUNT(B22:Q22, S22)</f>
        <v>16</v>
      </c>
      <c r="Y22" s="1">
        <f t="shared" si="2"/>
        <v>0.3125</v>
      </c>
      <c r="AA22">
        <f t="shared" si="3"/>
        <v>0.55901699437494745</v>
      </c>
    </row>
    <row r="23" spans="1:27">
      <c r="A23" t="s">
        <v>60</v>
      </c>
      <c r="B23">
        <v>3</v>
      </c>
      <c r="C23">
        <v>3</v>
      </c>
      <c r="D23">
        <v>3</v>
      </c>
      <c r="E23">
        <v>2</v>
      </c>
      <c r="F23">
        <v>3</v>
      </c>
      <c r="G23">
        <v>3</v>
      </c>
      <c r="H23">
        <v>3</v>
      </c>
      <c r="I23">
        <v>2</v>
      </c>
      <c r="J23">
        <v>2</v>
      </c>
      <c r="K23">
        <v>2</v>
      </c>
      <c r="L23">
        <v>1</v>
      </c>
      <c r="M23">
        <v>2</v>
      </c>
      <c r="N23">
        <v>2</v>
      </c>
      <c r="O23">
        <v>2</v>
      </c>
      <c r="P23">
        <v>2</v>
      </c>
      <c r="Q23">
        <v>3</v>
      </c>
      <c r="R23" t="s">
        <v>340</v>
      </c>
      <c r="S23">
        <v>2</v>
      </c>
      <c r="T23" t="s">
        <v>341</v>
      </c>
      <c r="W23">
        <f>SUM(B23:T23)</f>
        <v>40</v>
      </c>
      <c r="X23">
        <f>COUNT(B23:Q23, S23)</f>
        <v>17</v>
      </c>
      <c r="Y23" s="1">
        <f t="shared" si="2"/>
        <v>2.3529411764705883</v>
      </c>
      <c r="AA23">
        <f t="shared" si="3"/>
        <v>1.5339299776947408</v>
      </c>
    </row>
    <row r="24" spans="1:27">
      <c r="A24" t="s">
        <v>61</v>
      </c>
      <c r="B24">
        <v>1</v>
      </c>
      <c r="C24">
        <v>0</v>
      </c>
      <c r="D24">
        <v>1</v>
      </c>
      <c r="E24">
        <v>1</v>
      </c>
      <c r="F24">
        <v>2</v>
      </c>
      <c r="G24">
        <v>0</v>
      </c>
      <c r="H24">
        <v>1</v>
      </c>
      <c r="I24">
        <v>0</v>
      </c>
      <c r="J24">
        <v>0</v>
      </c>
      <c r="K24">
        <v>0</v>
      </c>
      <c r="L24">
        <v>1</v>
      </c>
      <c r="M24">
        <v>1</v>
      </c>
      <c r="N24">
        <v>1</v>
      </c>
      <c r="O24">
        <v>0</v>
      </c>
      <c r="P24">
        <v>0</v>
      </c>
      <c r="W24">
        <f t="shared" si="0"/>
        <v>9</v>
      </c>
      <c r="X24">
        <f t="shared" si="1"/>
        <v>15</v>
      </c>
      <c r="Y24" s="1">
        <f t="shared" si="2"/>
        <v>0.6</v>
      </c>
      <c r="AA24">
        <f t="shared" si="3"/>
        <v>0.7745966692414834</v>
      </c>
    </row>
    <row r="25" spans="1:27">
      <c r="A25" t="s">
        <v>63</v>
      </c>
      <c r="B25">
        <v>2</v>
      </c>
      <c r="C25">
        <v>0</v>
      </c>
      <c r="D25">
        <v>0</v>
      </c>
      <c r="E25">
        <v>1</v>
      </c>
      <c r="F25">
        <v>1</v>
      </c>
      <c r="G25">
        <v>1</v>
      </c>
      <c r="H25">
        <v>1</v>
      </c>
      <c r="I25">
        <v>0</v>
      </c>
      <c r="J25">
        <v>0</v>
      </c>
      <c r="K25">
        <v>2</v>
      </c>
      <c r="L25">
        <v>1</v>
      </c>
      <c r="M25">
        <v>0</v>
      </c>
      <c r="N25">
        <v>0</v>
      </c>
      <c r="O25">
        <v>0</v>
      </c>
      <c r="P25">
        <v>0</v>
      </c>
      <c r="W25">
        <f t="shared" si="0"/>
        <v>9</v>
      </c>
      <c r="X25">
        <f>COUNT(B25:Q25, S25)</f>
        <v>15</v>
      </c>
      <c r="Y25" s="1">
        <f t="shared" si="2"/>
        <v>0.6</v>
      </c>
      <c r="AA25">
        <f t="shared" si="3"/>
        <v>0.7745966692414834</v>
      </c>
    </row>
    <row r="26" spans="1:27">
      <c r="A26" t="s">
        <v>64</v>
      </c>
      <c r="B26">
        <v>1</v>
      </c>
      <c r="C26">
        <v>0</v>
      </c>
      <c r="D26">
        <v>1</v>
      </c>
      <c r="E26">
        <v>1</v>
      </c>
      <c r="F26">
        <v>1</v>
      </c>
      <c r="G26">
        <v>0</v>
      </c>
      <c r="H26">
        <v>1</v>
      </c>
      <c r="I26">
        <v>1</v>
      </c>
      <c r="J26">
        <v>1</v>
      </c>
      <c r="K26">
        <v>1</v>
      </c>
      <c r="L26">
        <v>2</v>
      </c>
      <c r="M26">
        <v>1</v>
      </c>
      <c r="N26">
        <v>0</v>
      </c>
      <c r="O26">
        <v>0</v>
      </c>
      <c r="P26">
        <v>0</v>
      </c>
      <c r="W26">
        <f t="shared" si="0"/>
        <v>11</v>
      </c>
      <c r="X26">
        <f t="shared" si="1"/>
        <v>15</v>
      </c>
      <c r="Y26" s="1">
        <f t="shared" si="2"/>
        <v>0.73333333333333328</v>
      </c>
      <c r="AA26">
        <f t="shared" si="3"/>
        <v>0.85634883857767519</v>
      </c>
    </row>
    <row r="27" spans="1:27">
      <c r="A27" t="s">
        <v>122</v>
      </c>
      <c r="B27">
        <v>2</v>
      </c>
      <c r="C27">
        <v>0</v>
      </c>
      <c r="D27">
        <v>1</v>
      </c>
      <c r="E27">
        <v>0</v>
      </c>
      <c r="F27">
        <v>1</v>
      </c>
      <c r="G27">
        <v>0</v>
      </c>
      <c r="H27">
        <v>0</v>
      </c>
      <c r="I27">
        <v>1</v>
      </c>
      <c r="J27">
        <v>0</v>
      </c>
      <c r="K27">
        <v>2</v>
      </c>
      <c r="L27">
        <v>1</v>
      </c>
      <c r="M27">
        <v>0</v>
      </c>
      <c r="N27">
        <v>0</v>
      </c>
      <c r="O27">
        <v>0</v>
      </c>
      <c r="P27">
        <v>0</v>
      </c>
      <c r="W27">
        <f t="shared" si="0"/>
        <v>8</v>
      </c>
      <c r="X27">
        <f t="shared" si="1"/>
        <v>15</v>
      </c>
      <c r="Y27" s="1">
        <f t="shared" si="2"/>
        <v>0.53333333333333333</v>
      </c>
      <c r="AA27">
        <f t="shared" si="3"/>
        <v>0.73029674334022143</v>
      </c>
    </row>
    <row r="28" spans="1:27">
      <c r="A28" t="s">
        <v>66</v>
      </c>
      <c r="B28">
        <v>1</v>
      </c>
      <c r="C28">
        <v>0</v>
      </c>
      <c r="D28">
        <v>1</v>
      </c>
      <c r="E28">
        <v>1</v>
      </c>
      <c r="F28">
        <v>1</v>
      </c>
      <c r="G28">
        <v>0</v>
      </c>
      <c r="H28">
        <v>1</v>
      </c>
      <c r="I28">
        <v>0</v>
      </c>
      <c r="J28">
        <v>0</v>
      </c>
      <c r="K28">
        <v>0</v>
      </c>
      <c r="L28">
        <v>0</v>
      </c>
      <c r="M28">
        <v>0</v>
      </c>
      <c r="N28">
        <v>1</v>
      </c>
      <c r="O28">
        <v>0</v>
      </c>
      <c r="P28">
        <v>0</v>
      </c>
      <c r="W28">
        <f t="shared" si="0"/>
        <v>6</v>
      </c>
      <c r="X28">
        <f t="shared" si="1"/>
        <v>15</v>
      </c>
      <c r="Y28" s="1">
        <f t="shared" si="2"/>
        <v>0.4</v>
      </c>
      <c r="AA28">
        <f t="shared" si="3"/>
        <v>0.63245553203367588</v>
      </c>
    </row>
    <row r="29" spans="1:27">
      <c r="A29" t="s">
        <v>67</v>
      </c>
      <c r="B29">
        <v>1</v>
      </c>
      <c r="C29">
        <v>0</v>
      </c>
      <c r="D29">
        <v>0</v>
      </c>
      <c r="E29">
        <v>0</v>
      </c>
      <c r="F29">
        <v>1</v>
      </c>
      <c r="G29">
        <v>0</v>
      </c>
      <c r="H29">
        <v>0</v>
      </c>
      <c r="I29">
        <v>0</v>
      </c>
      <c r="J29">
        <v>0</v>
      </c>
      <c r="K29">
        <v>0</v>
      </c>
      <c r="L29">
        <v>2</v>
      </c>
      <c r="M29">
        <v>1</v>
      </c>
      <c r="N29">
        <v>3</v>
      </c>
      <c r="O29">
        <v>0</v>
      </c>
      <c r="P29">
        <v>0</v>
      </c>
      <c r="W29">
        <f t="shared" si="0"/>
        <v>8</v>
      </c>
      <c r="X29">
        <f>COUNT(B29:Q29, S29)</f>
        <v>15</v>
      </c>
      <c r="Y29" s="1">
        <f t="shared" si="2"/>
        <v>0.53333333333333333</v>
      </c>
      <c r="AA29">
        <f t="shared" si="3"/>
        <v>0.73029674334022143</v>
      </c>
    </row>
    <row r="30" spans="1:27">
      <c r="A30" t="s">
        <v>68</v>
      </c>
      <c r="B30">
        <v>2</v>
      </c>
      <c r="C30">
        <v>0</v>
      </c>
      <c r="D30">
        <v>0</v>
      </c>
      <c r="E30">
        <v>1</v>
      </c>
      <c r="F30">
        <v>1</v>
      </c>
      <c r="G30">
        <v>0</v>
      </c>
      <c r="H30">
        <v>1</v>
      </c>
      <c r="I30">
        <v>0</v>
      </c>
      <c r="J30">
        <v>0</v>
      </c>
      <c r="K30">
        <v>0</v>
      </c>
      <c r="L30">
        <v>2</v>
      </c>
      <c r="M30">
        <v>0</v>
      </c>
      <c r="N30">
        <v>0</v>
      </c>
      <c r="O30">
        <v>0</v>
      </c>
      <c r="P30">
        <v>0</v>
      </c>
      <c r="W30">
        <f t="shared" si="0"/>
        <v>7</v>
      </c>
      <c r="X30">
        <f t="shared" si="1"/>
        <v>15</v>
      </c>
      <c r="Y30" s="1">
        <f t="shared" si="2"/>
        <v>0.46666666666666667</v>
      </c>
      <c r="AA30">
        <f t="shared" si="3"/>
        <v>0.68313005106397318</v>
      </c>
    </row>
    <row r="31" spans="1:27">
      <c r="A31" t="s">
        <v>69</v>
      </c>
      <c r="B31">
        <v>1</v>
      </c>
      <c r="C31">
        <v>0</v>
      </c>
      <c r="D31">
        <v>0</v>
      </c>
      <c r="E31">
        <v>0</v>
      </c>
      <c r="F31">
        <v>2</v>
      </c>
      <c r="G31">
        <v>0</v>
      </c>
      <c r="H31">
        <v>0</v>
      </c>
      <c r="I31">
        <v>0</v>
      </c>
      <c r="J31">
        <v>1</v>
      </c>
      <c r="K31">
        <v>1</v>
      </c>
      <c r="L31">
        <v>1</v>
      </c>
      <c r="M31">
        <v>0</v>
      </c>
      <c r="N31">
        <v>1</v>
      </c>
      <c r="O31">
        <v>0</v>
      </c>
      <c r="P31">
        <v>0</v>
      </c>
      <c r="W31">
        <f t="shared" si="0"/>
        <v>7</v>
      </c>
      <c r="X31">
        <f t="shared" si="1"/>
        <v>15</v>
      </c>
      <c r="Y31" s="1">
        <f t="shared" si="2"/>
        <v>0.46666666666666667</v>
      </c>
      <c r="AA31">
        <f t="shared" si="3"/>
        <v>0.68313005106397318</v>
      </c>
    </row>
    <row r="32" spans="1:27">
      <c r="A32" t="s">
        <v>70</v>
      </c>
      <c r="Y32" s="1"/>
    </row>
    <row r="33" spans="1:27">
      <c r="A33" t="s">
        <v>71</v>
      </c>
      <c r="B33">
        <v>1</v>
      </c>
      <c r="C33">
        <v>0</v>
      </c>
      <c r="D33">
        <v>1</v>
      </c>
      <c r="E33">
        <v>0</v>
      </c>
      <c r="F33">
        <v>2</v>
      </c>
      <c r="G33">
        <v>2</v>
      </c>
      <c r="H33">
        <v>2</v>
      </c>
      <c r="I33">
        <v>2</v>
      </c>
      <c r="J33">
        <v>0</v>
      </c>
      <c r="K33">
        <v>1</v>
      </c>
      <c r="L33">
        <v>0</v>
      </c>
      <c r="M33">
        <v>0</v>
      </c>
      <c r="N33">
        <v>2</v>
      </c>
      <c r="O33">
        <v>3</v>
      </c>
      <c r="P33">
        <v>3</v>
      </c>
      <c r="W33">
        <f>SUM(B33:T33)</f>
        <v>19</v>
      </c>
      <c r="X33">
        <f>COUNT(B33:Q33, S33)</f>
        <v>15</v>
      </c>
      <c r="Y33" s="1">
        <f>W33/X33</f>
        <v>1.2666666666666666</v>
      </c>
      <c r="AA33">
        <f t="shared" si="3"/>
        <v>1.1254628677422756</v>
      </c>
    </row>
    <row r="34" spans="1:27" s="2" customFormat="1">
      <c r="A34"/>
      <c r="AA34"/>
    </row>
    <row r="35" spans="1:27" s="2" customFormat="1">
      <c r="A35" t="s">
        <v>72</v>
      </c>
      <c r="B35" s="2">
        <v>1</v>
      </c>
      <c r="C35" s="2">
        <v>0</v>
      </c>
      <c r="D35" s="2">
        <v>1</v>
      </c>
      <c r="E35" s="2">
        <v>1</v>
      </c>
      <c r="F35" s="2">
        <v>1</v>
      </c>
      <c r="G35" s="2">
        <v>1</v>
      </c>
      <c r="H35" s="2">
        <v>1</v>
      </c>
      <c r="I35" s="2">
        <v>0</v>
      </c>
      <c r="J35" s="2">
        <v>0</v>
      </c>
      <c r="K35" s="2">
        <v>1</v>
      </c>
      <c r="L35" s="2">
        <v>1</v>
      </c>
      <c r="M35" s="2">
        <v>0</v>
      </c>
      <c r="N35" s="2">
        <v>0</v>
      </c>
      <c r="O35" s="2">
        <v>0</v>
      </c>
      <c r="P35" s="2">
        <v>0</v>
      </c>
      <c r="W35">
        <f>SUM(B35:T35)</f>
        <v>8</v>
      </c>
      <c r="X35">
        <f>COUNT(B35:Q35, S35)</f>
        <v>15</v>
      </c>
      <c r="Y35" s="1">
        <f>W35/X35</f>
        <v>0.53333333333333333</v>
      </c>
      <c r="AA35">
        <f t="shared" si="3"/>
        <v>0.73029674334022143</v>
      </c>
    </row>
    <row r="36" spans="1:27">
      <c r="A36" t="s">
        <v>74</v>
      </c>
      <c r="B36">
        <v>1</v>
      </c>
      <c r="C36">
        <v>0</v>
      </c>
      <c r="D36">
        <v>0</v>
      </c>
      <c r="E36">
        <v>1</v>
      </c>
      <c r="F36">
        <v>1</v>
      </c>
      <c r="G36">
        <v>0</v>
      </c>
      <c r="H36">
        <v>0</v>
      </c>
      <c r="I36">
        <v>0</v>
      </c>
      <c r="J36">
        <v>0</v>
      </c>
      <c r="K36">
        <v>1</v>
      </c>
      <c r="L36">
        <v>1</v>
      </c>
      <c r="M36">
        <v>0</v>
      </c>
      <c r="N36">
        <v>0</v>
      </c>
      <c r="O36">
        <v>0</v>
      </c>
      <c r="P36">
        <v>0</v>
      </c>
      <c r="W36">
        <f t="shared" si="0"/>
        <v>5</v>
      </c>
      <c r="X36">
        <f t="shared" si="1"/>
        <v>15</v>
      </c>
      <c r="Y36" s="1">
        <f t="shared" si="2"/>
        <v>0.33333333333333331</v>
      </c>
      <c r="AA36">
        <f t="shared" si="3"/>
        <v>0.57735026918962573</v>
      </c>
    </row>
    <row r="37" spans="1:27">
      <c r="A37" t="s">
        <v>76</v>
      </c>
      <c r="B37">
        <v>0</v>
      </c>
      <c r="C37">
        <v>0</v>
      </c>
      <c r="D37">
        <v>0</v>
      </c>
      <c r="E37">
        <v>0</v>
      </c>
      <c r="F37">
        <v>0</v>
      </c>
      <c r="G37">
        <v>0</v>
      </c>
      <c r="H37">
        <v>0</v>
      </c>
      <c r="I37">
        <v>0</v>
      </c>
      <c r="J37">
        <v>0</v>
      </c>
      <c r="K37">
        <v>0</v>
      </c>
      <c r="L37">
        <v>0</v>
      </c>
      <c r="M37">
        <v>0</v>
      </c>
      <c r="N37">
        <v>0</v>
      </c>
      <c r="O37">
        <v>0</v>
      </c>
      <c r="P37">
        <v>0</v>
      </c>
      <c r="W37">
        <f t="shared" si="0"/>
        <v>0</v>
      </c>
      <c r="X37">
        <f t="shared" si="1"/>
        <v>15</v>
      </c>
      <c r="Y37" s="1">
        <f t="shared" si="2"/>
        <v>0</v>
      </c>
      <c r="AA37">
        <f t="shared" si="3"/>
        <v>0</v>
      </c>
    </row>
    <row r="38" spans="1:27">
      <c r="A38" t="s">
        <v>77</v>
      </c>
      <c r="B38">
        <v>1</v>
      </c>
      <c r="C38">
        <v>0</v>
      </c>
      <c r="D38">
        <v>1</v>
      </c>
      <c r="E38">
        <v>1</v>
      </c>
      <c r="F38">
        <v>0</v>
      </c>
      <c r="G38">
        <v>0</v>
      </c>
      <c r="H38">
        <v>0</v>
      </c>
      <c r="I38">
        <v>0</v>
      </c>
      <c r="J38">
        <v>1</v>
      </c>
      <c r="K38">
        <v>0</v>
      </c>
      <c r="L38">
        <v>2</v>
      </c>
      <c r="M38">
        <v>0</v>
      </c>
      <c r="N38">
        <v>0</v>
      </c>
      <c r="O38">
        <v>0</v>
      </c>
      <c r="P38">
        <v>0</v>
      </c>
      <c r="W38">
        <f>SUM(B38:T38)</f>
        <v>6</v>
      </c>
      <c r="X38">
        <f t="shared" si="1"/>
        <v>15</v>
      </c>
      <c r="Y38" s="1">
        <f t="shared" si="2"/>
        <v>0.4</v>
      </c>
      <c r="AA38">
        <f t="shared" si="3"/>
        <v>0.63245553203367588</v>
      </c>
    </row>
    <row r="39" spans="1:27">
      <c r="A39" t="s">
        <v>78</v>
      </c>
      <c r="B39">
        <v>1</v>
      </c>
      <c r="C39">
        <v>0</v>
      </c>
      <c r="D39">
        <v>0</v>
      </c>
      <c r="E39">
        <v>0</v>
      </c>
      <c r="F39">
        <v>0</v>
      </c>
      <c r="G39">
        <v>0</v>
      </c>
      <c r="H39">
        <v>0</v>
      </c>
      <c r="I39">
        <v>0</v>
      </c>
      <c r="J39">
        <v>0</v>
      </c>
      <c r="K39">
        <v>0</v>
      </c>
      <c r="L39">
        <v>1</v>
      </c>
      <c r="M39">
        <v>0</v>
      </c>
      <c r="N39">
        <v>1</v>
      </c>
      <c r="O39">
        <v>0</v>
      </c>
      <c r="P39">
        <v>0</v>
      </c>
      <c r="W39">
        <f>SUM(B39:T39)</f>
        <v>3</v>
      </c>
      <c r="X39">
        <f>COUNT(B39:Q39, S39)</f>
        <v>15</v>
      </c>
      <c r="Y39" s="1">
        <f>W39/X39</f>
        <v>0.2</v>
      </c>
      <c r="AA39">
        <f t="shared" si="3"/>
        <v>0.44721359549995793</v>
      </c>
    </row>
    <row r="40" spans="1:27">
      <c r="A40" t="s">
        <v>79</v>
      </c>
      <c r="B40">
        <v>2</v>
      </c>
      <c r="C40">
        <v>0</v>
      </c>
      <c r="D40">
        <v>2</v>
      </c>
      <c r="E40">
        <v>3</v>
      </c>
      <c r="F40">
        <v>3</v>
      </c>
      <c r="G40">
        <v>1</v>
      </c>
      <c r="H40">
        <v>1</v>
      </c>
      <c r="I40">
        <v>0</v>
      </c>
      <c r="J40">
        <v>3</v>
      </c>
      <c r="K40">
        <v>0</v>
      </c>
      <c r="L40">
        <v>1</v>
      </c>
      <c r="M40">
        <v>0</v>
      </c>
      <c r="N40">
        <v>1</v>
      </c>
      <c r="O40">
        <v>0</v>
      </c>
      <c r="P40">
        <v>2</v>
      </c>
      <c r="Q40">
        <v>3</v>
      </c>
      <c r="R40" t="s">
        <v>342</v>
      </c>
      <c r="W40">
        <f t="shared" si="0"/>
        <v>22</v>
      </c>
      <c r="X40">
        <f t="shared" si="1"/>
        <v>16</v>
      </c>
      <c r="Y40" s="1">
        <f t="shared" si="2"/>
        <v>1.375</v>
      </c>
      <c r="AA40">
        <f t="shared" si="3"/>
        <v>1.1726039399558574</v>
      </c>
    </row>
    <row r="41" spans="1:27">
      <c r="A41" t="s">
        <v>80</v>
      </c>
      <c r="B41">
        <v>0</v>
      </c>
      <c r="C41">
        <v>0</v>
      </c>
      <c r="D41">
        <v>0</v>
      </c>
      <c r="E41">
        <v>2</v>
      </c>
      <c r="F41">
        <v>0</v>
      </c>
      <c r="G41">
        <v>0</v>
      </c>
      <c r="H41">
        <v>0</v>
      </c>
      <c r="I41">
        <v>0</v>
      </c>
      <c r="J41">
        <v>0</v>
      </c>
      <c r="K41">
        <v>0</v>
      </c>
      <c r="L41">
        <v>0</v>
      </c>
      <c r="M41">
        <v>0</v>
      </c>
      <c r="N41">
        <v>2</v>
      </c>
      <c r="O41">
        <v>0</v>
      </c>
      <c r="P41">
        <v>0</v>
      </c>
      <c r="W41">
        <f t="shared" si="0"/>
        <v>4</v>
      </c>
      <c r="X41">
        <f t="shared" si="1"/>
        <v>15</v>
      </c>
      <c r="Y41" s="1">
        <f t="shared" si="2"/>
        <v>0.26666666666666666</v>
      </c>
      <c r="AA41">
        <f t="shared" si="3"/>
        <v>0.5163977794943222</v>
      </c>
    </row>
    <row r="42" spans="1:27">
      <c r="A42" t="s">
        <v>81</v>
      </c>
      <c r="B42">
        <v>1</v>
      </c>
      <c r="C42">
        <v>0</v>
      </c>
      <c r="D42">
        <v>1</v>
      </c>
      <c r="E42">
        <v>0</v>
      </c>
      <c r="F42">
        <v>0</v>
      </c>
      <c r="G42">
        <v>1</v>
      </c>
      <c r="H42">
        <v>1</v>
      </c>
      <c r="I42">
        <v>0</v>
      </c>
      <c r="J42">
        <v>2</v>
      </c>
      <c r="K42">
        <v>0</v>
      </c>
      <c r="L42">
        <v>0</v>
      </c>
      <c r="M42">
        <v>0</v>
      </c>
      <c r="N42">
        <v>1</v>
      </c>
      <c r="O42">
        <v>0</v>
      </c>
      <c r="P42">
        <v>0</v>
      </c>
      <c r="W42">
        <f t="shared" si="0"/>
        <v>7</v>
      </c>
      <c r="X42">
        <f t="shared" si="1"/>
        <v>15</v>
      </c>
      <c r="Y42" s="1">
        <f t="shared" si="2"/>
        <v>0.46666666666666667</v>
      </c>
      <c r="AA42">
        <f t="shared" si="3"/>
        <v>0.68313005106397318</v>
      </c>
    </row>
    <row r="43" spans="1:27">
      <c r="A43" t="s">
        <v>82</v>
      </c>
      <c r="B43">
        <v>0</v>
      </c>
      <c r="C43">
        <v>0</v>
      </c>
      <c r="D43">
        <v>0</v>
      </c>
      <c r="E43">
        <v>0</v>
      </c>
      <c r="F43">
        <v>0</v>
      </c>
      <c r="G43">
        <v>0</v>
      </c>
      <c r="H43">
        <v>0</v>
      </c>
      <c r="I43">
        <v>0</v>
      </c>
      <c r="J43">
        <v>0</v>
      </c>
      <c r="K43">
        <v>0</v>
      </c>
      <c r="L43">
        <v>0</v>
      </c>
      <c r="M43">
        <v>0</v>
      </c>
      <c r="N43">
        <v>0</v>
      </c>
      <c r="O43">
        <v>0</v>
      </c>
      <c r="P43">
        <v>0</v>
      </c>
      <c r="W43">
        <f t="shared" si="0"/>
        <v>0</v>
      </c>
      <c r="X43">
        <f t="shared" si="1"/>
        <v>15</v>
      </c>
      <c r="Y43" s="1">
        <f t="shared" si="2"/>
        <v>0</v>
      </c>
      <c r="AA43">
        <f t="shared" si="3"/>
        <v>0</v>
      </c>
    </row>
    <row r="44" spans="1:27">
      <c r="A44" t="s">
        <v>83</v>
      </c>
      <c r="B44">
        <v>2</v>
      </c>
      <c r="C44">
        <v>0</v>
      </c>
      <c r="D44">
        <v>1</v>
      </c>
      <c r="E44">
        <v>2</v>
      </c>
      <c r="F44">
        <v>3</v>
      </c>
      <c r="G44">
        <v>2</v>
      </c>
      <c r="H44">
        <v>2</v>
      </c>
      <c r="I44">
        <v>1</v>
      </c>
      <c r="J44">
        <v>3</v>
      </c>
      <c r="K44">
        <v>3</v>
      </c>
      <c r="L44">
        <v>2</v>
      </c>
      <c r="M44">
        <v>1</v>
      </c>
      <c r="N44">
        <v>1</v>
      </c>
      <c r="O44">
        <v>0</v>
      </c>
      <c r="P44">
        <v>1</v>
      </c>
      <c r="Q44">
        <v>2</v>
      </c>
      <c r="R44" t="s">
        <v>343</v>
      </c>
      <c r="W44">
        <f t="shared" si="0"/>
        <v>26</v>
      </c>
      <c r="X44">
        <f t="shared" si="1"/>
        <v>16</v>
      </c>
      <c r="Y44" s="1">
        <f t="shared" si="2"/>
        <v>1.625</v>
      </c>
      <c r="AA44">
        <f t="shared" si="3"/>
        <v>1.2747548783981961</v>
      </c>
    </row>
    <row r="45" spans="1:27">
      <c r="A45" t="s">
        <v>84</v>
      </c>
      <c r="B45">
        <v>1</v>
      </c>
      <c r="C45">
        <v>0</v>
      </c>
      <c r="D45">
        <v>0</v>
      </c>
      <c r="E45">
        <v>1</v>
      </c>
      <c r="F45">
        <v>0</v>
      </c>
      <c r="G45">
        <v>1</v>
      </c>
      <c r="H45">
        <v>0</v>
      </c>
      <c r="I45">
        <v>0</v>
      </c>
      <c r="J45">
        <v>2</v>
      </c>
      <c r="K45">
        <v>0</v>
      </c>
      <c r="L45">
        <v>1</v>
      </c>
      <c r="M45">
        <v>0</v>
      </c>
      <c r="N45">
        <v>2</v>
      </c>
      <c r="O45">
        <v>0</v>
      </c>
      <c r="P45">
        <v>0</v>
      </c>
      <c r="W45">
        <f t="shared" si="0"/>
        <v>8</v>
      </c>
      <c r="X45">
        <f t="shared" si="1"/>
        <v>15</v>
      </c>
      <c r="Y45" s="1">
        <f t="shared" si="2"/>
        <v>0.53333333333333333</v>
      </c>
      <c r="AA45">
        <f t="shared" si="3"/>
        <v>0.73029674334022143</v>
      </c>
    </row>
    <row r="46" spans="1:27">
      <c r="A46" t="s">
        <v>85</v>
      </c>
      <c r="B46">
        <v>0</v>
      </c>
      <c r="C46">
        <v>0</v>
      </c>
      <c r="D46">
        <v>0</v>
      </c>
      <c r="E46">
        <v>0</v>
      </c>
      <c r="F46">
        <v>0</v>
      </c>
      <c r="G46">
        <v>0</v>
      </c>
      <c r="H46">
        <v>0</v>
      </c>
      <c r="I46">
        <v>0</v>
      </c>
      <c r="J46">
        <v>0</v>
      </c>
      <c r="K46">
        <v>0</v>
      </c>
      <c r="L46">
        <v>2</v>
      </c>
      <c r="M46">
        <v>0</v>
      </c>
      <c r="N46">
        <v>1</v>
      </c>
      <c r="O46">
        <v>0</v>
      </c>
      <c r="P46">
        <v>0</v>
      </c>
      <c r="W46">
        <f t="shared" si="0"/>
        <v>3</v>
      </c>
      <c r="X46">
        <f t="shared" si="1"/>
        <v>15</v>
      </c>
      <c r="Y46" s="1">
        <f t="shared" si="2"/>
        <v>0.2</v>
      </c>
      <c r="AA46">
        <f t="shared" si="3"/>
        <v>0.44721359549995793</v>
      </c>
    </row>
    <row r="47" spans="1:27">
      <c r="A47" t="s">
        <v>86</v>
      </c>
      <c r="B47">
        <v>1</v>
      </c>
      <c r="C47">
        <v>0</v>
      </c>
      <c r="D47">
        <v>0</v>
      </c>
      <c r="E47">
        <v>2</v>
      </c>
      <c r="F47">
        <v>2</v>
      </c>
      <c r="G47">
        <v>0</v>
      </c>
      <c r="H47">
        <v>1</v>
      </c>
      <c r="I47">
        <v>0</v>
      </c>
      <c r="J47">
        <v>1</v>
      </c>
      <c r="K47">
        <v>2</v>
      </c>
      <c r="L47">
        <v>0</v>
      </c>
      <c r="M47">
        <v>0</v>
      </c>
      <c r="N47">
        <v>1</v>
      </c>
      <c r="O47">
        <v>0</v>
      </c>
      <c r="P47">
        <v>0</v>
      </c>
      <c r="W47">
        <f t="shared" si="0"/>
        <v>10</v>
      </c>
      <c r="X47">
        <f t="shared" si="1"/>
        <v>15</v>
      </c>
      <c r="Y47" s="1">
        <f t="shared" si="2"/>
        <v>0.66666666666666663</v>
      </c>
      <c r="AA47">
        <f t="shared" si="3"/>
        <v>0.81649658092772603</v>
      </c>
    </row>
    <row r="48" spans="1:27">
      <c r="A48" t="s">
        <v>87</v>
      </c>
      <c r="B48">
        <v>0</v>
      </c>
      <c r="C48">
        <v>0</v>
      </c>
      <c r="D48">
        <v>0</v>
      </c>
      <c r="E48">
        <v>0</v>
      </c>
      <c r="F48">
        <v>1</v>
      </c>
      <c r="G48">
        <v>0</v>
      </c>
      <c r="H48">
        <v>0</v>
      </c>
      <c r="I48">
        <v>0</v>
      </c>
      <c r="J48">
        <v>0</v>
      </c>
      <c r="K48">
        <v>0</v>
      </c>
      <c r="L48">
        <v>0</v>
      </c>
      <c r="M48">
        <v>0</v>
      </c>
      <c r="N48">
        <v>0</v>
      </c>
      <c r="O48">
        <v>0</v>
      </c>
      <c r="P48">
        <v>0</v>
      </c>
      <c r="W48">
        <f t="shared" si="0"/>
        <v>1</v>
      </c>
      <c r="X48">
        <f t="shared" si="1"/>
        <v>15</v>
      </c>
      <c r="Y48" s="1">
        <f t="shared" si="2"/>
        <v>6.6666666666666666E-2</v>
      </c>
      <c r="AA48">
        <f t="shared" si="3"/>
        <v>0.2581988897471611</v>
      </c>
    </row>
    <row r="49" spans="1:27">
      <c r="A49" t="s">
        <v>88</v>
      </c>
      <c r="B49">
        <v>1</v>
      </c>
      <c r="C49">
        <v>0</v>
      </c>
      <c r="D49">
        <v>2</v>
      </c>
      <c r="E49">
        <v>0</v>
      </c>
      <c r="F49">
        <v>1</v>
      </c>
      <c r="G49">
        <v>0</v>
      </c>
      <c r="H49">
        <v>0</v>
      </c>
      <c r="I49">
        <v>0</v>
      </c>
      <c r="J49">
        <v>0</v>
      </c>
      <c r="K49">
        <v>1</v>
      </c>
      <c r="L49">
        <v>0</v>
      </c>
      <c r="M49">
        <v>0</v>
      </c>
      <c r="N49">
        <v>0</v>
      </c>
      <c r="O49">
        <v>0</v>
      </c>
      <c r="P49">
        <v>0</v>
      </c>
      <c r="W49">
        <f t="shared" si="0"/>
        <v>5</v>
      </c>
      <c r="X49">
        <f t="shared" si="1"/>
        <v>15</v>
      </c>
      <c r="Y49" s="1">
        <f t="shared" si="2"/>
        <v>0.33333333333333331</v>
      </c>
      <c r="AA49">
        <f t="shared" si="3"/>
        <v>0.57735026918962573</v>
      </c>
    </row>
    <row r="50" spans="1:27">
      <c r="A50" s="123" t="s">
        <v>768</v>
      </c>
      <c r="B50" s="123">
        <v>2</v>
      </c>
      <c r="C50" s="123">
        <v>0</v>
      </c>
      <c r="D50" s="123">
        <v>1</v>
      </c>
      <c r="E50" s="123">
        <v>1</v>
      </c>
      <c r="F50" s="123">
        <v>1</v>
      </c>
      <c r="G50" s="123">
        <v>1</v>
      </c>
      <c r="H50" s="123">
        <v>1</v>
      </c>
      <c r="I50" s="123">
        <v>0</v>
      </c>
      <c r="J50" s="123">
        <v>1</v>
      </c>
      <c r="K50" s="123">
        <v>0</v>
      </c>
      <c r="L50" s="123">
        <v>1</v>
      </c>
      <c r="M50" s="123">
        <v>0</v>
      </c>
      <c r="N50" s="123">
        <v>1</v>
      </c>
      <c r="O50" s="123">
        <v>0</v>
      </c>
      <c r="P50" s="123">
        <v>0</v>
      </c>
      <c r="Q50" s="123"/>
      <c r="R50" s="123"/>
      <c r="S50" s="123"/>
      <c r="T50" s="123"/>
      <c r="U50" s="123"/>
      <c r="V50" s="123"/>
      <c r="W50" s="123">
        <v>10</v>
      </c>
      <c r="X50" s="123">
        <v>15</v>
      </c>
      <c r="Y50" s="124">
        <v>0.66666666666666663</v>
      </c>
    </row>
    <row r="51" spans="1:27">
      <c r="A51" t="s">
        <v>90</v>
      </c>
      <c r="B51">
        <v>1</v>
      </c>
      <c r="C51">
        <v>0</v>
      </c>
      <c r="D51">
        <v>0</v>
      </c>
      <c r="E51">
        <v>1</v>
      </c>
      <c r="F51">
        <v>2</v>
      </c>
      <c r="G51">
        <v>1</v>
      </c>
      <c r="H51">
        <v>1</v>
      </c>
      <c r="I51">
        <v>1</v>
      </c>
      <c r="J51">
        <v>3</v>
      </c>
      <c r="K51">
        <v>0</v>
      </c>
      <c r="L51">
        <v>0</v>
      </c>
      <c r="M51">
        <v>1</v>
      </c>
      <c r="N51">
        <v>2</v>
      </c>
      <c r="O51">
        <v>0</v>
      </c>
      <c r="P51">
        <v>0</v>
      </c>
      <c r="W51">
        <f t="shared" si="0"/>
        <v>13</v>
      </c>
      <c r="X51">
        <f t="shared" si="1"/>
        <v>15</v>
      </c>
      <c r="Y51" s="1">
        <f t="shared" si="2"/>
        <v>0.8666666666666667</v>
      </c>
      <c r="AA51">
        <f t="shared" si="3"/>
        <v>0.93094933625126275</v>
      </c>
    </row>
    <row r="52" spans="1:27">
      <c r="A52" t="s">
        <v>91</v>
      </c>
      <c r="B52">
        <v>0</v>
      </c>
      <c r="C52">
        <v>0</v>
      </c>
      <c r="D52">
        <v>0</v>
      </c>
      <c r="E52">
        <v>0</v>
      </c>
      <c r="F52">
        <v>0</v>
      </c>
      <c r="G52">
        <v>0</v>
      </c>
      <c r="H52">
        <v>1</v>
      </c>
      <c r="I52">
        <v>0</v>
      </c>
      <c r="J52">
        <v>0</v>
      </c>
      <c r="K52">
        <v>0</v>
      </c>
      <c r="L52">
        <v>1</v>
      </c>
      <c r="M52">
        <v>0</v>
      </c>
      <c r="N52">
        <v>0</v>
      </c>
      <c r="O52">
        <v>0</v>
      </c>
      <c r="P52">
        <v>0</v>
      </c>
      <c r="W52">
        <f t="shared" si="0"/>
        <v>2</v>
      </c>
      <c r="X52">
        <f t="shared" si="1"/>
        <v>15</v>
      </c>
      <c r="Y52" s="1">
        <f t="shared" si="2"/>
        <v>0.13333333333333333</v>
      </c>
      <c r="AA52">
        <f t="shared" si="3"/>
        <v>0.36514837167011072</v>
      </c>
    </row>
    <row r="53" spans="1:27">
      <c r="A53" t="s">
        <v>92</v>
      </c>
      <c r="B53">
        <v>0</v>
      </c>
      <c r="C53">
        <v>0</v>
      </c>
      <c r="D53">
        <v>1</v>
      </c>
      <c r="E53">
        <v>1</v>
      </c>
      <c r="F53">
        <v>1</v>
      </c>
      <c r="G53">
        <v>0</v>
      </c>
      <c r="H53">
        <v>0</v>
      </c>
      <c r="I53">
        <v>0</v>
      </c>
      <c r="J53">
        <v>0</v>
      </c>
      <c r="K53">
        <v>1</v>
      </c>
      <c r="L53">
        <v>0</v>
      </c>
      <c r="M53">
        <v>0</v>
      </c>
      <c r="N53">
        <v>2</v>
      </c>
      <c r="O53">
        <v>0</v>
      </c>
      <c r="P53">
        <v>0</v>
      </c>
      <c r="W53">
        <f t="shared" si="0"/>
        <v>6</v>
      </c>
      <c r="X53">
        <f t="shared" si="1"/>
        <v>15</v>
      </c>
      <c r="Y53" s="1">
        <f t="shared" si="2"/>
        <v>0.4</v>
      </c>
      <c r="AA53">
        <f t="shared" si="3"/>
        <v>0.63245553203367588</v>
      </c>
    </row>
    <row r="54" spans="1:27">
      <c r="A54" t="s">
        <v>93</v>
      </c>
      <c r="B54">
        <v>1</v>
      </c>
      <c r="C54">
        <v>0</v>
      </c>
      <c r="D54">
        <v>1</v>
      </c>
      <c r="E54">
        <v>1</v>
      </c>
      <c r="F54">
        <v>0</v>
      </c>
      <c r="G54">
        <v>0</v>
      </c>
      <c r="H54">
        <v>0</v>
      </c>
      <c r="I54">
        <v>0</v>
      </c>
      <c r="J54">
        <v>0</v>
      </c>
      <c r="K54">
        <v>1</v>
      </c>
      <c r="L54">
        <v>1</v>
      </c>
      <c r="M54">
        <v>0</v>
      </c>
      <c r="N54">
        <v>1</v>
      </c>
      <c r="O54">
        <v>0</v>
      </c>
      <c r="P54">
        <v>0</v>
      </c>
      <c r="W54">
        <f t="shared" si="0"/>
        <v>6</v>
      </c>
      <c r="X54">
        <f t="shared" si="1"/>
        <v>15</v>
      </c>
      <c r="Y54" s="1">
        <f t="shared" si="2"/>
        <v>0.4</v>
      </c>
      <c r="AA54">
        <f t="shared" si="3"/>
        <v>0.63245553203367588</v>
      </c>
    </row>
    <row r="55" spans="1:27">
      <c r="A55" t="s">
        <v>94</v>
      </c>
      <c r="B55">
        <v>0</v>
      </c>
      <c r="C55">
        <v>0</v>
      </c>
      <c r="D55">
        <v>0</v>
      </c>
      <c r="E55">
        <v>0</v>
      </c>
      <c r="F55">
        <v>0</v>
      </c>
      <c r="G55">
        <v>0</v>
      </c>
      <c r="H55">
        <v>0</v>
      </c>
      <c r="I55">
        <v>0</v>
      </c>
      <c r="J55">
        <v>1</v>
      </c>
      <c r="K55">
        <v>0</v>
      </c>
      <c r="L55">
        <v>0</v>
      </c>
      <c r="M55">
        <v>0</v>
      </c>
      <c r="N55">
        <v>0</v>
      </c>
      <c r="O55">
        <v>0</v>
      </c>
      <c r="P55">
        <v>0</v>
      </c>
      <c r="W55">
        <f t="shared" si="0"/>
        <v>1</v>
      </c>
      <c r="X55">
        <f t="shared" si="1"/>
        <v>15</v>
      </c>
      <c r="Y55" s="1">
        <f t="shared" si="2"/>
        <v>6.6666666666666666E-2</v>
      </c>
      <c r="AA55">
        <f t="shared" si="3"/>
        <v>0.2581988897471611</v>
      </c>
    </row>
    <row r="56" spans="1:27">
      <c r="A56" t="s">
        <v>95</v>
      </c>
      <c r="B56">
        <v>1</v>
      </c>
      <c r="C56">
        <v>0</v>
      </c>
      <c r="D56">
        <v>1</v>
      </c>
      <c r="E56">
        <v>0</v>
      </c>
      <c r="F56">
        <v>0</v>
      </c>
      <c r="G56">
        <v>0</v>
      </c>
      <c r="H56">
        <v>0</v>
      </c>
      <c r="I56">
        <v>0</v>
      </c>
      <c r="J56">
        <v>1</v>
      </c>
      <c r="K56">
        <v>1</v>
      </c>
      <c r="L56">
        <v>0</v>
      </c>
      <c r="M56">
        <v>0</v>
      </c>
      <c r="N56">
        <v>0</v>
      </c>
      <c r="O56">
        <v>0</v>
      </c>
      <c r="P56">
        <v>0</v>
      </c>
      <c r="W56">
        <f t="shared" si="0"/>
        <v>4</v>
      </c>
      <c r="X56">
        <f t="shared" si="1"/>
        <v>15</v>
      </c>
      <c r="Y56" s="1">
        <f t="shared" si="2"/>
        <v>0.26666666666666666</v>
      </c>
      <c r="AA56">
        <f t="shared" si="3"/>
        <v>0.5163977794943222</v>
      </c>
    </row>
    <row r="57" spans="1:27">
      <c r="A57" t="s">
        <v>96</v>
      </c>
      <c r="B57">
        <v>3</v>
      </c>
      <c r="C57">
        <v>0</v>
      </c>
      <c r="D57">
        <v>0</v>
      </c>
      <c r="E57">
        <v>1</v>
      </c>
      <c r="F57">
        <v>1</v>
      </c>
      <c r="G57">
        <v>1</v>
      </c>
      <c r="H57">
        <v>0</v>
      </c>
      <c r="I57">
        <v>1</v>
      </c>
      <c r="J57">
        <v>0</v>
      </c>
      <c r="K57">
        <v>0</v>
      </c>
      <c r="L57">
        <v>2</v>
      </c>
      <c r="M57">
        <v>2</v>
      </c>
      <c r="N57">
        <v>1</v>
      </c>
      <c r="O57">
        <v>0</v>
      </c>
      <c r="P57">
        <v>0</v>
      </c>
      <c r="W57">
        <f t="shared" si="0"/>
        <v>12</v>
      </c>
      <c r="X57">
        <f t="shared" si="1"/>
        <v>15</v>
      </c>
      <c r="Y57" s="1">
        <f t="shared" si="2"/>
        <v>0.8</v>
      </c>
      <c r="AA57">
        <f t="shared" si="3"/>
        <v>0.89442719099991586</v>
      </c>
    </row>
    <row r="58" spans="1:27">
      <c r="A58" t="s">
        <v>97</v>
      </c>
      <c r="B58">
        <v>0</v>
      </c>
      <c r="C58">
        <v>0</v>
      </c>
      <c r="D58">
        <v>0</v>
      </c>
      <c r="E58">
        <v>0</v>
      </c>
      <c r="F58">
        <v>0</v>
      </c>
      <c r="G58">
        <v>0</v>
      </c>
      <c r="H58">
        <v>0</v>
      </c>
      <c r="I58">
        <v>0</v>
      </c>
      <c r="J58">
        <v>0</v>
      </c>
      <c r="K58">
        <v>0</v>
      </c>
      <c r="L58">
        <v>1</v>
      </c>
      <c r="M58">
        <v>0</v>
      </c>
      <c r="N58">
        <v>1</v>
      </c>
      <c r="O58">
        <v>0</v>
      </c>
      <c r="P58">
        <v>0</v>
      </c>
      <c r="W58">
        <f t="shared" si="0"/>
        <v>2</v>
      </c>
      <c r="X58">
        <f t="shared" si="1"/>
        <v>15</v>
      </c>
      <c r="Y58" s="1">
        <f t="shared" si="2"/>
        <v>0.13333333333333333</v>
      </c>
      <c r="AA58">
        <f t="shared" si="3"/>
        <v>0.36514837167011072</v>
      </c>
    </row>
    <row r="59" spans="1:27">
      <c r="A59" t="s">
        <v>98</v>
      </c>
      <c r="B59">
        <v>2</v>
      </c>
      <c r="C59">
        <v>0</v>
      </c>
      <c r="D59" s="20"/>
      <c r="E59">
        <v>1</v>
      </c>
      <c r="F59">
        <v>1</v>
      </c>
      <c r="G59">
        <v>0</v>
      </c>
      <c r="H59">
        <v>0</v>
      </c>
      <c r="I59">
        <v>0</v>
      </c>
      <c r="J59">
        <v>1</v>
      </c>
      <c r="K59">
        <v>0</v>
      </c>
      <c r="L59">
        <v>1</v>
      </c>
      <c r="M59">
        <v>0</v>
      </c>
      <c r="N59">
        <v>0</v>
      </c>
      <c r="O59">
        <v>0</v>
      </c>
      <c r="P59">
        <v>0</v>
      </c>
      <c r="W59">
        <f t="shared" si="0"/>
        <v>6</v>
      </c>
      <c r="X59">
        <f t="shared" si="1"/>
        <v>14</v>
      </c>
      <c r="Y59" s="1">
        <f t="shared" si="2"/>
        <v>0.42857142857142855</v>
      </c>
      <c r="AA59">
        <f t="shared" si="3"/>
        <v>0.65465367070797709</v>
      </c>
    </row>
    <row r="60" spans="1:27">
      <c r="A60" t="s">
        <v>99</v>
      </c>
      <c r="B60">
        <v>1</v>
      </c>
      <c r="C60">
        <v>0</v>
      </c>
      <c r="D60">
        <v>0</v>
      </c>
      <c r="E60">
        <v>1</v>
      </c>
      <c r="F60">
        <v>1</v>
      </c>
      <c r="G60">
        <v>0</v>
      </c>
      <c r="H60">
        <v>0</v>
      </c>
      <c r="I60">
        <v>0</v>
      </c>
      <c r="J60">
        <v>1</v>
      </c>
      <c r="K60">
        <v>0</v>
      </c>
      <c r="L60">
        <v>0</v>
      </c>
      <c r="M60">
        <v>0</v>
      </c>
      <c r="N60">
        <v>1</v>
      </c>
      <c r="O60">
        <v>0</v>
      </c>
      <c r="P60">
        <v>0</v>
      </c>
      <c r="W60">
        <f t="shared" si="0"/>
        <v>5</v>
      </c>
      <c r="X60">
        <f t="shared" si="1"/>
        <v>15</v>
      </c>
      <c r="Y60" s="1">
        <f t="shared" si="2"/>
        <v>0.33333333333333331</v>
      </c>
      <c r="AA60">
        <f t="shared" si="3"/>
        <v>0.57735026918962573</v>
      </c>
    </row>
    <row r="61" spans="1:27">
      <c r="A61" t="s">
        <v>100</v>
      </c>
      <c r="B61">
        <v>0</v>
      </c>
      <c r="C61">
        <v>0</v>
      </c>
      <c r="D61">
        <v>0</v>
      </c>
      <c r="E61">
        <v>0</v>
      </c>
      <c r="F61">
        <v>0</v>
      </c>
      <c r="G61">
        <v>1</v>
      </c>
      <c r="H61">
        <v>0</v>
      </c>
      <c r="I61">
        <v>1</v>
      </c>
      <c r="J61">
        <v>0</v>
      </c>
      <c r="K61">
        <v>0</v>
      </c>
      <c r="L61">
        <v>0</v>
      </c>
      <c r="M61">
        <v>0</v>
      </c>
      <c r="N61">
        <v>0</v>
      </c>
      <c r="O61">
        <v>0</v>
      </c>
      <c r="P61">
        <v>0</v>
      </c>
      <c r="W61">
        <f t="shared" si="0"/>
        <v>2</v>
      </c>
      <c r="X61">
        <f t="shared" si="1"/>
        <v>15</v>
      </c>
      <c r="Y61" s="1">
        <f t="shared" si="2"/>
        <v>0.13333333333333333</v>
      </c>
      <c r="AA61">
        <f t="shared" si="3"/>
        <v>0.36514837167011072</v>
      </c>
    </row>
    <row r="62" spans="1:27">
      <c r="A62" t="s">
        <v>101</v>
      </c>
      <c r="B62">
        <v>1</v>
      </c>
      <c r="C62">
        <v>0</v>
      </c>
      <c r="D62">
        <v>2</v>
      </c>
      <c r="E62">
        <v>1</v>
      </c>
      <c r="F62">
        <v>3</v>
      </c>
      <c r="G62">
        <v>0</v>
      </c>
      <c r="H62">
        <v>1</v>
      </c>
      <c r="I62">
        <v>1</v>
      </c>
      <c r="J62">
        <v>1</v>
      </c>
      <c r="K62">
        <v>1</v>
      </c>
      <c r="L62">
        <v>1</v>
      </c>
      <c r="M62">
        <v>0</v>
      </c>
      <c r="N62">
        <v>1</v>
      </c>
      <c r="O62">
        <v>0</v>
      </c>
      <c r="P62">
        <v>0</v>
      </c>
      <c r="Q62">
        <v>2</v>
      </c>
      <c r="R62" t="s">
        <v>344</v>
      </c>
      <c r="S62">
        <v>1</v>
      </c>
      <c r="T62" t="s">
        <v>345</v>
      </c>
      <c r="W62">
        <f>SUM(B62:T62)</f>
        <v>16</v>
      </c>
      <c r="X62">
        <f t="shared" si="1"/>
        <v>17</v>
      </c>
      <c r="Y62" s="1">
        <f t="shared" si="2"/>
        <v>0.94117647058823528</v>
      </c>
      <c r="AA62">
        <f t="shared" si="3"/>
        <v>0.97014250014533188</v>
      </c>
    </row>
    <row r="63" spans="1:27">
      <c r="A63" t="s">
        <v>102</v>
      </c>
      <c r="B63">
        <v>0</v>
      </c>
      <c r="C63">
        <v>0</v>
      </c>
      <c r="D63">
        <v>0</v>
      </c>
      <c r="E63">
        <v>0</v>
      </c>
      <c r="F63">
        <v>0</v>
      </c>
      <c r="G63">
        <v>0</v>
      </c>
      <c r="H63">
        <v>0</v>
      </c>
      <c r="I63">
        <v>0</v>
      </c>
      <c r="J63">
        <v>0</v>
      </c>
      <c r="K63">
        <v>1</v>
      </c>
      <c r="L63">
        <v>0</v>
      </c>
      <c r="M63">
        <v>0</v>
      </c>
      <c r="N63">
        <v>1</v>
      </c>
      <c r="O63">
        <v>3</v>
      </c>
      <c r="P63">
        <v>0</v>
      </c>
      <c r="W63">
        <f>SUM(B63:T63)</f>
        <v>5</v>
      </c>
      <c r="X63">
        <f t="shared" si="1"/>
        <v>15</v>
      </c>
      <c r="Y63" s="1">
        <f t="shared" si="2"/>
        <v>0.33333333333333331</v>
      </c>
      <c r="AA63">
        <f t="shared" si="3"/>
        <v>0.57735026918962573</v>
      </c>
    </row>
    <row r="64" spans="1:27" s="23" customFormat="1">
      <c r="Z64" s="76"/>
    </row>
    <row r="65" spans="1:27" s="23" customFormat="1">
      <c r="A65" s="23" t="s">
        <v>489</v>
      </c>
      <c r="B65" s="23">
        <f>COUNT(B3:B33)</f>
        <v>27</v>
      </c>
      <c r="C65" s="23">
        <f t="shared" ref="C65:AA65" si="4">COUNT(C3:C33)</f>
        <v>27</v>
      </c>
      <c r="D65" s="23">
        <f t="shared" si="4"/>
        <v>27</v>
      </c>
      <c r="E65" s="23">
        <f t="shared" si="4"/>
        <v>27</v>
      </c>
      <c r="F65" s="23">
        <f t="shared" si="4"/>
        <v>27</v>
      </c>
      <c r="G65" s="23">
        <f t="shared" si="4"/>
        <v>27</v>
      </c>
      <c r="H65" s="23">
        <f t="shared" si="4"/>
        <v>27</v>
      </c>
      <c r="I65" s="23">
        <f t="shared" si="4"/>
        <v>27</v>
      </c>
      <c r="J65" s="23">
        <f t="shared" si="4"/>
        <v>27</v>
      </c>
      <c r="K65" s="23">
        <f t="shared" si="4"/>
        <v>27</v>
      </c>
      <c r="L65" s="23">
        <f t="shared" si="4"/>
        <v>27</v>
      </c>
      <c r="M65" s="23">
        <f t="shared" si="4"/>
        <v>27</v>
      </c>
      <c r="N65" s="23">
        <f t="shared" si="4"/>
        <v>27</v>
      </c>
      <c r="O65" s="23">
        <f t="shared" si="4"/>
        <v>27</v>
      </c>
      <c r="P65" s="23">
        <f t="shared" si="4"/>
        <v>27</v>
      </c>
      <c r="Q65" s="23">
        <f t="shared" si="4"/>
        <v>2</v>
      </c>
      <c r="R65" s="23">
        <f t="shared" si="4"/>
        <v>0</v>
      </c>
      <c r="S65" s="23">
        <f t="shared" si="4"/>
        <v>1</v>
      </c>
      <c r="T65" s="23">
        <f t="shared" si="4"/>
        <v>0</v>
      </c>
      <c r="U65" s="23">
        <f t="shared" si="4"/>
        <v>0</v>
      </c>
      <c r="V65" s="23">
        <f t="shared" si="4"/>
        <v>0</v>
      </c>
      <c r="W65" s="23">
        <f t="shared" si="4"/>
        <v>27</v>
      </c>
      <c r="X65" s="23">
        <f t="shared" si="4"/>
        <v>27</v>
      </c>
      <c r="Y65" s="23">
        <f t="shared" si="4"/>
        <v>27</v>
      </c>
      <c r="Z65" s="23">
        <f t="shared" si="4"/>
        <v>0</v>
      </c>
      <c r="AA65" s="23">
        <f t="shared" si="4"/>
        <v>27</v>
      </c>
    </row>
    <row r="66" spans="1:27" s="23" customFormat="1">
      <c r="A66" s="23" t="s">
        <v>490</v>
      </c>
      <c r="B66" s="23">
        <f>COUNT(B35:B63)</f>
        <v>29</v>
      </c>
      <c r="C66" s="23">
        <f t="shared" ref="C66:AA66" si="5">COUNT(C35:C63)</f>
        <v>29</v>
      </c>
      <c r="D66" s="23">
        <f t="shared" si="5"/>
        <v>28</v>
      </c>
      <c r="E66" s="23">
        <f t="shared" si="5"/>
        <v>29</v>
      </c>
      <c r="F66" s="23">
        <f t="shared" si="5"/>
        <v>29</v>
      </c>
      <c r="G66" s="23">
        <f t="shared" si="5"/>
        <v>29</v>
      </c>
      <c r="H66" s="23">
        <f t="shared" si="5"/>
        <v>29</v>
      </c>
      <c r="I66" s="23">
        <f t="shared" si="5"/>
        <v>29</v>
      </c>
      <c r="J66" s="23">
        <f t="shared" si="5"/>
        <v>29</v>
      </c>
      <c r="K66" s="23">
        <f t="shared" si="5"/>
        <v>29</v>
      </c>
      <c r="L66" s="23">
        <f t="shared" si="5"/>
        <v>29</v>
      </c>
      <c r="M66" s="23">
        <f t="shared" si="5"/>
        <v>29</v>
      </c>
      <c r="N66" s="23">
        <f t="shared" si="5"/>
        <v>29</v>
      </c>
      <c r="O66" s="23">
        <f t="shared" si="5"/>
        <v>29</v>
      </c>
      <c r="P66" s="23">
        <f t="shared" si="5"/>
        <v>29</v>
      </c>
      <c r="Q66" s="23">
        <f t="shared" si="5"/>
        <v>3</v>
      </c>
      <c r="R66" s="23">
        <f t="shared" si="5"/>
        <v>0</v>
      </c>
      <c r="S66" s="23">
        <f t="shared" si="5"/>
        <v>1</v>
      </c>
      <c r="T66" s="23">
        <f t="shared" si="5"/>
        <v>0</v>
      </c>
      <c r="U66" s="23">
        <f t="shared" si="5"/>
        <v>0</v>
      </c>
      <c r="V66" s="23">
        <f t="shared" si="5"/>
        <v>0</v>
      </c>
      <c r="W66" s="23">
        <f t="shared" si="5"/>
        <v>29</v>
      </c>
      <c r="X66" s="23">
        <f t="shared" si="5"/>
        <v>29</v>
      </c>
      <c r="Y66" s="23">
        <f t="shared" si="5"/>
        <v>29</v>
      </c>
      <c r="Z66" s="23">
        <f t="shared" si="5"/>
        <v>0</v>
      </c>
      <c r="AA66" s="23">
        <f t="shared" si="5"/>
        <v>28</v>
      </c>
    </row>
    <row r="67" spans="1:27" s="23" customFormat="1">
      <c r="C67" s="76"/>
      <c r="D67" s="76"/>
      <c r="E67" s="76"/>
      <c r="F67" s="76"/>
      <c r="G67" s="76"/>
      <c r="H67" s="76"/>
      <c r="I67" s="76"/>
      <c r="J67" s="76"/>
      <c r="K67" s="76"/>
      <c r="L67" s="76"/>
      <c r="M67" s="76"/>
      <c r="N67" s="76"/>
      <c r="O67" s="76"/>
      <c r="P67" s="76"/>
      <c r="Q67" s="76"/>
      <c r="R67" s="76"/>
      <c r="S67" s="76"/>
      <c r="T67" s="76"/>
      <c r="U67" s="76"/>
      <c r="V67" s="76"/>
      <c r="W67" s="76"/>
      <c r="X67" s="76"/>
      <c r="Y67" s="76"/>
      <c r="Z67" s="76"/>
    </row>
    <row r="68" spans="1:27" s="3" customFormat="1">
      <c r="A68" t="s">
        <v>133</v>
      </c>
      <c r="B68" s="4">
        <f>AVERAGE(B3:B33)</f>
        <v>1.1481481481481481</v>
      </c>
      <c r="C68" s="4">
        <f t="shared" ref="C68:Y68" si="6">AVERAGE(C3:C33)</f>
        <v>0.1111111111111111</v>
      </c>
      <c r="D68" s="4">
        <f t="shared" si="6"/>
        <v>0.66666666666666663</v>
      </c>
      <c r="E68" s="4">
        <f t="shared" si="6"/>
        <v>0.77777777777777779</v>
      </c>
      <c r="F68" s="4">
        <f t="shared" si="6"/>
        <v>1.1111111111111112</v>
      </c>
      <c r="G68" s="4">
        <f t="shared" si="6"/>
        <v>0.55555555555555558</v>
      </c>
      <c r="H68" s="4">
        <f t="shared" si="6"/>
        <v>0.85185185185185186</v>
      </c>
      <c r="I68" s="4">
        <f t="shared" si="6"/>
        <v>0.44444444444444442</v>
      </c>
      <c r="J68" s="4">
        <f>AVERAGE(J3:J33)</f>
        <v>0.44444444444444442</v>
      </c>
      <c r="K68" s="4">
        <f t="shared" si="6"/>
        <v>0.7407407407407407</v>
      </c>
      <c r="L68" s="4">
        <f t="shared" si="6"/>
        <v>0.55555555555555558</v>
      </c>
      <c r="M68" s="4">
        <f t="shared" si="6"/>
        <v>0.18518518518518517</v>
      </c>
      <c r="N68" s="4">
        <f t="shared" si="6"/>
        <v>0.77777777777777779</v>
      </c>
      <c r="O68" s="4">
        <f t="shared" si="6"/>
        <v>0.29629629629629628</v>
      </c>
      <c r="P68" s="4">
        <f t="shared" si="6"/>
        <v>0.29629629629629628</v>
      </c>
      <c r="Q68" s="4">
        <f t="shared" si="6"/>
        <v>2</v>
      </c>
      <c r="R68" s="4"/>
      <c r="S68" s="4">
        <f t="shared" si="6"/>
        <v>2</v>
      </c>
      <c r="T68" s="4"/>
      <c r="U68" s="4" t="e">
        <f t="shared" si="6"/>
        <v>#DIV/0!</v>
      </c>
      <c r="V68" s="4"/>
      <c r="W68" s="4">
        <f>AVERAGE(W3:W33)</f>
        <v>9.1851851851851851</v>
      </c>
      <c r="X68" s="4">
        <f t="shared" si="6"/>
        <v>15.111111111111111</v>
      </c>
      <c r="Y68" s="4">
        <f t="shared" si="6"/>
        <v>0.59995461147421936</v>
      </c>
      <c r="AA68" s="4">
        <f>AVERAGE(AA3:AA33)</f>
        <v>0.68609878439798055</v>
      </c>
    </row>
    <row r="69" spans="1:27" s="3" customFormat="1">
      <c r="A69" t="s">
        <v>134</v>
      </c>
      <c r="B69" s="4">
        <f>AVERAGE(B35:B63)</f>
        <v>0.82758620689655171</v>
      </c>
      <c r="C69" s="4">
        <f t="shared" ref="C69:Y69" si="7">AVERAGE(C35:C63)</f>
        <v>0</v>
      </c>
      <c r="D69" s="4">
        <f t="shared" si="7"/>
        <v>0.5</v>
      </c>
      <c r="E69" s="4">
        <f t="shared" si="7"/>
        <v>0.72413793103448276</v>
      </c>
      <c r="F69" s="4">
        <f t="shared" si="7"/>
        <v>0.75862068965517238</v>
      </c>
      <c r="G69" s="4">
        <f t="shared" si="7"/>
        <v>0.34482758620689657</v>
      </c>
      <c r="H69" s="4">
        <f t="shared" si="7"/>
        <v>0.34482758620689657</v>
      </c>
      <c r="I69" s="4">
        <f t="shared" si="7"/>
        <v>0.17241379310344829</v>
      </c>
      <c r="J69" s="4">
        <f t="shared" si="7"/>
        <v>0.72413793103448276</v>
      </c>
      <c r="K69" s="4">
        <f t="shared" si="7"/>
        <v>0.44827586206896552</v>
      </c>
      <c r="L69" s="4">
        <f t="shared" si="7"/>
        <v>0.65517241379310343</v>
      </c>
      <c r="M69" s="4">
        <f t="shared" si="7"/>
        <v>0.13793103448275862</v>
      </c>
      <c r="N69" s="4">
        <f t="shared" si="7"/>
        <v>0.72413793103448276</v>
      </c>
      <c r="O69" s="4">
        <f t="shared" si="7"/>
        <v>0.10344827586206896</v>
      </c>
      <c r="P69" s="4">
        <f t="shared" si="7"/>
        <v>0.10344827586206896</v>
      </c>
      <c r="Q69" s="4">
        <f t="shared" si="7"/>
        <v>2.3333333333333335</v>
      </c>
      <c r="R69" s="4"/>
      <c r="S69" s="4">
        <f t="shared" si="7"/>
        <v>1</v>
      </c>
      <c r="T69" s="4"/>
      <c r="U69" s="4" t="e">
        <f t="shared" si="7"/>
        <v>#DIV/0!</v>
      </c>
      <c r="V69" s="4"/>
      <c r="W69" s="4">
        <f>AVERAGE(W35:W63)</f>
        <v>6.8275862068965516</v>
      </c>
      <c r="X69" s="4">
        <f t="shared" si="7"/>
        <v>15.103448275862069</v>
      </c>
      <c r="Y69" s="4">
        <f t="shared" si="7"/>
        <v>0.44493383560320687</v>
      </c>
      <c r="AA69" s="4">
        <f>AVERAGE(AA35:AA63)</f>
        <v>0.59298517687440833</v>
      </c>
    </row>
    <row r="70" spans="1:27" s="3" customFormat="1">
      <c r="A70" t="s">
        <v>20</v>
      </c>
      <c r="B70" s="4">
        <f>TTEST(B3:B33, B35:B63, 2, 3)</f>
        <v>0.20173064860812107</v>
      </c>
      <c r="C70" s="4">
        <f t="shared" ref="C70:Y70" si="8">TTEST(C3:C33, C35:C63, 2, 3)</f>
        <v>0.32652702226061536</v>
      </c>
      <c r="D70" s="4">
        <f t="shared" si="8"/>
        <v>0.42443047536853995</v>
      </c>
      <c r="E70" s="4">
        <f t="shared" si="8"/>
        <v>0.81381154006869971</v>
      </c>
      <c r="F70" s="4">
        <f t="shared" si="8"/>
        <v>0.16618512268306729</v>
      </c>
      <c r="G70" s="4">
        <f t="shared" si="8"/>
        <v>0.32994562400694882</v>
      </c>
      <c r="H70" s="99">
        <f t="shared" si="8"/>
        <v>2.8299371789225102E-2</v>
      </c>
      <c r="I70" s="99">
        <f t="shared" si="8"/>
        <v>8.1340768306967806E-2</v>
      </c>
      <c r="J70" s="4">
        <f t="shared" si="8"/>
        <v>0.23895929693461648</v>
      </c>
      <c r="K70" s="4">
        <f t="shared" si="8"/>
        <v>0.19180069622516635</v>
      </c>
      <c r="L70" s="4">
        <f t="shared" si="8"/>
        <v>0.6151938890612092</v>
      </c>
      <c r="M70" s="4">
        <f t="shared" si="8"/>
        <v>0.70455168479071251</v>
      </c>
      <c r="N70" s="4">
        <f t="shared" si="8"/>
        <v>0.81527123695967851</v>
      </c>
      <c r="O70" s="4">
        <f t="shared" si="8"/>
        <v>0.33210371996423005</v>
      </c>
      <c r="P70" s="4">
        <f t="shared" si="8"/>
        <v>0.2313932493930351</v>
      </c>
      <c r="Q70" s="4">
        <f t="shared" si="8"/>
        <v>0.79713630488345022</v>
      </c>
      <c r="R70" s="4"/>
      <c r="S70" s="4" t="e">
        <f t="shared" si="8"/>
        <v>#DIV/0!</v>
      </c>
      <c r="T70" s="4"/>
      <c r="U70" s="4" t="e">
        <f t="shared" si="8"/>
        <v>#DIV/0!</v>
      </c>
      <c r="V70" s="4"/>
      <c r="W70" s="4">
        <f>TTEST(W3:W33, W35:W63, 2, 3)</f>
        <v>0.24940666505271517</v>
      </c>
      <c r="X70" s="4">
        <f t="shared" si="8"/>
        <v>0.95015437227781785</v>
      </c>
      <c r="Y70" s="4">
        <f t="shared" si="8"/>
        <v>0.22296254725794939</v>
      </c>
      <c r="AA70" s="99">
        <f>TTEST(AA3:AA33, AA35:AA63, 2, 3)</f>
        <v>0.30678472982955673</v>
      </c>
    </row>
    <row r="71" spans="1:27" s="3" customFormat="1">
      <c r="A71" s="2" t="s">
        <v>21</v>
      </c>
      <c r="B71" s="12">
        <f>(B68-B69)/B69</f>
        <v>0.38734567901234568</v>
      </c>
      <c r="C71" s="12" t="e">
        <f>(C68-C69)/C69</f>
        <v>#DIV/0!</v>
      </c>
      <c r="D71" s="12">
        <f t="shared" ref="D71:Y71" si="9">(D68-D69)/D69</f>
        <v>0.33333333333333326</v>
      </c>
      <c r="E71" s="12">
        <f t="shared" si="9"/>
        <v>7.4074074074074084E-2</v>
      </c>
      <c r="F71" s="12">
        <f t="shared" si="9"/>
        <v>0.46464646464646481</v>
      </c>
      <c r="G71" s="12">
        <f t="shared" si="9"/>
        <v>0.61111111111111105</v>
      </c>
      <c r="H71" s="12">
        <f t="shared" si="9"/>
        <v>1.4703703703703703</v>
      </c>
      <c r="I71" s="12">
        <f t="shared" si="9"/>
        <v>1.5777777777777775</v>
      </c>
      <c r="J71" s="12">
        <f t="shared" si="9"/>
        <v>-0.38624338624338628</v>
      </c>
      <c r="K71" s="12">
        <f t="shared" si="9"/>
        <v>0.65242165242165229</v>
      </c>
      <c r="L71" s="12">
        <f t="shared" si="9"/>
        <v>-0.15204678362573093</v>
      </c>
      <c r="M71" s="12">
        <f t="shared" si="9"/>
        <v>0.34259259259259256</v>
      </c>
      <c r="N71" s="12">
        <f t="shared" si="9"/>
        <v>7.4074074074074084E-2</v>
      </c>
      <c r="O71" s="12">
        <f t="shared" si="9"/>
        <v>1.8641975308641976</v>
      </c>
      <c r="P71" s="12">
        <f>(P68-P69)/P69</f>
        <v>1.8641975308641976</v>
      </c>
      <c r="Q71" s="12">
        <f t="shared" si="9"/>
        <v>-0.1428571428571429</v>
      </c>
      <c r="R71" s="12"/>
      <c r="S71" s="12">
        <f t="shared" si="9"/>
        <v>1</v>
      </c>
      <c r="T71" s="12"/>
      <c r="U71" s="12" t="e">
        <f t="shared" si="9"/>
        <v>#DIV/0!</v>
      </c>
      <c r="V71" s="12"/>
      <c r="W71" s="12">
        <f>(W68-W69)/W69</f>
        <v>0.34530490086045645</v>
      </c>
      <c r="X71" s="12">
        <f t="shared" si="9"/>
        <v>5.0735667174017882E-4</v>
      </c>
      <c r="Y71" s="12">
        <f t="shared" si="9"/>
        <v>0.34841309755830846</v>
      </c>
      <c r="AA71" s="12">
        <f>(AA68-AA69)/AA69</f>
        <v>0.15702518571268315</v>
      </c>
    </row>
    <row r="72" spans="1:27" s="3" customFormat="1">
      <c r="A72" s="2" t="s">
        <v>487</v>
      </c>
      <c r="B72" s="98">
        <f>STDEV(B3:B33)</f>
        <v>1.0267088458424103</v>
      </c>
      <c r="C72" s="98">
        <f t="shared" ref="C72:Y72" si="10">STDEV(C3:C33)</f>
        <v>0.57735026918962573</v>
      </c>
      <c r="D72" s="98">
        <f t="shared" si="10"/>
        <v>0.83205029433784372</v>
      </c>
      <c r="E72" s="98">
        <f t="shared" si="10"/>
        <v>0.89155582824172874</v>
      </c>
      <c r="F72" s="98">
        <f t="shared" si="10"/>
        <v>0.89155582824172863</v>
      </c>
      <c r="G72" s="98">
        <f t="shared" si="10"/>
        <v>0.97402153401141434</v>
      </c>
      <c r="H72" s="98">
        <f t="shared" si="10"/>
        <v>1.0267088458424103</v>
      </c>
      <c r="I72" s="98">
        <f t="shared" si="10"/>
        <v>0.69798244045211277</v>
      </c>
      <c r="J72" s="98">
        <f t="shared" si="10"/>
        <v>0.75106761619881079</v>
      </c>
      <c r="K72" s="98">
        <f t="shared" si="10"/>
        <v>0.90267093384843999</v>
      </c>
      <c r="L72" s="98">
        <f t="shared" si="10"/>
        <v>0.75106761619881079</v>
      </c>
      <c r="M72" s="98">
        <f t="shared" si="10"/>
        <v>0.48334070138798951</v>
      </c>
      <c r="N72" s="98">
        <f t="shared" si="10"/>
        <v>0.97402153401141434</v>
      </c>
      <c r="O72" s="98">
        <f t="shared" si="10"/>
        <v>0.86889916272589141</v>
      </c>
      <c r="P72" s="98">
        <f t="shared" si="10"/>
        <v>0.7240279857964913</v>
      </c>
      <c r="Q72" s="98">
        <f t="shared" si="10"/>
        <v>1.4142135623730951</v>
      </c>
      <c r="R72" s="98" t="e">
        <f t="shared" si="10"/>
        <v>#DIV/0!</v>
      </c>
      <c r="S72" s="98" t="e">
        <f t="shared" si="10"/>
        <v>#DIV/0!</v>
      </c>
      <c r="T72" s="98" t="e">
        <f t="shared" si="10"/>
        <v>#DIV/0!</v>
      </c>
      <c r="U72" s="98" t="e">
        <f t="shared" si="10"/>
        <v>#DIV/0!</v>
      </c>
      <c r="V72" s="98" t="e">
        <f t="shared" si="10"/>
        <v>#DIV/0!</v>
      </c>
      <c r="W72" s="98">
        <f t="shared" si="10"/>
        <v>8.660418523538512</v>
      </c>
      <c r="X72" s="98">
        <f t="shared" si="10"/>
        <v>0.42365927286816174</v>
      </c>
      <c r="Y72" s="98">
        <f t="shared" si="10"/>
        <v>0.53652542600269792</v>
      </c>
      <c r="AA72" s="98">
        <f>STDEV(AA3:AA33)</f>
        <v>0.36632388344245947</v>
      </c>
    </row>
    <row r="73" spans="1:27" s="3" customFormat="1">
      <c r="A73" s="2" t="s">
        <v>466</v>
      </c>
      <c r="B73" s="98">
        <f>STDEV(B35:B63)</f>
        <v>0.80484983147884614</v>
      </c>
      <c r="C73" s="98">
        <f t="shared" ref="C73:Y73" si="11">STDEV(C35:C63)</f>
        <v>0</v>
      </c>
      <c r="D73" s="98">
        <f t="shared" si="11"/>
        <v>0.69388866648871095</v>
      </c>
      <c r="E73" s="98">
        <f t="shared" si="11"/>
        <v>0.79716245539762254</v>
      </c>
      <c r="F73" s="98">
        <f t="shared" si="11"/>
        <v>0.98760794758248016</v>
      </c>
      <c r="G73" s="98">
        <f t="shared" si="11"/>
        <v>0.5526470114022356</v>
      </c>
      <c r="H73" s="98">
        <f t="shared" si="11"/>
        <v>0.5526470114022356</v>
      </c>
      <c r="I73" s="98">
        <f t="shared" si="11"/>
        <v>0.38442587221924479</v>
      </c>
      <c r="J73" s="98">
        <f t="shared" si="11"/>
        <v>0.99629856842134612</v>
      </c>
      <c r="K73" s="98">
        <f t="shared" si="11"/>
        <v>0.73611950197115827</v>
      </c>
      <c r="L73" s="98">
        <f t="shared" si="11"/>
        <v>0.72090528746676352</v>
      </c>
      <c r="M73" s="98">
        <f t="shared" si="11"/>
        <v>0.44111368238604581</v>
      </c>
      <c r="N73" s="98">
        <f t="shared" si="11"/>
        <v>0.70186240634359642</v>
      </c>
      <c r="O73" s="98">
        <f t="shared" si="11"/>
        <v>0.55708601453115558</v>
      </c>
      <c r="P73" s="98">
        <f t="shared" si="11"/>
        <v>0.40925259281898757</v>
      </c>
      <c r="Q73" s="98">
        <f t="shared" si="11"/>
        <v>0.57735026918962629</v>
      </c>
      <c r="R73" s="98" t="e">
        <f t="shared" si="11"/>
        <v>#DIV/0!</v>
      </c>
      <c r="S73" s="98" t="e">
        <f t="shared" si="11"/>
        <v>#DIV/0!</v>
      </c>
      <c r="T73" s="98" t="e">
        <f t="shared" si="11"/>
        <v>#DIV/0!</v>
      </c>
      <c r="U73" s="98" t="e">
        <f t="shared" si="11"/>
        <v>#DIV/0!</v>
      </c>
      <c r="V73" s="98" t="e">
        <f t="shared" si="11"/>
        <v>#DIV/0!</v>
      </c>
      <c r="W73" s="98">
        <f t="shared" si="11"/>
        <v>6.1590175788794284</v>
      </c>
      <c r="X73" s="98">
        <f t="shared" si="11"/>
        <v>0.48879060563561927</v>
      </c>
      <c r="Y73" s="98">
        <f t="shared" si="11"/>
        <v>0.38430246411329316</v>
      </c>
      <c r="AA73" s="98">
        <f>STDEV(AA35:AA63)</f>
        <v>0.29756635151948502</v>
      </c>
    </row>
    <row r="74" spans="1:27" s="73" customFormat="1">
      <c r="A74" s="23"/>
      <c r="E74" s="74"/>
      <c r="F74" s="75"/>
      <c r="G74" s="75"/>
    </row>
    <row r="75" spans="1:27">
      <c r="A75" t="s">
        <v>103</v>
      </c>
      <c r="B75">
        <v>1</v>
      </c>
      <c r="C75">
        <v>0</v>
      </c>
      <c r="D75">
        <v>0</v>
      </c>
      <c r="E75">
        <v>0</v>
      </c>
      <c r="F75">
        <v>1</v>
      </c>
      <c r="G75">
        <v>0</v>
      </c>
      <c r="H75">
        <v>1</v>
      </c>
      <c r="I75">
        <v>0</v>
      </c>
      <c r="J75">
        <v>1</v>
      </c>
      <c r="K75">
        <v>0</v>
      </c>
      <c r="L75">
        <v>0</v>
      </c>
      <c r="M75">
        <v>0</v>
      </c>
      <c r="N75">
        <v>1</v>
      </c>
      <c r="O75">
        <v>0</v>
      </c>
      <c r="P75">
        <v>0</v>
      </c>
      <c r="W75">
        <f>SUM(B75:T75)</f>
        <v>5</v>
      </c>
      <c r="X75">
        <f>COUNT(B75:Q75, S75)</f>
        <v>15</v>
      </c>
      <c r="Y75" s="1">
        <f>W75/X75</f>
        <v>0.33333333333333331</v>
      </c>
    </row>
    <row r="76" spans="1:27">
      <c r="A76" s="2" t="s">
        <v>121</v>
      </c>
      <c r="B76">
        <v>2</v>
      </c>
      <c r="C76">
        <v>0</v>
      </c>
      <c r="D76">
        <v>0</v>
      </c>
      <c r="E76">
        <v>0</v>
      </c>
      <c r="F76">
        <v>1</v>
      </c>
      <c r="G76">
        <v>0</v>
      </c>
      <c r="H76">
        <v>2</v>
      </c>
      <c r="I76">
        <v>0</v>
      </c>
      <c r="J76">
        <v>1</v>
      </c>
      <c r="K76">
        <v>0</v>
      </c>
      <c r="L76">
        <v>0</v>
      </c>
      <c r="M76">
        <v>0</v>
      </c>
      <c r="N76">
        <v>1</v>
      </c>
      <c r="O76">
        <v>0</v>
      </c>
      <c r="P76">
        <v>0</v>
      </c>
      <c r="W76">
        <f>SUM(B76:T76)</f>
        <v>7</v>
      </c>
      <c r="X76">
        <f>COUNT(B76:Q76, S76)</f>
        <v>15</v>
      </c>
      <c r="Y76" s="1">
        <f>W76/X76</f>
        <v>0.46666666666666667</v>
      </c>
    </row>
    <row r="77" spans="1:27" s="3" customFormat="1">
      <c r="A77"/>
      <c r="F77" s="4"/>
      <c r="G77" s="5"/>
      <c r="H77" s="5"/>
    </row>
    <row r="78" spans="1:27">
      <c r="A78" t="s">
        <v>104</v>
      </c>
      <c r="B78">
        <v>1</v>
      </c>
      <c r="C78">
        <v>0</v>
      </c>
      <c r="D78">
        <v>0</v>
      </c>
      <c r="E78">
        <v>1</v>
      </c>
      <c r="F78">
        <v>1</v>
      </c>
      <c r="G78">
        <v>0</v>
      </c>
      <c r="H78">
        <v>0</v>
      </c>
      <c r="I78">
        <v>0</v>
      </c>
      <c r="J78">
        <v>1</v>
      </c>
      <c r="K78">
        <v>0</v>
      </c>
      <c r="L78">
        <v>0</v>
      </c>
      <c r="M78">
        <v>0</v>
      </c>
      <c r="N78">
        <v>1</v>
      </c>
      <c r="O78">
        <v>0</v>
      </c>
      <c r="P78">
        <v>0</v>
      </c>
      <c r="W78">
        <f>SUM(B78:T78)</f>
        <v>5</v>
      </c>
      <c r="X78">
        <f>COUNT(B78:Q78, S78)</f>
        <v>15</v>
      </c>
      <c r="Y78" s="1">
        <f>W78/X78</f>
        <v>0.33333333333333331</v>
      </c>
    </row>
    <row r="79" spans="1:27">
      <c r="A79" s="2" t="s">
        <v>55</v>
      </c>
      <c r="B79">
        <v>2</v>
      </c>
      <c r="C79">
        <v>0</v>
      </c>
      <c r="D79">
        <v>1</v>
      </c>
      <c r="E79">
        <v>1</v>
      </c>
      <c r="F79">
        <v>1</v>
      </c>
      <c r="G79">
        <v>0</v>
      </c>
      <c r="H79">
        <v>0</v>
      </c>
      <c r="I79">
        <v>0</v>
      </c>
      <c r="J79">
        <v>0</v>
      </c>
      <c r="K79">
        <v>1</v>
      </c>
      <c r="L79">
        <v>0</v>
      </c>
      <c r="M79">
        <v>0</v>
      </c>
      <c r="N79">
        <v>1</v>
      </c>
      <c r="O79">
        <v>0</v>
      </c>
      <c r="P79">
        <v>0</v>
      </c>
      <c r="W79">
        <f>SUM(B79:T79)</f>
        <v>7</v>
      </c>
      <c r="X79">
        <f>COUNT(B79:Q79, S79)</f>
        <v>15</v>
      </c>
      <c r="Y79" s="1">
        <f>W79/X79</f>
        <v>0.46666666666666667</v>
      </c>
    </row>
    <row r="81" spans="1:25">
      <c r="A81" t="s">
        <v>106</v>
      </c>
      <c r="B81">
        <v>1</v>
      </c>
      <c r="C81">
        <v>0</v>
      </c>
      <c r="D81">
        <v>0</v>
      </c>
      <c r="E81">
        <v>0</v>
      </c>
      <c r="F81">
        <v>0</v>
      </c>
      <c r="G81">
        <v>0</v>
      </c>
      <c r="H81">
        <v>0</v>
      </c>
      <c r="I81">
        <v>0</v>
      </c>
      <c r="J81">
        <v>0</v>
      </c>
      <c r="K81">
        <v>1</v>
      </c>
      <c r="L81">
        <v>0</v>
      </c>
      <c r="M81">
        <v>0</v>
      </c>
      <c r="N81">
        <v>0</v>
      </c>
      <c r="O81">
        <v>0</v>
      </c>
      <c r="P81">
        <v>0</v>
      </c>
      <c r="Q81">
        <v>1</v>
      </c>
      <c r="R81" t="s">
        <v>339</v>
      </c>
      <c r="W81">
        <f>SUM(B81:T81)</f>
        <v>3</v>
      </c>
      <c r="X81">
        <f>COUNT(B81:Q81, S81)</f>
        <v>16</v>
      </c>
      <c r="Y81" s="1">
        <f>W81/X81</f>
        <v>0.1875</v>
      </c>
    </row>
    <row r="82" spans="1:25">
      <c r="A82" t="s">
        <v>123</v>
      </c>
      <c r="B82">
        <v>2</v>
      </c>
      <c r="C82">
        <v>0</v>
      </c>
      <c r="D82">
        <v>0</v>
      </c>
      <c r="E82">
        <v>0</v>
      </c>
      <c r="F82">
        <v>0</v>
      </c>
      <c r="G82">
        <v>0</v>
      </c>
      <c r="H82">
        <v>0</v>
      </c>
      <c r="I82">
        <v>0</v>
      </c>
      <c r="J82">
        <v>0</v>
      </c>
      <c r="K82">
        <v>1</v>
      </c>
      <c r="L82">
        <v>0</v>
      </c>
      <c r="M82">
        <v>0</v>
      </c>
      <c r="N82">
        <v>1</v>
      </c>
      <c r="O82">
        <v>0</v>
      </c>
      <c r="P82">
        <v>0</v>
      </c>
      <c r="Q82">
        <v>1</v>
      </c>
      <c r="R82" t="s">
        <v>339</v>
      </c>
      <c r="W82">
        <f>SUM(B82:T82)</f>
        <v>5</v>
      </c>
      <c r="X82">
        <f>COUNT(B82:Q82, S82)</f>
        <v>16</v>
      </c>
      <c r="Y82" s="1">
        <f>W82/X82</f>
        <v>0.3125</v>
      </c>
    </row>
    <row r="83" spans="1:25">
      <c r="A83" t="s">
        <v>59</v>
      </c>
      <c r="B83">
        <v>2</v>
      </c>
      <c r="C83">
        <v>0</v>
      </c>
      <c r="D83">
        <v>0</v>
      </c>
      <c r="E83">
        <v>0</v>
      </c>
      <c r="F83">
        <v>0</v>
      </c>
      <c r="G83">
        <v>0</v>
      </c>
      <c r="H83">
        <v>0</v>
      </c>
      <c r="I83">
        <v>0</v>
      </c>
      <c r="J83">
        <v>0</v>
      </c>
      <c r="K83">
        <v>1</v>
      </c>
      <c r="L83">
        <v>0</v>
      </c>
      <c r="M83">
        <v>0</v>
      </c>
      <c r="N83">
        <v>1</v>
      </c>
      <c r="O83">
        <v>0</v>
      </c>
      <c r="P83">
        <v>0</v>
      </c>
      <c r="Q83">
        <v>1</v>
      </c>
      <c r="R83" t="s">
        <v>339</v>
      </c>
      <c r="W83">
        <f>SUM(B83:T83)</f>
        <v>5</v>
      </c>
      <c r="X83">
        <f>COUNT(B83:Q83, S83)</f>
        <v>16</v>
      </c>
      <c r="Y83" s="1">
        <f>W83/X83</f>
        <v>0.3125</v>
      </c>
    </row>
    <row r="84" spans="1:25" s="3" customFormat="1">
      <c r="A84"/>
      <c r="F84" s="4"/>
      <c r="G84" s="5"/>
      <c r="H84" s="5"/>
    </row>
    <row r="85" spans="1:25">
      <c r="A85" t="s">
        <v>107</v>
      </c>
      <c r="B85">
        <v>1</v>
      </c>
      <c r="C85">
        <v>0</v>
      </c>
      <c r="D85">
        <v>1</v>
      </c>
      <c r="E85">
        <v>0</v>
      </c>
      <c r="F85">
        <v>1</v>
      </c>
      <c r="G85">
        <v>0</v>
      </c>
      <c r="H85">
        <v>0</v>
      </c>
      <c r="I85">
        <v>1</v>
      </c>
      <c r="J85">
        <v>0</v>
      </c>
      <c r="K85">
        <v>1</v>
      </c>
      <c r="L85">
        <v>1</v>
      </c>
      <c r="M85">
        <v>0</v>
      </c>
      <c r="N85">
        <v>0</v>
      </c>
      <c r="O85">
        <v>0</v>
      </c>
      <c r="P85">
        <v>0</v>
      </c>
      <c r="W85">
        <f>SUM(B85:T85)</f>
        <v>6</v>
      </c>
      <c r="X85">
        <f>COUNT(B85:Q85, S85)</f>
        <v>15</v>
      </c>
      <c r="Y85" s="1">
        <f>W85/X85</f>
        <v>0.4</v>
      </c>
    </row>
    <row r="86" spans="1:25">
      <c r="A86" t="s">
        <v>124</v>
      </c>
      <c r="B86">
        <v>2</v>
      </c>
      <c r="C86">
        <v>0</v>
      </c>
      <c r="D86">
        <v>1</v>
      </c>
      <c r="E86">
        <v>0</v>
      </c>
      <c r="F86">
        <v>1</v>
      </c>
      <c r="G86">
        <v>0</v>
      </c>
      <c r="H86">
        <v>0</v>
      </c>
      <c r="I86">
        <v>1</v>
      </c>
      <c r="J86">
        <v>0</v>
      </c>
      <c r="K86">
        <v>2</v>
      </c>
      <c r="L86">
        <v>1</v>
      </c>
      <c r="M86">
        <v>0</v>
      </c>
      <c r="N86">
        <v>0</v>
      </c>
      <c r="O86">
        <v>0</v>
      </c>
      <c r="P86">
        <v>0</v>
      </c>
      <c r="W86">
        <f>SUM(B86:T86)</f>
        <v>8</v>
      </c>
      <c r="X86">
        <f>COUNT(B86:Q86, S86)</f>
        <v>15</v>
      </c>
      <c r="Y86" s="1">
        <f>W86/X86</f>
        <v>0.53333333333333333</v>
      </c>
    </row>
    <row r="87" spans="1:25">
      <c r="A87" t="s">
        <v>122</v>
      </c>
      <c r="B87">
        <v>2</v>
      </c>
      <c r="C87">
        <v>0</v>
      </c>
      <c r="D87">
        <v>1</v>
      </c>
      <c r="E87">
        <v>0</v>
      </c>
      <c r="F87">
        <v>1</v>
      </c>
      <c r="G87">
        <v>0</v>
      </c>
      <c r="H87">
        <v>0</v>
      </c>
      <c r="I87">
        <v>1</v>
      </c>
      <c r="J87">
        <v>0</v>
      </c>
      <c r="K87">
        <v>2</v>
      </c>
      <c r="L87">
        <v>1</v>
      </c>
      <c r="M87">
        <v>0</v>
      </c>
      <c r="N87">
        <v>0</v>
      </c>
      <c r="O87">
        <v>0</v>
      </c>
      <c r="P87">
        <v>0</v>
      </c>
      <c r="W87">
        <f>SUM(B87:T87)</f>
        <v>8</v>
      </c>
      <c r="X87">
        <f>COUNT(B87:Q87, S87)</f>
        <v>15</v>
      </c>
      <c r="Y87" s="1">
        <f>W87/X87</f>
        <v>0.53333333333333333</v>
      </c>
    </row>
    <row r="88" spans="1:25" s="3" customFormat="1">
      <c r="A88"/>
      <c r="F88" s="4"/>
      <c r="G88" s="5"/>
      <c r="H88" s="5"/>
    </row>
    <row r="89" spans="1:25">
      <c r="A89" t="s">
        <v>125</v>
      </c>
      <c r="B89">
        <v>1</v>
      </c>
      <c r="C89">
        <v>0</v>
      </c>
      <c r="D89">
        <v>0</v>
      </c>
      <c r="E89">
        <v>0</v>
      </c>
      <c r="F89">
        <v>0</v>
      </c>
      <c r="G89">
        <v>0</v>
      </c>
      <c r="H89">
        <v>0</v>
      </c>
      <c r="I89">
        <v>0</v>
      </c>
      <c r="J89">
        <v>0</v>
      </c>
      <c r="K89">
        <v>1</v>
      </c>
      <c r="L89">
        <v>1</v>
      </c>
      <c r="M89">
        <v>0</v>
      </c>
      <c r="N89">
        <v>0</v>
      </c>
      <c r="O89">
        <v>0</v>
      </c>
      <c r="P89">
        <v>0</v>
      </c>
      <c r="W89">
        <f>SUM(B89:T89)</f>
        <v>3</v>
      </c>
      <c r="X89">
        <f>COUNT(B89:Q89, S89)</f>
        <v>15</v>
      </c>
      <c r="Y89" s="1">
        <f>W89/X89</f>
        <v>0.2</v>
      </c>
    </row>
    <row r="90" spans="1:25">
      <c r="A90" t="s">
        <v>93</v>
      </c>
      <c r="B90">
        <v>1</v>
      </c>
      <c r="C90">
        <v>0</v>
      </c>
      <c r="D90">
        <v>1</v>
      </c>
      <c r="E90">
        <v>1</v>
      </c>
      <c r="F90">
        <v>0</v>
      </c>
      <c r="G90">
        <v>0</v>
      </c>
      <c r="H90">
        <v>0</v>
      </c>
      <c r="I90">
        <v>0</v>
      </c>
      <c r="J90">
        <v>0</v>
      </c>
      <c r="K90">
        <v>1</v>
      </c>
      <c r="L90">
        <v>1</v>
      </c>
      <c r="M90">
        <v>0</v>
      </c>
      <c r="N90">
        <v>1</v>
      </c>
      <c r="O90">
        <v>0</v>
      </c>
      <c r="P90">
        <v>0</v>
      </c>
      <c r="W90">
        <f>SUM(B90:T90)</f>
        <v>6</v>
      </c>
      <c r="X90">
        <f>COUNT(B90:Q90, S90)</f>
        <v>15</v>
      </c>
      <c r="Y90" s="1">
        <f>W90/X90</f>
        <v>0.4</v>
      </c>
    </row>
    <row r="91" spans="1:25" s="3" customFormat="1">
      <c r="A91"/>
      <c r="F91" s="4"/>
      <c r="G91" s="5"/>
      <c r="H91" s="5"/>
    </row>
    <row r="92" spans="1:25">
      <c r="A92" t="s">
        <v>110</v>
      </c>
      <c r="B92">
        <v>0</v>
      </c>
      <c r="C92">
        <v>0</v>
      </c>
      <c r="D92">
        <v>0</v>
      </c>
      <c r="E92">
        <v>0</v>
      </c>
      <c r="F92">
        <v>0</v>
      </c>
      <c r="G92">
        <v>0</v>
      </c>
      <c r="H92">
        <v>0</v>
      </c>
      <c r="I92">
        <v>0</v>
      </c>
      <c r="J92">
        <v>1</v>
      </c>
      <c r="K92">
        <v>0</v>
      </c>
      <c r="L92">
        <v>1</v>
      </c>
      <c r="M92">
        <v>0</v>
      </c>
      <c r="N92">
        <v>0</v>
      </c>
      <c r="O92">
        <v>0</v>
      </c>
      <c r="P92">
        <v>0</v>
      </c>
      <c r="W92">
        <f>SUM(B92:T92)</f>
        <v>2</v>
      </c>
      <c r="X92">
        <f>COUNT(B92:Q92, S92)</f>
        <v>15</v>
      </c>
      <c r="Y92" s="1">
        <f>W92/X92</f>
        <v>0.13333333333333333</v>
      </c>
    </row>
    <row r="93" spans="1:25">
      <c r="A93" t="s">
        <v>97</v>
      </c>
      <c r="B93">
        <v>0</v>
      </c>
      <c r="C93">
        <v>0</v>
      </c>
      <c r="D93">
        <v>0</v>
      </c>
      <c r="E93">
        <v>0</v>
      </c>
      <c r="F93">
        <v>0</v>
      </c>
      <c r="G93">
        <v>0</v>
      </c>
      <c r="H93">
        <v>0</v>
      </c>
      <c r="I93">
        <v>0</v>
      </c>
      <c r="J93">
        <v>0</v>
      </c>
      <c r="K93">
        <v>0</v>
      </c>
      <c r="L93">
        <v>1</v>
      </c>
      <c r="M93">
        <v>0</v>
      </c>
      <c r="N93">
        <v>1</v>
      </c>
      <c r="O93">
        <v>0</v>
      </c>
      <c r="P93">
        <v>0</v>
      </c>
      <c r="W93">
        <f>SUM(B93:T93)</f>
        <v>2</v>
      </c>
      <c r="X93">
        <f>COUNT(B93:Q93, S93)</f>
        <v>15</v>
      </c>
      <c r="Y93" s="1">
        <f>W93/X93</f>
        <v>0.13333333333333333</v>
      </c>
    </row>
    <row r="94" spans="1:25" s="3" customFormat="1">
      <c r="A94"/>
      <c r="F94" s="4"/>
      <c r="G94" s="5"/>
      <c r="H94" s="5"/>
    </row>
    <row r="95" spans="1:25" s="3" customFormat="1">
      <c r="A95"/>
      <c r="F95" s="4"/>
      <c r="G95" s="5"/>
      <c r="H95" s="5"/>
    </row>
    <row r="96" spans="1:25" s="3" customFormat="1">
      <c r="A96" t="s">
        <v>111</v>
      </c>
      <c r="F96" s="6"/>
      <c r="G96" s="7"/>
      <c r="H96" s="7"/>
      <c r="J96" s="6"/>
    </row>
    <row r="98" spans="1:25">
      <c r="A98" t="s">
        <v>89</v>
      </c>
      <c r="B98">
        <v>1</v>
      </c>
      <c r="C98">
        <v>0</v>
      </c>
      <c r="D98">
        <v>1</v>
      </c>
      <c r="E98">
        <v>0</v>
      </c>
      <c r="F98">
        <v>2</v>
      </c>
      <c r="G98">
        <v>0</v>
      </c>
      <c r="H98">
        <v>0</v>
      </c>
      <c r="I98">
        <v>0</v>
      </c>
      <c r="J98">
        <v>0</v>
      </c>
      <c r="K98">
        <v>0</v>
      </c>
      <c r="L98">
        <v>0</v>
      </c>
      <c r="M98">
        <v>0</v>
      </c>
      <c r="N98">
        <v>0</v>
      </c>
      <c r="O98">
        <v>0</v>
      </c>
      <c r="P98">
        <v>0</v>
      </c>
      <c r="W98">
        <f>SUM(B98:T98)</f>
        <v>4</v>
      </c>
      <c r="X98">
        <f>COUNT(B98:Q98, S98)</f>
        <v>15</v>
      </c>
      <c r="Y98" s="1">
        <f>W98/X98</f>
        <v>0.26666666666666666</v>
      </c>
    </row>
  </sheetData>
  <pageMargins left="0.7" right="0.7" top="0.75" bottom="0.75" header="0.3" footer="0.3"/>
  <pageSetup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A3" sqref="A3:A33"/>
    </sheetView>
  </sheetViews>
  <sheetFormatPr defaultColWidth="12.5703125" defaultRowHeight="15.75"/>
  <cols>
    <col min="1" max="16384" width="12.5703125" style="80"/>
  </cols>
  <sheetData>
    <row r="1" spans="1:6">
      <c r="A1" s="80" t="s">
        <v>455</v>
      </c>
      <c r="B1" s="80" t="s">
        <v>454</v>
      </c>
      <c r="C1" s="80" t="s">
        <v>453</v>
      </c>
      <c r="D1" s="80" t="s">
        <v>452</v>
      </c>
      <c r="E1" s="80" t="s">
        <v>451</v>
      </c>
      <c r="F1" s="80" t="s">
        <v>450</v>
      </c>
    </row>
    <row r="3" spans="1:6">
      <c r="A3" s="80" t="s">
        <v>449</v>
      </c>
      <c r="B3" s="80">
        <v>19</v>
      </c>
      <c r="C3" s="80">
        <v>14</v>
      </c>
      <c r="E3" s="80">
        <v>12</v>
      </c>
      <c r="F3" s="80">
        <v>4</v>
      </c>
    </row>
    <row r="4" spans="1:6">
      <c r="A4" s="80" t="s">
        <v>448</v>
      </c>
      <c r="B4" s="80">
        <v>28</v>
      </c>
      <c r="D4" s="80">
        <v>14</v>
      </c>
      <c r="E4" s="80">
        <v>8</v>
      </c>
      <c r="F4" s="80">
        <v>5</v>
      </c>
    </row>
    <row r="5" spans="1:6">
      <c r="A5" s="80" t="s">
        <v>42</v>
      </c>
      <c r="B5" s="80">
        <v>24</v>
      </c>
      <c r="D5" s="80">
        <v>12</v>
      </c>
      <c r="E5" s="80">
        <v>5</v>
      </c>
      <c r="F5" s="80">
        <v>4</v>
      </c>
    </row>
    <row r="6" spans="1:6">
      <c r="A6" s="80" t="s">
        <v>43</v>
      </c>
      <c r="B6" s="80">
        <v>16</v>
      </c>
      <c r="C6" s="80">
        <v>20</v>
      </c>
      <c r="E6" s="80">
        <v>9</v>
      </c>
      <c r="F6" s="80">
        <v>5</v>
      </c>
    </row>
    <row r="7" spans="1:6">
      <c r="A7" s="80" t="s">
        <v>44</v>
      </c>
      <c r="B7" s="80">
        <v>17</v>
      </c>
      <c r="D7" s="80">
        <v>11</v>
      </c>
      <c r="E7" s="80">
        <v>4</v>
      </c>
      <c r="F7" s="80">
        <v>5</v>
      </c>
    </row>
    <row r="8" spans="1:6">
      <c r="A8" s="80" t="s">
        <v>45</v>
      </c>
      <c r="B8" s="80">
        <v>17</v>
      </c>
      <c r="D8" s="80">
        <v>10</v>
      </c>
      <c r="E8" s="80">
        <v>5</v>
      </c>
      <c r="F8" s="80">
        <v>5</v>
      </c>
    </row>
    <row r="9" spans="1:6">
      <c r="A9" s="80" t="s">
        <v>112</v>
      </c>
      <c r="B9" s="80">
        <v>26</v>
      </c>
      <c r="D9" s="80">
        <v>14</v>
      </c>
      <c r="E9" s="80">
        <v>9</v>
      </c>
      <c r="F9" s="80">
        <v>4</v>
      </c>
    </row>
    <row r="10" spans="1:6">
      <c r="A10" s="80" t="s">
        <v>48</v>
      </c>
      <c r="B10" s="80">
        <v>16</v>
      </c>
      <c r="D10" s="80">
        <v>11</v>
      </c>
      <c r="E10" s="80">
        <v>8</v>
      </c>
      <c r="F10" s="80">
        <v>5</v>
      </c>
    </row>
    <row r="11" spans="1:6">
      <c r="A11" s="80" t="s">
        <v>49</v>
      </c>
      <c r="B11" s="80">
        <v>10</v>
      </c>
      <c r="C11" s="80">
        <v>12</v>
      </c>
      <c r="E11" s="80">
        <v>7</v>
      </c>
      <c r="F11" s="80">
        <v>3</v>
      </c>
    </row>
    <row r="12" spans="1:6">
      <c r="A12" s="80" t="s">
        <v>50</v>
      </c>
      <c r="B12" s="80">
        <v>23</v>
      </c>
      <c r="C12" s="80">
        <v>15</v>
      </c>
      <c r="E12" s="80">
        <v>8</v>
      </c>
      <c r="F12" s="80">
        <v>5</v>
      </c>
    </row>
    <row r="13" spans="1:6">
      <c r="A13" s="80" t="s">
        <v>51</v>
      </c>
      <c r="B13" s="80">
        <v>12</v>
      </c>
      <c r="C13" s="80">
        <v>13</v>
      </c>
      <c r="E13" s="80">
        <v>6</v>
      </c>
      <c r="F13" s="80">
        <v>3</v>
      </c>
    </row>
    <row r="14" spans="1:6">
      <c r="A14" s="80" t="s">
        <v>52</v>
      </c>
      <c r="B14" s="80">
        <v>26</v>
      </c>
      <c r="D14" s="80">
        <v>9</v>
      </c>
      <c r="E14" s="80">
        <v>8</v>
      </c>
      <c r="F14" s="80">
        <v>5</v>
      </c>
    </row>
    <row r="15" spans="1:6">
      <c r="A15" s="80" t="s">
        <v>53</v>
      </c>
      <c r="B15" s="80">
        <v>17</v>
      </c>
      <c r="D15" s="80">
        <v>11</v>
      </c>
      <c r="E15" s="80">
        <v>6</v>
      </c>
      <c r="F15" s="80">
        <v>5</v>
      </c>
    </row>
    <row r="16" spans="1:6">
      <c r="A16" s="80" t="s">
        <v>54</v>
      </c>
      <c r="B16" s="80">
        <v>22</v>
      </c>
      <c r="D16" s="80">
        <v>14</v>
      </c>
      <c r="E16" s="80">
        <v>5</v>
      </c>
      <c r="F16" s="80">
        <v>5</v>
      </c>
    </row>
    <row r="17" spans="1:6">
      <c r="A17" s="80" t="s">
        <v>113</v>
      </c>
      <c r="B17" s="80">
        <v>15</v>
      </c>
      <c r="C17" s="80">
        <v>16</v>
      </c>
      <c r="E17" s="80">
        <v>8</v>
      </c>
      <c r="F17" s="80">
        <v>5</v>
      </c>
    </row>
    <row r="18" spans="1:6">
      <c r="A18" s="80" t="s">
        <v>56</v>
      </c>
      <c r="B18" s="80">
        <v>23</v>
      </c>
      <c r="D18" s="80">
        <v>12</v>
      </c>
      <c r="E18" s="80">
        <v>10</v>
      </c>
      <c r="F18" s="80">
        <v>4</v>
      </c>
    </row>
    <row r="19" spans="1:6">
      <c r="A19" s="80" t="s">
        <v>114</v>
      </c>
      <c r="B19" s="80">
        <v>20</v>
      </c>
      <c r="C19" s="80">
        <v>14</v>
      </c>
      <c r="E19" s="80">
        <v>5</v>
      </c>
      <c r="F19" s="80">
        <v>4</v>
      </c>
    </row>
    <row r="20" spans="1:6">
      <c r="A20" s="80" t="s">
        <v>58</v>
      </c>
      <c r="B20" s="80">
        <v>10</v>
      </c>
      <c r="C20" s="80">
        <v>19</v>
      </c>
      <c r="E20" s="80">
        <v>5</v>
      </c>
      <c r="F20" s="80">
        <v>5</v>
      </c>
    </row>
    <row r="22" spans="1:6">
      <c r="A22" s="80" t="s">
        <v>115</v>
      </c>
      <c r="B22" s="80">
        <v>26</v>
      </c>
      <c r="C22" s="80">
        <v>22</v>
      </c>
      <c r="E22" s="80">
        <v>10</v>
      </c>
      <c r="F22" s="80">
        <v>4</v>
      </c>
    </row>
    <row r="23" spans="1:6">
      <c r="A23" s="80" t="s">
        <v>60</v>
      </c>
      <c r="B23" s="80">
        <v>22</v>
      </c>
      <c r="D23" s="80">
        <v>12</v>
      </c>
      <c r="E23" s="80">
        <v>10</v>
      </c>
      <c r="F23" s="80">
        <v>5</v>
      </c>
    </row>
    <row r="24" spans="1:6">
      <c r="A24" s="80" t="s">
        <v>61</v>
      </c>
      <c r="B24" s="80">
        <v>25</v>
      </c>
      <c r="D24" s="80">
        <v>13</v>
      </c>
      <c r="E24" s="80">
        <v>10</v>
      </c>
      <c r="F24" s="80">
        <v>4</v>
      </c>
    </row>
    <row r="25" spans="1:6">
      <c r="A25" s="80" t="s">
        <v>63</v>
      </c>
      <c r="B25" s="80">
        <v>30</v>
      </c>
      <c r="D25" s="80">
        <v>14</v>
      </c>
      <c r="E25" s="80">
        <v>8</v>
      </c>
      <c r="F25" s="80">
        <v>5</v>
      </c>
    </row>
    <row r="26" spans="1:6">
      <c r="A26" s="80" t="s">
        <v>64</v>
      </c>
      <c r="B26" s="80">
        <v>25</v>
      </c>
      <c r="C26" s="80">
        <v>19</v>
      </c>
      <c r="E26" s="80">
        <v>10</v>
      </c>
      <c r="F26" s="80">
        <v>5</v>
      </c>
    </row>
    <row r="27" spans="1:6">
      <c r="A27" s="80" t="s">
        <v>116</v>
      </c>
      <c r="B27" s="80">
        <v>25</v>
      </c>
      <c r="C27" s="80">
        <v>18</v>
      </c>
      <c r="E27" s="80">
        <v>8</v>
      </c>
      <c r="F27" s="80">
        <v>5</v>
      </c>
    </row>
    <row r="28" spans="1:6">
      <c r="A28" s="80" t="s">
        <v>66</v>
      </c>
      <c r="B28" s="80">
        <v>28</v>
      </c>
      <c r="C28" s="80">
        <v>19</v>
      </c>
      <c r="E28" s="80">
        <v>7</v>
      </c>
      <c r="F28" s="80">
        <v>5</v>
      </c>
    </row>
    <row r="29" spans="1:6">
      <c r="A29" s="80" t="s">
        <v>67</v>
      </c>
      <c r="B29" s="80">
        <v>14</v>
      </c>
      <c r="D29" s="80">
        <v>11</v>
      </c>
      <c r="E29" s="80">
        <v>7</v>
      </c>
      <c r="F29" s="80">
        <v>4</v>
      </c>
    </row>
    <row r="30" spans="1:6">
      <c r="A30" s="80" t="s">
        <v>68</v>
      </c>
      <c r="B30" s="80">
        <v>17</v>
      </c>
      <c r="D30" s="80">
        <v>11</v>
      </c>
      <c r="E30" s="80">
        <v>4</v>
      </c>
      <c r="F30" s="80">
        <v>5</v>
      </c>
    </row>
    <row r="31" spans="1:6">
      <c r="A31" s="80" t="s">
        <v>69</v>
      </c>
      <c r="B31" s="80">
        <v>24</v>
      </c>
      <c r="D31" s="80">
        <v>14</v>
      </c>
      <c r="E31" s="80">
        <v>6</v>
      </c>
      <c r="F31" s="80">
        <v>5</v>
      </c>
    </row>
    <row r="32" spans="1:6">
      <c r="A32" s="80" t="s">
        <v>70</v>
      </c>
      <c r="B32" s="80">
        <v>17</v>
      </c>
      <c r="C32" s="80">
        <v>18</v>
      </c>
      <c r="E32" s="80">
        <v>10</v>
      </c>
      <c r="F32" s="80">
        <v>5</v>
      </c>
    </row>
    <row r="33" spans="1:6">
      <c r="A33" s="80" t="s">
        <v>71</v>
      </c>
      <c r="B33" s="80">
        <v>28</v>
      </c>
      <c r="D33" s="80">
        <v>14</v>
      </c>
      <c r="E33" s="80">
        <v>6</v>
      </c>
      <c r="F33" s="80">
        <v>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77"/>
  <sheetViews>
    <sheetView workbookViewId="0">
      <pane xSplit="4" ySplit="1" topLeftCell="BD2" activePane="bottomRight" state="frozen"/>
      <selection pane="topRight" activeCell="E1" sqref="E1"/>
      <selection pane="bottomLeft" activeCell="A2" sqref="A2"/>
      <selection pane="bottomRight" activeCell="BN1" sqref="BN1"/>
    </sheetView>
  </sheetViews>
  <sheetFormatPr defaultRowHeight="15"/>
  <sheetData>
    <row r="1" spans="1:140">
      <c r="A1" t="s">
        <v>615</v>
      </c>
      <c r="B1" t="s">
        <v>616</v>
      </c>
      <c r="C1" t="s">
        <v>617</v>
      </c>
      <c r="D1" t="s">
        <v>618</v>
      </c>
      <c r="E1" t="s">
        <v>619</v>
      </c>
      <c r="F1" t="s">
        <v>620</v>
      </c>
      <c r="G1" t="s">
        <v>621</v>
      </c>
      <c r="H1" t="s">
        <v>622</v>
      </c>
      <c r="I1" t="s">
        <v>623</v>
      </c>
      <c r="J1" t="s">
        <v>624</v>
      </c>
      <c r="K1" t="s">
        <v>625</v>
      </c>
      <c r="L1" t="s">
        <v>626</v>
      </c>
      <c r="M1" t="s">
        <v>627</v>
      </c>
      <c r="N1" t="s">
        <v>628</v>
      </c>
      <c r="O1" t="s">
        <v>629</v>
      </c>
      <c r="P1" t="s">
        <v>630</v>
      </c>
      <c r="Q1" t="s">
        <v>631</v>
      </c>
      <c r="R1" t="s">
        <v>632</v>
      </c>
      <c r="S1" t="s">
        <v>633</v>
      </c>
      <c r="T1" t="s">
        <v>634</v>
      </c>
      <c r="U1" t="s">
        <v>635</v>
      </c>
      <c r="V1" t="s">
        <v>636</v>
      </c>
      <c r="W1" t="s">
        <v>637</v>
      </c>
      <c r="X1" t="s">
        <v>638</v>
      </c>
      <c r="Y1" t="s">
        <v>639</v>
      </c>
      <c r="Z1" t="s">
        <v>640</v>
      </c>
      <c r="AA1" t="s">
        <v>641</v>
      </c>
      <c r="AB1" t="s">
        <v>642</v>
      </c>
      <c r="AC1" t="s">
        <v>643</v>
      </c>
      <c r="AD1" t="s">
        <v>644</v>
      </c>
      <c r="AE1" t="s">
        <v>645</v>
      </c>
      <c r="AF1" t="s">
        <v>646</v>
      </c>
      <c r="AG1" t="s">
        <v>647</v>
      </c>
      <c r="AH1" t="s">
        <v>648</v>
      </c>
      <c r="AI1" t="s">
        <v>649</v>
      </c>
      <c r="AJ1" t="s">
        <v>650</v>
      </c>
      <c r="AK1" t="s">
        <v>651</v>
      </c>
      <c r="AL1" t="s">
        <v>652</v>
      </c>
      <c r="AM1" t="s">
        <v>653</v>
      </c>
      <c r="AN1" t="s">
        <v>654</v>
      </c>
      <c r="AO1" t="s">
        <v>655</v>
      </c>
      <c r="AP1" t="s">
        <v>656</v>
      </c>
      <c r="AQ1" t="s">
        <v>657</v>
      </c>
      <c r="AR1" t="s">
        <v>658</v>
      </c>
      <c r="AS1" t="s">
        <v>659</v>
      </c>
      <c r="AT1" t="s">
        <v>660</v>
      </c>
      <c r="AU1" t="s">
        <v>661</v>
      </c>
      <c r="AV1" t="s">
        <v>662</v>
      </c>
      <c r="AW1" t="s">
        <v>663</v>
      </c>
      <c r="AX1" t="s">
        <v>664</v>
      </c>
      <c r="AY1" t="s">
        <v>665</v>
      </c>
      <c r="AZ1" t="s">
        <v>666</v>
      </c>
      <c r="BA1" t="s">
        <v>667</v>
      </c>
      <c r="BB1" t="s">
        <v>668</v>
      </c>
      <c r="BC1" t="s">
        <v>669</v>
      </c>
      <c r="BD1" t="s">
        <v>670</v>
      </c>
      <c r="BE1" t="s">
        <v>671</v>
      </c>
      <c r="BF1" t="s">
        <v>672</v>
      </c>
      <c r="BG1" t="s">
        <v>673</v>
      </c>
      <c r="BH1" t="s">
        <v>674</v>
      </c>
      <c r="BI1" t="s">
        <v>675</v>
      </c>
      <c r="BJ1" t="s">
        <v>676</v>
      </c>
      <c r="BK1" t="s">
        <v>677</v>
      </c>
      <c r="BL1" t="s">
        <v>678</v>
      </c>
      <c r="BM1" t="s">
        <v>679</v>
      </c>
      <c r="BN1" t="s">
        <v>680</v>
      </c>
      <c r="BO1" t="s">
        <v>681</v>
      </c>
      <c r="BP1" t="s">
        <v>682</v>
      </c>
      <c r="BQ1" t="s">
        <v>683</v>
      </c>
      <c r="BR1" t="s">
        <v>684</v>
      </c>
      <c r="BS1" t="s">
        <v>685</v>
      </c>
      <c r="BT1" t="s">
        <v>686</v>
      </c>
      <c r="BU1" t="s">
        <v>687</v>
      </c>
      <c r="BV1" t="s">
        <v>688</v>
      </c>
      <c r="BW1" t="s">
        <v>689</v>
      </c>
      <c r="BX1" t="s">
        <v>690</v>
      </c>
      <c r="BY1" t="s">
        <v>691</v>
      </c>
      <c r="BZ1" t="s">
        <v>692</v>
      </c>
      <c r="CA1" t="s">
        <v>693</v>
      </c>
      <c r="CB1" t="s">
        <v>694</v>
      </c>
      <c r="CC1" t="s">
        <v>695</v>
      </c>
      <c r="CD1" t="s">
        <v>696</v>
      </c>
      <c r="CE1" t="s">
        <v>697</v>
      </c>
      <c r="CF1" t="s">
        <v>698</v>
      </c>
      <c r="CG1" t="s">
        <v>699</v>
      </c>
      <c r="CH1" t="s">
        <v>700</v>
      </c>
      <c r="CI1" t="s">
        <v>701</v>
      </c>
      <c r="CJ1" t="s">
        <v>702</v>
      </c>
      <c r="CK1" t="s">
        <v>703</v>
      </c>
      <c r="CL1" t="s">
        <v>704</v>
      </c>
      <c r="CM1" t="s">
        <v>705</v>
      </c>
      <c r="CN1" t="s">
        <v>706</v>
      </c>
      <c r="CO1" t="s">
        <v>707</v>
      </c>
      <c r="CP1" t="s">
        <v>708</v>
      </c>
      <c r="CQ1" t="s">
        <v>709</v>
      </c>
      <c r="CR1" t="s">
        <v>710</v>
      </c>
      <c r="CS1" t="s">
        <v>711</v>
      </c>
      <c r="CT1" t="s">
        <v>712</v>
      </c>
      <c r="CU1" t="s">
        <v>713</v>
      </c>
      <c r="CV1" t="s">
        <v>714</v>
      </c>
      <c r="CW1" t="s">
        <v>715</v>
      </c>
      <c r="CX1" t="s">
        <v>716</v>
      </c>
      <c r="CY1" t="s">
        <v>717</v>
      </c>
      <c r="CZ1" t="s">
        <v>718</v>
      </c>
      <c r="DA1" t="s">
        <v>719</v>
      </c>
      <c r="DB1" t="s">
        <v>720</v>
      </c>
      <c r="DC1" t="s">
        <v>721</v>
      </c>
      <c r="DD1" t="s">
        <v>722</v>
      </c>
      <c r="DE1" t="s">
        <v>723</v>
      </c>
      <c r="DF1" t="s">
        <v>724</v>
      </c>
      <c r="DG1" t="s">
        <v>725</v>
      </c>
      <c r="DH1" t="s">
        <v>726</v>
      </c>
      <c r="DI1" t="s">
        <v>727</v>
      </c>
      <c r="DJ1" t="s">
        <v>728</v>
      </c>
      <c r="DK1" t="s">
        <v>729</v>
      </c>
      <c r="DL1" t="s">
        <v>730</v>
      </c>
      <c r="DM1" t="s">
        <v>731</v>
      </c>
      <c r="DN1" t="s">
        <v>732</v>
      </c>
      <c r="DO1" t="s">
        <v>733</v>
      </c>
      <c r="DP1" t="s">
        <v>734</v>
      </c>
      <c r="DQ1" t="s">
        <v>735</v>
      </c>
      <c r="DR1" t="s">
        <v>736</v>
      </c>
      <c r="DS1" t="s">
        <v>737</v>
      </c>
      <c r="DT1" t="s">
        <v>738</v>
      </c>
      <c r="DU1" t="s">
        <v>739</v>
      </c>
      <c r="DV1" t="s">
        <v>740</v>
      </c>
      <c r="DW1" t="s">
        <v>741</v>
      </c>
      <c r="DX1" t="s">
        <v>742</v>
      </c>
      <c r="DY1" t="s">
        <v>743</v>
      </c>
      <c r="DZ1" t="s">
        <v>744</v>
      </c>
      <c r="EA1" t="s">
        <v>745</v>
      </c>
      <c r="EB1" t="s">
        <v>746</v>
      </c>
      <c r="EC1" t="s">
        <v>747</v>
      </c>
      <c r="ED1" t="s">
        <v>748</v>
      </c>
      <c r="EE1" t="s">
        <v>749</v>
      </c>
      <c r="EF1" t="s">
        <v>750</v>
      </c>
      <c r="EG1" t="s">
        <v>751</v>
      </c>
      <c r="EH1" t="s">
        <v>752</v>
      </c>
      <c r="EI1" t="s">
        <v>753</v>
      </c>
      <c r="EJ1" t="s">
        <v>754</v>
      </c>
    </row>
    <row r="2" spans="1:140">
      <c r="W2">
        <v>23</v>
      </c>
      <c r="AQ2">
        <v>43</v>
      </c>
      <c r="AY2">
        <v>51</v>
      </c>
      <c r="BN2">
        <v>66</v>
      </c>
    </row>
    <row r="3" spans="1:140">
      <c r="A3" t="s">
        <v>40</v>
      </c>
      <c r="B3">
        <v>9102016</v>
      </c>
      <c r="C3">
        <v>2</v>
      </c>
      <c r="D3">
        <v>1</v>
      </c>
      <c r="E3">
        <v>43</v>
      </c>
      <c r="F3">
        <v>123</v>
      </c>
      <c r="G3">
        <v>5</v>
      </c>
      <c r="H3">
        <v>0</v>
      </c>
      <c r="I3">
        <v>24.02</v>
      </c>
      <c r="J3">
        <v>18.989999999999998</v>
      </c>
      <c r="K3">
        <v>0.99</v>
      </c>
      <c r="L3">
        <v>33.14</v>
      </c>
      <c r="M3">
        <v>4.9800000000000004</v>
      </c>
      <c r="N3">
        <v>2</v>
      </c>
      <c r="O3">
        <v>2.21</v>
      </c>
      <c r="P3">
        <v>4.21</v>
      </c>
      <c r="Q3">
        <v>40.79</v>
      </c>
      <c r="R3">
        <v>46.39</v>
      </c>
      <c r="S3">
        <v>1034.81</v>
      </c>
      <c r="T3">
        <v>48.62</v>
      </c>
      <c r="U3">
        <v>50.72</v>
      </c>
      <c r="V3">
        <v>100.31</v>
      </c>
      <c r="W3">
        <v>12.39</v>
      </c>
      <c r="X3">
        <v>1</v>
      </c>
      <c r="Y3">
        <v>1</v>
      </c>
      <c r="Z3">
        <v>2</v>
      </c>
      <c r="AA3">
        <v>1</v>
      </c>
      <c r="AB3">
        <v>2</v>
      </c>
      <c r="AC3">
        <v>1</v>
      </c>
      <c r="AD3">
        <v>1</v>
      </c>
      <c r="AE3">
        <v>1</v>
      </c>
      <c r="AF3">
        <v>1</v>
      </c>
      <c r="AG3">
        <v>2</v>
      </c>
      <c r="AH3">
        <v>1</v>
      </c>
      <c r="AI3">
        <v>1</v>
      </c>
      <c r="AJ3">
        <v>3</v>
      </c>
      <c r="AK3">
        <v>1</v>
      </c>
      <c r="AL3">
        <v>1</v>
      </c>
      <c r="AM3">
        <v>3</v>
      </c>
      <c r="AN3">
        <v>1</v>
      </c>
      <c r="AO3">
        <v>4</v>
      </c>
      <c r="AP3">
        <v>1</v>
      </c>
      <c r="AQ3">
        <v>1</v>
      </c>
      <c r="AR3">
        <v>2</v>
      </c>
      <c r="AS3">
        <v>1</v>
      </c>
      <c r="AT3">
        <v>2</v>
      </c>
      <c r="AU3">
        <v>0</v>
      </c>
      <c r="AV3">
        <v>0</v>
      </c>
      <c r="AW3">
        <v>0</v>
      </c>
      <c r="AX3">
        <v>0</v>
      </c>
      <c r="AY3">
        <v>1</v>
      </c>
      <c r="AZ3">
        <v>1</v>
      </c>
      <c r="BA3">
        <v>1</v>
      </c>
      <c r="BB3">
        <v>4</v>
      </c>
      <c r="BC3">
        <v>2</v>
      </c>
      <c r="BD3">
        <v>4</v>
      </c>
      <c r="BE3">
        <v>2</v>
      </c>
      <c r="BF3">
        <v>1</v>
      </c>
      <c r="BG3">
        <v>2</v>
      </c>
      <c r="BH3">
        <v>1</v>
      </c>
      <c r="BI3">
        <v>1</v>
      </c>
      <c r="BJ3">
        <v>1</v>
      </c>
      <c r="BK3">
        <v>2</v>
      </c>
      <c r="BL3">
        <v>4</v>
      </c>
      <c r="BM3">
        <v>1</v>
      </c>
      <c r="BN3">
        <v>1</v>
      </c>
      <c r="BO3">
        <v>2</v>
      </c>
      <c r="BP3">
        <v>3</v>
      </c>
      <c r="BQ3">
        <v>2</v>
      </c>
      <c r="BR3">
        <v>1</v>
      </c>
      <c r="BS3">
        <v>2</v>
      </c>
      <c r="BT3">
        <v>2</v>
      </c>
      <c r="BU3">
        <v>1</v>
      </c>
      <c r="BV3">
        <v>3</v>
      </c>
      <c r="BW3">
        <v>1</v>
      </c>
      <c r="BX3">
        <v>6</v>
      </c>
      <c r="BY3">
        <v>2</v>
      </c>
      <c r="BZ3">
        <v>6</v>
      </c>
      <c r="CA3">
        <v>2</v>
      </c>
      <c r="CB3">
        <v>1</v>
      </c>
      <c r="CC3">
        <v>1</v>
      </c>
      <c r="CD3">
        <v>2</v>
      </c>
      <c r="CE3">
        <v>2</v>
      </c>
      <c r="CF3">
        <v>1</v>
      </c>
      <c r="CG3">
        <v>1</v>
      </c>
      <c r="CH3">
        <v>6</v>
      </c>
      <c r="CI3">
        <v>2</v>
      </c>
      <c r="CJ3">
        <v>4</v>
      </c>
      <c r="CK3">
        <v>2</v>
      </c>
      <c r="CL3">
        <v>4</v>
      </c>
      <c r="CM3">
        <v>1</v>
      </c>
      <c r="CN3">
        <v>1</v>
      </c>
      <c r="CO3">
        <v>3</v>
      </c>
      <c r="CP3">
        <v>2</v>
      </c>
      <c r="CQ3">
        <v>1</v>
      </c>
      <c r="CR3">
        <v>1</v>
      </c>
      <c r="CS3">
        <v>2</v>
      </c>
      <c r="CT3">
        <v>3</v>
      </c>
      <c r="CU3">
        <v>1</v>
      </c>
      <c r="CV3">
        <v>1</v>
      </c>
      <c r="CW3">
        <v>3</v>
      </c>
      <c r="CX3">
        <v>1</v>
      </c>
      <c r="CY3">
        <v>1</v>
      </c>
      <c r="CZ3">
        <v>2</v>
      </c>
      <c r="DA3">
        <v>1</v>
      </c>
      <c r="DB3">
        <v>3</v>
      </c>
      <c r="DC3">
        <v>1</v>
      </c>
      <c r="DD3">
        <v>1</v>
      </c>
      <c r="DE3">
        <v>4</v>
      </c>
      <c r="DF3">
        <v>2</v>
      </c>
      <c r="DG3">
        <v>1</v>
      </c>
      <c r="DH3">
        <v>1</v>
      </c>
      <c r="DI3">
        <v>2</v>
      </c>
      <c r="DJ3">
        <v>2</v>
      </c>
      <c r="DK3">
        <v>1</v>
      </c>
      <c r="DL3">
        <v>1</v>
      </c>
      <c r="DM3">
        <v>2</v>
      </c>
      <c r="DN3">
        <v>4</v>
      </c>
      <c r="DO3">
        <v>1</v>
      </c>
      <c r="DP3">
        <v>4</v>
      </c>
      <c r="DQ3">
        <v>0</v>
      </c>
      <c r="DR3">
        <v>1</v>
      </c>
      <c r="DS3">
        <v>0</v>
      </c>
      <c r="DT3">
        <v>0</v>
      </c>
      <c r="DU3">
        <v>0</v>
      </c>
      <c r="DV3">
        <v>0</v>
      </c>
      <c r="DW3">
        <v>0</v>
      </c>
      <c r="DX3">
        <v>1</v>
      </c>
      <c r="DY3">
        <v>0</v>
      </c>
      <c r="DZ3">
        <v>0</v>
      </c>
      <c r="EA3">
        <v>0</v>
      </c>
      <c r="EB3">
        <v>0</v>
      </c>
      <c r="EC3">
        <v>1</v>
      </c>
      <c r="ED3">
        <v>1</v>
      </c>
      <c r="EE3">
        <v>0</v>
      </c>
      <c r="EF3">
        <v>0</v>
      </c>
      <c r="EG3">
        <v>0</v>
      </c>
      <c r="EH3">
        <v>0</v>
      </c>
      <c r="EI3">
        <v>0</v>
      </c>
      <c r="EJ3">
        <v>17596</v>
      </c>
    </row>
    <row r="4" spans="1:140">
      <c r="A4" t="s">
        <v>41</v>
      </c>
      <c r="B4" t="s">
        <v>755</v>
      </c>
      <c r="C4">
        <v>2</v>
      </c>
      <c r="D4">
        <v>1</v>
      </c>
      <c r="E4">
        <v>35</v>
      </c>
      <c r="F4">
        <v>125</v>
      </c>
      <c r="G4">
        <v>5</v>
      </c>
      <c r="H4">
        <v>9</v>
      </c>
      <c r="I4">
        <v>18.46</v>
      </c>
      <c r="J4">
        <v>12.86</v>
      </c>
      <c r="K4">
        <v>1.54</v>
      </c>
      <c r="L4">
        <v>43.36</v>
      </c>
      <c r="M4">
        <v>20.260000000000002</v>
      </c>
      <c r="N4">
        <v>2</v>
      </c>
      <c r="O4">
        <v>1.79</v>
      </c>
      <c r="P4">
        <v>3.78</v>
      </c>
      <c r="Q4">
        <v>43.18</v>
      </c>
      <c r="R4">
        <v>48.61</v>
      </c>
      <c r="S4">
        <v>933.68</v>
      </c>
      <c r="T4">
        <v>43.95</v>
      </c>
      <c r="U4">
        <v>42.87</v>
      </c>
      <c r="V4">
        <v>100.37</v>
      </c>
      <c r="W4">
        <v>11.55</v>
      </c>
      <c r="X4">
        <v>1</v>
      </c>
      <c r="Y4">
        <v>1</v>
      </c>
      <c r="Z4">
        <v>2</v>
      </c>
      <c r="AA4">
        <v>1</v>
      </c>
      <c r="AB4">
        <v>2</v>
      </c>
      <c r="AC4">
        <v>1</v>
      </c>
      <c r="AD4">
        <v>1</v>
      </c>
      <c r="AE4">
        <v>1</v>
      </c>
      <c r="AF4">
        <v>1</v>
      </c>
      <c r="AG4">
        <v>2</v>
      </c>
      <c r="AH4">
        <v>1</v>
      </c>
      <c r="AI4">
        <v>1</v>
      </c>
      <c r="AJ4">
        <v>5</v>
      </c>
      <c r="AK4">
        <v>1</v>
      </c>
      <c r="AL4">
        <v>1</v>
      </c>
      <c r="AM4">
        <v>1</v>
      </c>
      <c r="AN4">
        <v>1</v>
      </c>
      <c r="AO4">
        <v>6</v>
      </c>
      <c r="AP4">
        <v>2</v>
      </c>
      <c r="AQ4">
        <v>3</v>
      </c>
      <c r="AR4">
        <v>1</v>
      </c>
      <c r="AS4">
        <v>1</v>
      </c>
      <c r="AT4">
        <v>2</v>
      </c>
      <c r="AU4">
        <v>0</v>
      </c>
      <c r="AV4">
        <v>1</v>
      </c>
      <c r="AW4">
        <v>0</v>
      </c>
      <c r="AX4">
        <v>0</v>
      </c>
      <c r="AY4">
        <v>0</v>
      </c>
      <c r="AZ4">
        <v>1</v>
      </c>
      <c r="BA4">
        <v>1</v>
      </c>
      <c r="BB4">
        <v>2</v>
      </c>
      <c r="BC4">
        <v>1</v>
      </c>
      <c r="BD4">
        <v>3</v>
      </c>
      <c r="BE4">
        <v>2</v>
      </c>
      <c r="BF4">
        <v>1</v>
      </c>
      <c r="BG4">
        <v>2</v>
      </c>
      <c r="BH4">
        <v>1</v>
      </c>
      <c r="BI4">
        <v>1</v>
      </c>
      <c r="BJ4">
        <v>1</v>
      </c>
      <c r="BK4">
        <v>2</v>
      </c>
      <c r="BL4">
        <v>2</v>
      </c>
      <c r="BM4">
        <v>1</v>
      </c>
      <c r="BN4">
        <v>1</v>
      </c>
      <c r="BO4">
        <v>2</v>
      </c>
      <c r="BP4">
        <v>2</v>
      </c>
      <c r="BQ4">
        <v>1</v>
      </c>
      <c r="BR4">
        <v>1</v>
      </c>
      <c r="BS4">
        <v>2</v>
      </c>
      <c r="BT4">
        <v>2</v>
      </c>
      <c r="BU4">
        <v>1</v>
      </c>
      <c r="BV4">
        <v>2</v>
      </c>
      <c r="BW4">
        <v>1</v>
      </c>
      <c r="BX4">
        <v>6</v>
      </c>
      <c r="BY4">
        <v>2</v>
      </c>
      <c r="BZ4">
        <v>6</v>
      </c>
      <c r="CA4">
        <v>2</v>
      </c>
      <c r="CB4">
        <v>1</v>
      </c>
      <c r="CC4">
        <v>1</v>
      </c>
      <c r="CD4">
        <v>2</v>
      </c>
      <c r="CE4">
        <v>1</v>
      </c>
      <c r="CF4">
        <v>4</v>
      </c>
      <c r="CG4">
        <v>1</v>
      </c>
      <c r="CH4">
        <v>5</v>
      </c>
      <c r="CI4">
        <v>1</v>
      </c>
      <c r="CJ4">
        <v>5</v>
      </c>
      <c r="CK4">
        <v>2</v>
      </c>
      <c r="CL4">
        <v>4</v>
      </c>
      <c r="CM4">
        <v>1</v>
      </c>
      <c r="CN4">
        <v>1</v>
      </c>
      <c r="CO4">
        <v>4</v>
      </c>
      <c r="CP4">
        <v>1</v>
      </c>
      <c r="CQ4">
        <v>1</v>
      </c>
      <c r="CR4">
        <v>1</v>
      </c>
      <c r="CS4">
        <v>2</v>
      </c>
      <c r="CT4">
        <v>2</v>
      </c>
      <c r="CU4">
        <v>2</v>
      </c>
      <c r="CV4">
        <v>2</v>
      </c>
      <c r="CW4">
        <v>2</v>
      </c>
      <c r="CX4">
        <v>1</v>
      </c>
      <c r="CY4">
        <v>1</v>
      </c>
      <c r="CZ4">
        <v>3</v>
      </c>
      <c r="DA4">
        <v>2</v>
      </c>
      <c r="DB4">
        <v>3</v>
      </c>
      <c r="DC4">
        <v>1</v>
      </c>
      <c r="DD4">
        <v>1</v>
      </c>
      <c r="DE4">
        <v>5</v>
      </c>
      <c r="DF4">
        <v>1</v>
      </c>
      <c r="DG4">
        <v>3</v>
      </c>
      <c r="DH4">
        <v>1</v>
      </c>
      <c r="DI4">
        <v>2</v>
      </c>
      <c r="DJ4">
        <v>2</v>
      </c>
      <c r="DK4">
        <v>1</v>
      </c>
      <c r="DL4">
        <v>1</v>
      </c>
      <c r="DM4">
        <v>2</v>
      </c>
      <c r="DN4">
        <v>3</v>
      </c>
      <c r="DO4">
        <v>1</v>
      </c>
      <c r="DP4">
        <v>5</v>
      </c>
      <c r="DQ4">
        <v>1</v>
      </c>
      <c r="DR4">
        <v>0</v>
      </c>
      <c r="DS4">
        <v>0</v>
      </c>
      <c r="DT4">
        <v>0</v>
      </c>
      <c r="DU4">
        <v>0</v>
      </c>
      <c r="DV4">
        <v>0</v>
      </c>
      <c r="DW4">
        <v>0</v>
      </c>
      <c r="DX4">
        <v>1</v>
      </c>
      <c r="DY4">
        <v>0</v>
      </c>
      <c r="DZ4">
        <v>0</v>
      </c>
      <c r="EA4">
        <v>0</v>
      </c>
      <c r="EB4">
        <v>0</v>
      </c>
      <c r="EC4">
        <v>2</v>
      </c>
      <c r="ED4">
        <v>1</v>
      </c>
      <c r="EE4">
        <v>0</v>
      </c>
      <c r="EF4">
        <v>0</v>
      </c>
      <c r="EG4">
        <v>0</v>
      </c>
      <c r="EH4">
        <v>0</v>
      </c>
      <c r="EI4">
        <v>0</v>
      </c>
      <c r="EJ4">
        <v>17595</v>
      </c>
    </row>
    <row r="5" spans="1:140">
      <c r="A5" t="s">
        <v>42</v>
      </c>
      <c r="B5">
        <v>9252016</v>
      </c>
      <c r="C5">
        <v>2</v>
      </c>
      <c r="D5">
        <v>1</v>
      </c>
      <c r="E5">
        <v>39</v>
      </c>
      <c r="F5">
        <v>220</v>
      </c>
      <c r="G5">
        <v>5</v>
      </c>
      <c r="H5">
        <v>8</v>
      </c>
      <c r="I5">
        <v>33.450000000000003</v>
      </c>
      <c r="J5">
        <v>34.71</v>
      </c>
      <c r="K5">
        <v>6.05</v>
      </c>
      <c r="L5">
        <v>36.69</v>
      </c>
      <c r="M5">
        <v>23.43</v>
      </c>
      <c r="N5">
        <v>0.60499999999999998</v>
      </c>
      <c r="O5">
        <v>0.32</v>
      </c>
      <c r="P5">
        <v>0.92500000000000004</v>
      </c>
      <c r="Q5">
        <v>54.83</v>
      </c>
      <c r="R5">
        <v>50.22</v>
      </c>
      <c r="S5">
        <v>1535.63</v>
      </c>
      <c r="T5">
        <v>77.5</v>
      </c>
      <c r="U5">
        <v>84.38</v>
      </c>
      <c r="V5">
        <v>118.64</v>
      </c>
      <c r="W5">
        <v>9.4600000000000009</v>
      </c>
      <c r="X5">
        <v>1</v>
      </c>
      <c r="Y5">
        <v>1</v>
      </c>
      <c r="Z5">
        <v>2</v>
      </c>
      <c r="AA5">
        <v>2</v>
      </c>
      <c r="AB5">
        <v>1</v>
      </c>
      <c r="AC5">
        <v>1</v>
      </c>
      <c r="AD5">
        <v>1</v>
      </c>
      <c r="AE5">
        <v>1</v>
      </c>
      <c r="AF5">
        <v>1</v>
      </c>
      <c r="AG5">
        <v>2</v>
      </c>
      <c r="AH5">
        <v>1</v>
      </c>
      <c r="AI5">
        <v>1</v>
      </c>
      <c r="AJ5">
        <v>4</v>
      </c>
      <c r="AK5">
        <v>2</v>
      </c>
      <c r="AL5">
        <v>1</v>
      </c>
      <c r="AM5">
        <v>1</v>
      </c>
      <c r="AN5">
        <v>1</v>
      </c>
      <c r="AO5">
        <v>1</v>
      </c>
      <c r="AP5">
        <v>2</v>
      </c>
      <c r="AQ5">
        <v>2</v>
      </c>
      <c r="AR5">
        <v>2</v>
      </c>
      <c r="AS5">
        <v>1</v>
      </c>
      <c r="AT5">
        <v>2</v>
      </c>
      <c r="AU5">
        <v>0</v>
      </c>
      <c r="AV5">
        <v>1</v>
      </c>
      <c r="AW5">
        <v>1</v>
      </c>
      <c r="AX5">
        <v>0</v>
      </c>
      <c r="AY5">
        <v>0</v>
      </c>
      <c r="AZ5">
        <v>1</v>
      </c>
      <c r="BA5">
        <v>1</v>
      </c>
      <c r="BB5">
        <v>6</v>
      </c>
      <c r="BC5">
        <v>3</v>
      </c>
      <c r="BD5">
        <v>4</v>
      </c>
      <c r="BE5">
        <v>2</v>
      </c>
      <c r="BF5">
        <v>2</v>
      </c>
      <c r="BG5">
        <v>4</v>
      </c>
      <c r="BH5">
        <v>2</v>
      </c>
      <c r="BI5">
        <v>2</v>
      </c>
      <c r="BJ5">
        <v>2</v>
      </c>
      <c r="BK5">
        <v>2</v>
      </c>
      <c r="BL5">
        <v>4</v>
      </c>
      <c r="BM5">
        <v>2</v>
      </c>
      <c r="BN5">
        <v>1</v>
      </c>
      <c r="BO5">
        <v>2</v>
      </c>
      <c r="BP5">
        <v>1</v>
      </c>
      <c r="BQ5">
        <v>2</v>
      </c>
      <c r="BR5">
        <v>3</v>
      </c>
      <c r="BS5">
        <v>3</v>
      </c>
      <c r="BT5">
        <v>1</v>
      </c>
      <c r="BU5">
        <v>1</v>
      </c>
      <c r="BV5">
        <v>2</v>
      </c>
      <c r="BW5">
        <v>1</v>
      </c>
      <c r="BX5">
        <v>2</v>
      </c>
      <c r="BY5">
        <v>1</v>
      </c>
      <c r="BZ5">
        <v>4</v>
      </c>
      <c r="CA5">
        <v>1</v>
      </c>
      <c r="CB5">
        <v>3</v>
      </c>
      <c r="CC5">
        <v>1</v>
      </c>
      <c r="CD5">
        <v>1</v>
      </c>
      <c r="CE5">
        <v>1</v>
      </c>
      <c r="CF5">
        <v>1</v>
      </c>
      <c r="CG5">
        <v>1</v>
      </c>
      <c r="CH5">
        <v>4</v>
      </c>
      <c r="CI5">
        <v>1</v>
      </c>
      <c r="CJ5">
        <v>6</v>
      </c>
      <c r="CK5">
        <v>2</v>
      </c>
      <c r="CL5">
        <v>4</v>
      </c>
      <c r="CM5">
        <v>1</v>
      </c>
      <c r="CN5">
        <v>1</v>
      </c>
      <c r="CO5">
        <v>5</v>
      </c>
      <c r="CP5">
        <v>2</v>
      </c>
      <c r="CQ5">
        <v>2</v>
      </c>
      <c r="CR5">
        <v>1</v>
      </c>
      <c r="CS5">
        <v>2</v>
      </c>
      <c r="CT5">
        <v>3</v>
      </c>
      <c r="CU5">
        <v>1</v>
      </c>
      <c r="CV5">
        <v>1</v>
      </c>
      <c r="CW5">
        <v>3</v>
      </c>
      <c r="CX5">
        <v>1</v>
      </c>
      <c r="CY5">
        <v>1</v>
      </c>
      <c r="CZ5">
        <v>4</v>
      </c>
      <c r="DA5">
        <v>2</v>
      </c>
      <c r="DB5">
        <v>3</v>
      </c>
      <c r="DC5">
        <v>1</v>
      </c>
      <c r="DD5">
        <v>1</v>
      </c>
      <c r="DE5">
        <v>4</v>
      </c>
      <c r="DF5">
        <v>2</v>
      </c>
      <c r="DG5">
        <v>3</v>
      </c>
      <c r="DH5">
        <v>1</v>
      </c>
      <c r="DI5">
        <v>2</v>
      </c>
      <c r="DJ5">
        <v>2</v>
      </c>
      <c r="DK5">
        <v>4</v>
      </c>
      <c r="DL5">
        <v>2</v>
      </c>
      <c r="DM5">
        <v>2</v>
      </c>
      <c r="DN5">
        <v>1</v>
      </c>
      <c r="DO5">
        <v>1</v>
      </c>
      <c r="DP5">
        <v>4</v>
      </c>
      <c r="DQ5">
        <v>0</v>
      </c>
      <c r="DR5">
        <v>1</v>
      </c>
      <c r="DS5">
        <v>0</v>
      </c>
      <c r="DT5">
        <v>0</v>
      </c>
      <c r="DU5">
        <v>0</v>
      </c>
      <c r="DV5">
        <v>0</v>
      </c>
      <c r="DW5">
        <v>1</v>
      </c>
      <c r="DX5">
        <v>0</v>
      </c>
      <c r="DY5">
        <v>0</v>
      </c>
      <c r="DZ5">
        <v>0</v>
      </c>
      <c r="EA5">
        <v>0</v>
      </c>
      <c r="EB5">
        <v>0</v>
      </c>
      <c r="EC5">
        <v>2</v>
      </c>
      <c r="ED5">
        <v>1</v>
      </c>
      <c r="EE5">
        <v>0</v>
      </c>
      <c r="EF5">
        <v>0</v>
      </c>
      <c r="EG5">
        <v>0</v>
      </c>
      <c r="EH5">
        <v>0</v>
      </c>
      <c r="EI5">
        <v>0</v>
      </c>
      <c r="EJ5">
        <v>17594</v>
      </c>
    </row>
    <row r="6" spans="1:140">
      <c r="A6" t="s">
        <v>43</v>
      </c>
      <c r="B6">
        <v>10052016</v>
      </c>
      <c r="C6">
        <v>2</v>
      </c>
      <c r="D6" t="s">
        <v>756</v>
      </c>
      <c r="E6">
        <v>32</v>
      </c>
      <c r="F6">
        <v>190</v>
      </c>
      <c r="G6">
        <v>5</v>
      </c>
      <c r="H6">
        <v>2</v>
      </c>
      <c r="I6">
        <v>34.75</v>
      </c>
      <c r="J6">
        <v>20.12</v>
      </c>
      <c r="K6">
        <v>4.21</v>
      </c>
      <c r="L6">
        <v>52.79</v>
      </c>
      <c r="M6">
        <v>48.01</v>
      </c>
      <c r="N6">
        <v>0</v>
      </c>
      <c r="O6">
        <v>0.38500000000000001</v>
      </c>
      <c r="P6">
        <v>0.38500000000000001</v>
      </c>
      <c r="Q6">
        <v>60.05</v>
      </c>
      <c r="R6">
        <v>55.87</v>
      </c>
      <c r="S6">
        <v>1126.67</v>
      </c>
      <c r="T6">
        <v>51.36</v>
      </c>
      <c r="U6">
        <v>52.47</v>
      </c>
      <c r="V6">
        <v>111.97</v>
      </c>
      <c r="W6">
        <v>4.4800000000000004</v>
      </c>
      <c r="X6">
        <v>1</v>
      </c>
      <c r="Y6">
        <v>1</v>
      </c>
      <c r="Z6">
        <v>2</v>
      </c>
      <c r="AA6">
        <v>1</v>
      </c>
      <c r="AB6">
        <v>2</v>
      </c>
      <c r="AC6">
        <v>1</v>
      </c>
      <c r="AD6">
        <v>1</v>
      </c>
      <c r="AE6">
        <v>1</v>
      </c>
      <c r="AF6">
        <v>1</v>
      </c>
      <c r="AG6">
        <v>2</v>
      </c>
      <c r="AH6">
        <v>1</v>
      </c>
      <c r="AI6">
        <v>1</v>
      </c>
      <c r="AJ6">
        <v>4</v>
      </c>
      <c r="AK6">
        <v>2</v>
      </c>
      <c r="AL6">
        <v>2</v>
      </c>
      <c r="AM6">
        <v>1</v>
      </c>
      <c r="AN6">
        <v>1</v>
      </c>
      <c r="AO6">
        <v>4</v>
      </c>
      <c r="AP6">
        <v>2</v>
      </c>
      <c r="AQ6">
        <v>1</v>
      </c>
      <c r="AR6">
        <v>2</v>
      </c>
      <c r="AS6">
        <v>1</v>
      </c>
      <c r="AT6">
        <v>2</v>
      </c>
      <c r="AU6">
        <v>0</v>
      </c>
      <c r="AV6">
        <v>0</v>
      </c>
      <c r="AW6">
        <v>0</v>
      </c>
      <c r="AX6">
        <v>0</v>
      </c>
      <c r="AY6">
        <v>1</v>
      </c>
      <c r="AZ6">
        <v>1</v>
      </c>
      <c r="BA6">
        <v>1</v>
      </c>
      <c r="BB6">
        <v>4</v>
      </c>
      <c r="BC6">
        <v>3</v>
      </c>
      <c r="BD6">
        <v>2</v>
      </c>
      <c r="BE6">
        <v>1</v>
      </c>
      <c r="BF6">
        <v>2</v>
      </c>
      <c r="BG6">
        <v>3</v>
      </c>
      <c r="BH6">
        <v>2</v>
      </c>
      <c r="BI6">
        <v>2</v>
      </c>
      <c r="BJ6">
        <v>1</v>
      </c>
      <c r="BK6">
        <v>2</v>
      </c>
      <c r="BL6">
        <v>3</v>
      </c>
      <c r="BM6">
        <v>2</v>
      </c>
      <c r="BN6">
        <v>2</v>
      </c>
      <c r="BO6">
        <v>2</v>
      </c>
      <c r="BP6">
        <v>1</v>
      </c>
      <c r="BQ6">
        <v>2</v>
      </c>
      <c r="BR6">
        <v>2</v>
      </c>
      <c r="BS6">
        <v>2</v>
      </c>
      <c r="BT6">
        <v>2</v>
      </c>
      <c r="BU6">
        <v>2</v>
      </c>
      <c r="BV6">
        <v>2</v>
      </c>
      <c r="BW6">
        <v>1</v>
      </c>
      <c r="BX6">
        <v>1</v>
      </c>
      <c r="BY6">
        <v>1</v>
      </c>
      <c r="BZ6">
        <v>1</v>
      </c>
      <c r="CA6">
        <v>1</v>
      </c>
      <c r="CB6">
        <v>3</v>
      </c>
      <c r="CC6">
        <v>2</v>
      </c>
      <c r="CD6">
        <v>2</v>
      </c>
      <c r="CE6">
        <v>2</v>
      </c>
      <c r="CF6">
        <v>1</v>
      </c>
      <c r="CG6">
        <v>1</v>
      </c>
      <c r="CH6">
        <v>2</v>
      </c>
      <c r="CI6">
        <v>2</v>
      </c>
      <c r="CJ6">
        <v>4</v>
      </c>
      <c r="CK6">
        <v>2</v>
      </c>
      <c r="CL6">
        <v>1</v>
      </c>
      <c r="CM6">
        <v>2</v>
      </c>
      <c r="CN6">
        <v>1</v>
      </c>
      <c r="CO6">
        <v>2</v>
      </c>
      <c r="CP6">
        <v>1</v>
      </c>
      <c r="CQ6">
        <v>2</v>
      </c>
      <c r="CR6">
        <v>3</v>
      </c>
      <c r="CS6">
        <v>2</v>
      </c>
      <c r="CT6">
        <v>3</v>
      </c>
      <c r="CU6">
        <v>1</v>
      </c>
      <c r="CV6">
        <v>1</v>
      </c>
      <c r="CW6">
        <v>3</v>
      </c>
      <c r="CX6">
        <v>2</v>
      </c>
      <c r="CY6">
        <v>1</v>
      </c>
      <c r="CZ6">
        <v>2</v>
      </c>
      <c r="DA6">
        <v>1</v>
      </c>
      <c r="DB6">
        <v>3</v>
      </c>
      <c r="DC6">
        <v>2</v>
      </c>
      <c r="DD6">
        <v>1</v>
      </c>
      <c r="DE6">
        <v>1</v>
      </c>
      <c r="DF6">
        <v>2</v>
      </c>
      <c r="DG6">
        <v>3</v>
      </c>
      <c r="DH6">
        <v>1</v>
      </c>
      <c r="DI6">
        <v>2</v>
      </c>
      <c r="DJ6">
        <v>2</v>
      </c>
      <c r="DK6">
        <v>2</v>
      </c>
      <c r="DL6">
        <v>1</v>
      </c>
      <c r="DM6">
        <v>1</v>
      </c>
      <c r="DN6">
        <v>2</v>
      </c>
      <c r="DO6">
        <v>1</v>
      </c>
      <c r="DP6">
        <v>2</v>
      </c>
      <c r="DQ6">
        <v>1</v>
      </c>
      <c r="DR6">
        <v>1</v>
      </c>
      <c r="DS6">
        <v>0</v>
      </c>
      <c r="DT6">
        <v>0</v>
      </c>
      <c r="DU6">
        <v>0</v>
      </c>
      <c r="DV6">
        <v>0</v>
      </c>
      <c r="DW6">
        <v>0</v>
      </c>
      <c r="DX6">
        <v>0</v>
      </c>
      <c r="DY6">
        <v>0</v>
      </c>
      <c r="DZ6">
        <v>0</v>
      </c>
      <c r="EA6">
        <v>0</v>
      </c>
      <c r="EB6">
        <v>0</v>
      </c>
      <c r="EC6">
        <v>2</v>
      </c>
      <c r="ED6">
        <v>1</v>
      </c>
      <c r="EE6">
        <v>0</v>
      </c>
      <c r="EF6">
        <v>0</v>
      </c>
      <c r="EG6">
        <v>0</v>
      </c>
      <c r="EH6">
        <v>0</v>
      </c>
      <c r="EI6">
        <v>0</v>
      </c>
      <c r="EJ6">
        <v>17565</v>
      </c>
    </row>
    <row r="7" spans="1:140">
      <c r="A7" t="s">
        <v>44</v>
      </c>
      <c r="B7">
        <v>9272016</v>
      </c>
      <c r="C7">
        <v>2</v>
      </c>
      <c r="D7">
        <v>1</v>
      </c>
      <c r="E7">
        <v>34</v>
      </c>
      <c r="F7">
        <v>200</v>
      </c>
      <c r="G7">
        <v>5</v>
      </c>
      <c r="H7">
        <v>6</v>
      </c>
      <c r="I7">
        <v>32.28</v>
      </c>
      <c r="J7">
        <v>18.48</v>
      </c>
      <c r="K7">
        <v>1.6</v>
      </c>
      <c r="L7">
        <v>24.58</v>
      </c>
      <c r="M7">
        <v>4.9400000000000004</v>
      </c>
      <c r="N7">
        <v>0.89500000000000002</v>
      </c>
      <c r="O7">
        <v>1.52</v>
      </c>
      <c r="P7">
        <v>2.42</v>
      </c>
      <c r="Q7">
        <v>46.51</v>
      </c>
      <c r="R7">
        <v>49.6</v>
      </c>
      <c r="S7">
        <v>1198.79</v>
      </c>
      <c r="T7">
        <v>63.69</v>
      </c>
      <c r="U7">
        <v>59.55</v>
      </c>
      <c r="V7">
        <v>103.35</v>
      </c>
      <c r="W7">
        <v>9.57</v>
      </c>
      <c r="X7">
        <v>1</v>
      </c>
      <c r="Y7">
        <v>1</v>
      </c>
      <c r="Z7">
        <v>2</v>
      </c>
      <c r="AA7">
        <v>2</v>
      </c>
      <c r="AB7">
        <v>1</v>
      </c>
      <c r="AC7">
        <v>1</v>
      </c>
      <c r="AD7">
        <v>1</v>
      </c>
      <c r="AE7">
        <v>5</v>
      </c>
      <c r="AF7">
        <v>1</v>
      </c>
      <c r="AG7">
        <v>1</v>
      </c>
      <c r="AH7">
        <v>1</v>
      </c>
      <c r="AI7">
        <v>1</v>
      </c>
      <c r="AJ7">
        <v>1</v>
      </c>
      <c r="AK7">
        <v>1</v>
      </c>
      <c r="AL7">
        <v>2</v>
      </c>
      <c r="AM7">
        <v>1</v>
      </c>
      <c r="AN7">
        <v>1</v>
      </c>
      <c r="AO7">
        <v>1</v>
      </c>
      <c r="AP7">
        <v>2</v>
      </c>
      <c r="AQ7">
        <v>1</v>
      </c>
      <c r="AR7">
        <v>2</v>
      </c>
      <c r="AS7">
        <v>1</v>
      </c>
      <c r="AT7">
        <v>2</v>
      </c>
      <c r="AU7">
        <v>0</v>
      </c>
      <c r="AV7">
        <v>0</v>
      </c>
      <c r="AW7">
        <v>0</v>
      </c>
      <c r="AX7">
        <v>0</v>
      </c>
      <c r="AY7">
        <v>1</v>
      </c>
      <c r="AZ7">
        <v>1</v>
      </c>
      <c r="BA7">
        <v>1</v>
      </c>
      <c r="BB7">
        <v>3</v>
      </c>
      <c r="BC7">
        <v>1</v>
      </c>
      <c r="BD7">
        <v>1</v>
      </c>
      <c r="BE7">
        <v>3</v>
      </c>
      <c r="BF7">
        <v>1</v>
      </c>
      <c r="BG7">
        <v>4</v>
      </c>
      <c r="BH7">
        <v>1</v>
      </c>
      <c r="BI7">
        <v>2</v>
      </c>
      <c r="BJ7">
        <v>2</v>
      </c>
      <c r="BK7">
        <v>2</v>
      </c>
      <c r="BL7">
        <v>6</v>
      </c>
      <c r="BM7">
        <v>1</v>
      </c>
      <c r="BN7">
        <v>3</v>
      </c>
      <c r="BO7">
        <v>2</v>
      </c>
      <c r="BP7">
        <v>1</v>
      </c>
      <c r="BQ7">
        <v>2</v>
      </c>
      <c r="BR7">
        <v>2</v>
      </c>
      <c r="BS7">
        <v>3</v>
      </c>
      <c r="BT7">
        <v>4</v>
      </c>
      <c r="BU7">
        <v>2</v>
      </c>
      <c r="BV7">
        <v>2</v>
      </c>
      <c r="BW7">
        <v>2</v>
      </c>
      <c r="BX7">
        <v>1</v>
      </c>
      <c r="BY7">
        <v>2</v>
      </c>
      <c r="BZ7">
        <v>5</v>
      </c>
      <c r="CA7">
        <v>1</v>
      </c>
      <c r="CB7">
        <v>3</v>
      </c>
      <c r="CC7">
        <v>1</v>
      </c>
      <c r="CD7">
        <v>3</v>
      </c>
      <c r="CE7">
        <v>1</v>
      </c>
      <c r="CF7">
        <v>1</v>
      </c>
      <c r="CG7">
        <v>3</v>
      </c>
      <c r="CH7">
        <v>6</v>
      </c>
      <c r="CI7">
        <v>2</v>
      </c>
      <c r="CJ7">
        <v>4</v>
      </c>
      <c r="CK7">
        <v>2</v>
      </c>
      <c r="CL7">
        <v>2</v>
      </c>
      <c r="CM7">
        <v>1</v>
      </c>
      <c r="CN7">
        <v>1</v>
      </c>
      <c r="CO7">
        <v>3</v>
      </c>
      <c r="CP7">
        <v>1</v>
      </c>
      <c r="CQ7">
        <v>3</v>
      </c>
      <c r="CR7">
        <v>1</v>
      </c>
      <c r="CS7">
        <v>1</v>
      </c>
      <c r="CT7">
        <v>3</v>
      </c>
      <c r="CU7">
        <v>1</v>
      </c>
      <c r="CV7">
        <v>2</v>
      </c>
      <c r="CW7">
        <v>3</v>
      </c>
      <c r="CX7">
        <v>1</v>
      </c>
      <c r="CY7">
        <v>1</v>
      </c>
      <c r="CZ7">
        <v>1</v>
      </c>
      <c r="DA7">
        <v>1</v>
      </c>
      <c r="DB7">
        <v>3</v>
      </c>
      <c r="DC7">
        <v>1</v>
      </c>
      <c r="DD7">
        <v>1</v>
      </c>
      <c r="DE7">
        <v>2</v>
      </c>
      <c r="DF7">
        <v>1</v>
      </c>
      <c r="DG7">
        <v>1</v>
      </c>
      <c r="DH7">
        <v>1</v>
      </c>
      <c r="DI7">
        <v>2</v>
      </c>
      <c r="DJ7">
        <v>2</v>
      </c>
      <c r="DK7">
        <v>1</v>
      </c>
      <c r="DL7">
        <v>1</v>
      </c>
      <c r="DM7">
        <v>2</v>
      </c>
      <c r="DN7">
        <v>1</v>
      </c>
      <c r="DO7">
        <v>2</v>
      </c>
      <c r="DP7">
        <v>5</v>
      </c>
      <c r="DQ7">
        <v>0</v>
      </c>
      <c r="DR7">
        <v>0</v>
      </c>
      <c r="DS7">
        <v>0</v>
      </c>
      <c r="DT7">
        <v>0</v>
      </c>
      <c r="DU7">
        <v>0</v>
      </c>
      <c r="DV7">
        <v>0</v>
      </c>
      <c r="DW7">
        <v>0</v>
      </c>
      <c r="DX7">
        <v>1</v>
      </c>
      <c r="DY7">
        <v>0</v>
      </c>
      <c r="DZ7">
        <v>0</v>
      </c>
      <c r="EA7">
        <v>0</v>
      </c>
      <c r="EB7">
        <v>0</v>
      </c>
      <c r="EC7">
        <v>2</v>
      </c>
      <c r="ED7">
        <v>1</v>
      </c>
      <c r="EE7">
        <v>0</v>
      </c>
      <c r="EF7">
        <v>0</v>
      </c>
      <c r="EG7">
        <v>0</v>
      </c>
      <c r="EH7">
        <v>0</v>
      </c>
      <c r="EI7">
        <v>0</v>
      </c>
      <c r="EJ7">
        <v>17615</v>
      </c>
    </row>
    <row r="8" spans="1:140">
      <c r="A8" t="s">
        <v>45</v>
      </c>
      <c r="B8">
        <v>10272016</v>
      </c>
      <c r="C8">
        <v>2</v>
      </c>
      <c r="D8">
        <v>1</v>
      </c>
      <c r="E8">
        <v>26</v>
      </c>
      <c r="F8">
        <v>160</v>
      </c>
      <c r="G8">
        <v>5</v>
      </c>
      <c r="H8">
        <v>8</v>
      </c>
      <c r="I8">
        <v>24.33</v>
      </c>
      <c r="J8">
        <v>23.27</v>
      </c>
      <c r="K8">
        <v>1.35</v>
      </c>
      <c r="L8">
        <v>28.97</v>
      </c>
      <c r="M8">
        <v>11.27</v>
      </c>
      <c r="N8">
        <v>0.56000000000000005</v>
      </c>
      <c r="O8">
        <v>1.33</v>
      </c>
      <c r="P8">
        <v>1.89</v>
      </c>
      <c r="Q8">
        <v>43.81</v>
      </c>
      <c r="R8">
        <v>50.93</v>
      </c>
      <c r="S8">
        <v>1080.18</v>
      </c>
      <c r="T8">
        <v>59.78</v>
      </c>
      <c r="U8">
        <v>52.13</v>
      </c>
      <c r="V8">
        <v>94.54</v>
      </c>
      <c r="W8">
        <v>8.51</v>
      </c>
      <c r="X8">
        <v>2</v>
      </c>
      <c r="Y8">
        <v>1</v>
      </c>
      <c r="Z8">
        <v>1</v>
      </c>
      <c r="AA8">
        <v>2</v>
      </c>
      <c r="AB8">
        <v>3</v>
      </c>
      <c r="AC8">
        <v>1</v>
      </c>
      <c r="AD8">
        <v>1</v>
      </c>
      <c r="AE8">
        <v>1</v>
      </c>
      <c r="AF8">
        <v>1</v>
      </c>
      <c r="AG8">
        <v>2</v>
      </c>
      <c r="AH8">
        <v>1</v>
      </c>
      <c r="AI8">
        <v>1</v>
      </c>
      <c r="AJ8">
        <v>2</v>
      </c>
      <c r="AK8">
        <v>1</v>
      </c>
      <c r="AL8">
        <v>2</v>
      </c>
      <c r="AM8">
        <v>1</v>
      </c>
      <c r="AN8">
        <v>1</v>
      </c>
      <c r="AO8">
        <v>1</v>
      </c>
      <c r="AP8">
        <v>2</v>
      </c>
      <c r="AQ8">
        <v>2</v>
      </c>
      <c r="AR8">
        <v>1</v>
      </c>
      <c r="AS8">
        <v>4</v>
      </c>
      <c r="AT8">
        <v>2</v>
      </c>
      <c r="AU8">
        <v>0</v>
      </c>
      <c r="AV8">
        <v>0</v>
      </c>
      <c r="AW8">
        <v>1</v>
      </c>
      <c r="AX8">
        <v>0</v>
      </c>
      <c r="AY8">
        <v>0</v>
      </c>
      <c r="AZ8">
        <v>1</v>
      </c>
      <c r="BA8">
        <v>1</v>
      </c>
      <c r="BB8">
        <v>6</v>
      </c>
      <c r="BC8">
        <v>3</v>
      </c>
      <c r="BD8">
        <v>3</v>
      </c>
      <c r="BE8">
        <v>2</v>
      </c>
      <c r="BF8">
        <v>2</v>
      </c>
      <c r="BG8">
        <v>2</v>
      </c>
      <c r="BH8">
        <v>1</v>
      </c>
      <c r="BI8">
        <v>1</v>
      </c>
      <c r="BJ8">
        <v>1</v>
      </c>
      <c r="BK8">
        <v>2</v>
      </c>
      <c r="BL8">
        <v>4</v>
      </c>
      <c r="BM8">
        <v>2</v>
      </c>
      <c r="BN8">
        <v>1</v>
      </c>
      <c r="BO8">
        <v>2</v>
      </c>
      <c r="BP8">
        <v>1</v>
      </c>
      <c r="BQ8">
        <v>2</v>
      </c>
      <c r="BR8">
        <v>3</v>
      </c>
      <c r="BS8">
        <v>2</v>
      </c>
      <c r="BT8">
        <v>3</v>
      </c>
      <c r="BU8">
        <v>2</v>
      </c>
      <c r="BV8">
        <v>2</v>
      </c>
      <c r="BW8">
        <v>1</v>
      </c>
      <c r="BX8">
        <v>4</v>
      </c>
      <c r="BY8">
        <v>3</v>
      </c>
      <c r="BZ8">
        <v>2</v>
      </c>
      <c r="CA8">
        <v>2</v>
      </c>
      <c r="CB8">
        <v>2</v>
      </c>
      <c r="CC8">
        <v>1</v>
      </c>
      <c r="CD8">
        <v>3</v>
      </c>
      <c r="CE8">
        <v>2</v>
      </c>
      <c r="CF8">
        <v>1</v>
      </c>
      <c r="CG8">
        <v>1</v>
      </c>
      <c r="CH8">
        <v>2</v>
      </c>
      <c r="CI8">
        <v>1</v>
      </c>
      <c r="CJ8">
        <v>3</v>
      </c>
      <c r="CK8">
        <v>1</v>
      </c>
      <c r="CL8">
        <v>4</v>
      </c>
      <c r="CM8">
        <v>1</v>
      </c>
      <c r="CN8">
        <v>1</v>
      </c>
      <c r="CO8">
        <v>3</v>
      </c>
      <c r="CP8">
        <v>2</v>
      </c>
      <c r="CQ8">
        <v>1</v>
      </c>
      <c r="CR8">
        <v>1</v>
      </c>
      <c r="CS8">
        <v>2</v>
      </c>
      <c r="CT8">
        <v>1</v>
      </c>
      <c r="CU8">
        <v>2</v>
      </c>
      <c r="CV8">
        <v>1</v>
      </c>
      <c r="CW8">
        <v>3</v>
      </c>
      <c r="CX8">
        <v>1</v>
      </c>
      <c r="CY8">
        <v>1</v>
      </c>
      <c r="CZ8">
        <v>1</v>
      </c>
      <c r="DA8">
        <v>1</v>
      </c>
      <c r="DB8">
        <v>3</v>
      </c>
      <c r="DC8">
        <v>1</v>
      </c>
      <c r="DD8">
        <v>1</v>
      </c>
      <c r="DE8">
        <v>1</v>
      </c>
      <c r="DF8">
        <v>2</v>
      </c>
      <c r="DG8">
        <v>3</v>
      </c>
      <c r="DH8">
        <v>1</v>
      </c>
      <c r="DI8">
        <v>2</v>
      </c>
      <c r="DJ8">
        <v>2</v>
      </c>
      <c r="DK8">
        <v>1</v>
      </c>
      <c r="DL8">
        <v>1</v>
      </c>
      <c r="DM8">
        <v>1</v>
      </c>
      <c r="DN8">
        <v>2</v>
      </c>
      <c r="DO8">
        <v>1</v>
      </c>
      <c r="DP8">
        <v>2</v>
      </c>
      <c r="DQ8">
        <v>0</v>
      </c>
      <c r="DR8">
        <v>0</v>
      </c>
      <c r="DS8">
        <v>0</v>
      </c>
      <c r="DT8">
        <v>0</v>
      </c>
      <c r="DU8">
        <v>1</v>
      </c>
      <c r="DV8">
        <v>0</v>
      </c>
      <c r="DW8">
        <v>1</v>
      </c>
      <c r="DX8">
        <v>0</v>
      </c>
      <c r="DY8">
        <v>0</v>
      </c>
      <c r="DZ8">
        <v>0</v>
      </c>
      <c r="EA8">
        <v>0</v>
      </c>
      <c r="EB8">
        <v>0</v>
      </c>
      <c r="EC8">
        <v>1</v>
      </c>
      <c r="ED8">
        <v>1</v>
      </c>
      <c r="EE8">
        <v>0</v>
      </c>
      <c r="EF8">
        <v>0</v>
      </c>
      <c r="EG8">
        <v>0</v>
      </c>
      <c r="EH8">
        <v>0</v>
      </c>
      <c r="EI8">
        <v>0</v>
      </c>
      <c r="EJ8">
        <v>17614</v>
      </c>
    </row>
    <row r="9" spans="1:140">
      <c r="A9" t="s">
        <v>112</v>
      </c>
      <c r="B9">
        <v>10022016</v>
      </c>
      <c r="C9">
        <v>2</v>
      </c>
      <c r="D9">
        <v>1</v>
      </c>
      <c r="E9">
        <v>38</v>
      </c>
      <c r="F9">
        <v>168</v>
      </c>
      <c r="G9">
        <v>5</v>
      </c>
      <c r="H9">
        <v>5</v>
      </c>
      <c r="I9">
        <v>27.96</v>
      </c>
      <c r="J9">
        <v>9.3000000000000007</v>
      </c>
      <c r="K9">
        <v>2.39</v>
      </c>
      <c r="L9">
        <v>81.650000000000006</v>
      </c>
      <c r="M9">
        <v>55.76</v>
      </c>
      <c r="N9">
        <v>1</v>
      </c>
      <c r="O9">
        <v>1.07</v>
      </c>
      <c r="P9">
        <v>2.0699999999999998</v>
      </c>
      <c r="Q9">
        <v>69.86</v>
      </c>
      <c r="R9">
        <v>48.47</v>
      </c>
      <c r="S9">
        <v>1064.04</v>
      </c>
      <c r="T9">
        <v>30.71</v>
      </c>
      <c r="U9">
        <v>38.39</v>
      </c>
      <c r="V9">
        <v>153.97</v>
      </c>
      <c r="W9">
        <v>9.84</v>
      </c>
      <c r="X9">
        <v>2</v>
      </c>
      <c r="Y9">
        <v>1</v>
      </c>
      <c r="Z9">
        <v>2</v>
      </c>
      <c r="AA9">
        <v>4</v>
      </c>
      <c r="AB9">
        <v>2</v>
      </c>
      <c r="AC9">
        <v>1</v>
      </c>
      <c r="AD9">
        <v>1</v>
      </c>
      <c r="AE9">
        <v>1</v>
      </c>
      <c r="AF9">
        <v>1</v>
      </c>
      <c r="AG9">
        <v>2</v>
      </c>
      <c r="AH9">
        <v>4</v>
      </c>
      <c r="AI9">
        <v>1</v>
      </c>
      <c r="AJ9">
        <v>3</v>
      </c>
      <c r="AK9">
        <v>1</v>
      </c>
      <c r="AL9">
        <v>2</v>
      </c>
      <c r="AM9">
        <v>1</v>
      </c>
      <c r="AN9">
        <v>1</v>
      </c>
      <c r="AO9">
        <v>3</v>
      </c>
      <c r="AP9">
        <v>2</v>
      </c>
      <c r="AQ9">
        <v>1</v>
      </c>
      <c r="AR9">
        <v>2</v>
      </c>
      <c r="AS9">
        <v>5</v>
      </c>
      <c r="AT9">
        <v>2</v>
      </c>
      <c r="AU9">
        <v>0</v>
      </c>
      <c r="AV9">
        <v>0</v>
      </c>
      <c r="AW9">
        <v>0</v>
      </c>
      <c r="AX9">
        <v>0</v>
      </c>
      <c r="AY9">
        <v>1</v>
      </c>
      <c r="AZ9">
        <v>6</v>
      </c>
      <c r="BA9">
        <v>2</v>
      </c>
      <c r="BB9">
        <v>2</v>
      </c>
      <c r="BC9">
        <v>1</v>
      </c>
      <c r="BD9">
        <v>2</v>
      </c>
      <c r="BE9">
        <v>2</v>
      </c>
      <c r="BF9">
        <v>1</v>
      </c>
      <c r="BG9">
        <v>1</v>
      </c>
      <c r="BH9">
        <v>1</v>
      </c>
      <c r="BI9">
        <v>2</v>
      </c>
      <c r="BJ9">
        <v>1</v>
      </c>
      <c r="BK9">
        <v>2</v>
      </c>
      <c r="BL9">
        <v>1</v>
      </c>
      <c r="BM9">
        <v>1</v>
      </c>
      <c r="BN9">
        <v>1</v>
      </c>
      <c r="BO9">
        <v>2</v>
      </c>
      <c r="BP9">
        <v>3</v>
      </c>
      <c r="BQ9">
        <v>2</v>
      </c>
      <c r="BR9">
        <v>2</v>
      </c>
      <c r="BS9">
        <v>2</v>
      </c>
      <c r="BT9">
        <v>2</v>
      </c>
      <c r="BU9">
        <v>1</v>
      </c>
      <c r="BV9">
        <v>2</v>
      </c>
      <c r="BW9">
        <v>1</v>
      </c>
      <c r="BX9">
        <v>4</v>
      </c>
      <c r="BY9">
        <v>2</v>
      </c>
      <c r="BZ9">
        <v>4</v>
      </c>
      <c r="CA9">
        <v>1</v>
      </c>
      <c r="CB9">
        <v>2</v>
      </c>
      <c r="CC9">
        <v>1</v>
      </c>
      <c r="CD9">
        <v>1</v>
      </c>
      <c r="CE9">
        <v>1</v>
      </c>
      <c r="CF9">
        <v>1</v>
      </c>
      <c r="CG9">
        <v>1</v>
      </c>
      <c r="CH9">
        <v>4</v>
      </c>
      <c r="CI9">
        <v>2</v>
      </c>
      <c r="CJ9">
        <v>3</v>
      </c>
      <c r="CK9">
        <v>2</v>
      </c>
      <c r="CL9">
        <v>4</v>
      </c>
      <c r="CM9">
        <v>1</v>
      </c>
      <c r="CN9">
        <v>1</v>
      </c>
      <c r="CO9">
        <v>3</v>
      </c>
      <c r="CP9">
        <v>2</v>
      </c>
      <c r="CQ9">
        <v>3</v>
      </c>
      <c r="CR9">
        <v>1</v>
      </c>
      <c r="CS9">
        <v>2</v>
      </c>
      <c r="CT9">
        <v>3</v>
      </c>
      <c r="CU9">
        <v>1</v>
      </c>
      <c r="CV9">
        <v>1</v>
      </c>
      <c r="CW9">
        <v>3</v>
      </c>
      <c r="CX9">
        <v>1</v>
      </c>
      <c r="CY9">
        <v>1</v>
      </c>
      <c r="CZ9">
        <v>3</v>
      </c>
      <c r="DA9">
        <v>2</v>
      </c>
      <c r="DB9">
        <v>3</v>
      </c>
      <c r="DC9">
        <v>1</v>
      </c>
      <c r="DD9">
        <v>1</v>
      </c>
      <c r="DE9">
        <v>1</v>
      </c>
      <c r="DF9">
        <v>2</v>
      </c>
      <c r="DG9">
        <v>3</v>
      </c>
      <c r="DH9">
        <v>3</v>
      </c>
      <c r="DI9">
        <v>2</v>
      </c>
      <c r="DJ9">
        <v>2</v>
      </c>
      <c r="DK9">
        <v>3</v>
      </c>
      <c r="DL9">
        <v>1</v>
      </c>
      <c r="DM9">
        <v>5</v>
      </c>
      <c r="DN9">
        <v>1</v>
      </c>
      <c r="DO9">
        <v>1</v>
      </c>
      <c r="DP9">
        <v>4</v>
      </c>
      <c r="DQ9">
        <v>0</v>
      </c>
      <c r="DR9">
        <v>0</v>
      </c>
      <c r="DS9">
        <v>0</v>
      </c>
      <c r="DT9">
        <v>0</v>
      </c>
      <c r="DU9">
        <v>0</v>
      </c>
      <c r="DV9">
        <v>0</v>
      </c>
      <c r="DW9">
        <v>0</v>
      </c>
      <c r="DX9">
        <v>1</v>
      </c>
      <c r="DY9">
        <v>0</v>
      </c>
      <c r="DZ9">
        <v>0</v>
      </c>
      <c r="EA9">
        <v>0</v>
      </c>
      <c r="EB9">
        <v>0</v>
      </c>
      <c r="EC9">
        <v>2</v>
      </c>
      <c r="ED9">
        <v>1</v>
      </c>
      <c r="EE9">
        <v>0</v>
      </c>
      <c r="EF9">
        <v>0</v>
      </c>
      <c r="EG9">
        <v>0</v>
      </c>
      <c r="EH9">
        <v>0</v>
      </c>
      <c r="EI9">
        <v>0</v>
      </c>
      <c r="EJ9">
        <v>17613</v>
      </c>
    </row>
    <row r="10" spans="1:140">
      <c r="A10" t="s">
        <v>48</v>
      </c>
      <c r="B10">
        <v>9182016</v>
      </c>
      <c r="C10">
        <v>2</v>
      </c>
      <c r="D10">
        <v>1</v>
      </c>
      <c r="E10">
        <v>26</v>
      </c>
      <c r="F10">
        <v>118</v>
      </c>
      <c r="G10">
        <v>5</v>
      </c>
      <c r="H10">
        <v>3</v>
      </c>
      <c r="I10">
        <v>20.9</v>
      </c>
      <c r="J10">
        <v>13.76</v>
      </c>
      <c r="K10">
        <v>1.86</v>
      </c>
      <c r="L10">
        <v>61.27</v>
      </c>
      <c r="M10">
        <v>46.69</v>
      </c>
      <c r="N10">
        <v>1.1399999999999999</v>
      </c>
      <c r="O10">
        <v>0.64500000000000002</v>
      </c>
      <c r="P10">
        <v>1.79</v>
      </c>
      <c r="Q10">
        <v>55.8</v>
      </c>
      <c r="R10">
        <v>49.02</v>
      </c>
      <c r="S10">
        <v>1044.5899999999999</v>
      </c>
      <c r="T10">
        <v>48.25</v>
      </c>
      <c r="U10">
        <v>37.340000000000003</v>
      </c>
      <c r="V10">
        <v>118.85</v>
      </c>
      <c r="W10">
        <v>5.01</v>
      </c>
      <c r="X10">
        <v>1</v>
      </c>
      <c r="Y10">
        <v>1</v>
      </c>
      <c r="Z10">
        <v>2</v>
      </c>
      <c r="AA10">
        <v>2</v>
      </c>
      <c r="AB10">
        <v>2</v>
      </c>
      <c r="AC10">
        <v>1</v>
      </c>
      <c r="AD10">
        <v>1</v>
      </c>
      <c r="AE10">
        <v>4</v>
      </c>
      <c r="AF10">
        <v>1</v>
      </c>
      <c r="AG10">
        <v>2</v>
      </c>
      <c r="AH10">
        <v>3</v>
      </c>
      <c r="AI10">
        <v>1</v>
      </c>
      <c r="AJ10">
        <v>3</v>
      </c>
      <c r="AK10">
        <v>1</v>
      </c>
      <c r="AL10">
        <v>2</v>
      </c>
      <c r="AM10">
        <v>4</v>
      </c>
      <c r="AN10">
        <v>1</v>
      </c>
      <c r="AO10">
        <v>2</v>
      </c>
      <c r="AP10">
        <v>2</v>
      </c>
      <c r="AQ10">
        <v>1</v>
      </c>
      <c r="AR10">
        <v>2</v>
      </c>
      <c r="AS10">
        <v>1</v>
      </c>
      <c r="AT10">
        <v>2</v>
      </c>
      <c r="AU10">
        <v>0</v>
      </c>
      <c r="AV10">
        <v>0</v>
      </c>
      <c r="AW10">
        <v>0</v>
      </c>
      <c r="AX10">
        <v>0</v>
      </c>
      <c r="AY10">
        <v>1</v>
      </c>
      <c r="AZ10">
        <v>4</v>
      </c>
      <c r="BA10">
        <v>1</v>
      </c>
      <c r="BB10">
        <v>3</v>
      </c>
      <c r="BC10">
        <v>1</v>
      </c>
      <c r="BD10">
        <v>3</v>
      </c>
      <c r="BE10">
        <v>1</v>
      </c>
      <c r="BF10">
        <v>1</v>
      </c>
      <c r="BG10">
        <v>3</v>
      </c>
      <c r="BH10">
        <v>1</v>
      </c>
      <c r="BI10">
        <v>1</v>
      </c>
      <c r="BJ10">
        <v>1</v>
      </c>
      <c r="BK10">
        <v>2</v>
      </c>
      <c r="BL10">
        <v>4</v>
      </c>
      <c r="BM10">
        <v>2</v>
      </c>
      <c r="BN10">
        <v>3</v>
      </c>
      <c r="BO10">
        <v>2</v>
      </c>
      <c r="BP10">
        <v>1</v>
      </c>
      <c r="BQ10">
        <v>2</v>
      </c>
      <c r="BR10">
        <v>2</v>
      </c>
      <c r="BS10">
        <v>2</v>
      </c>
      <c r="BT10">
        <v>2</v>
      </c>
      <c r="BU10">
        <v>1</v>
      </c>
      <c r="BV10">
        <v>3</v>
      </c>
      <c r="BW10">
        <v>2</v>
      </c>
      <c r="BX10">
        <v>3</v>
      </c>
      <c r="BY10">
        <v>2</v>
      </c>
      <c r="BZ10">
        <v>4</v>
      </c>
      <c r="CA10">
        <v>2</v>
      </c>
      <c r="CB10">
        <v>3</v>
      </c>
      <c r="CC10">
        <v>1</v>
      </c>
      <c r="CD10">
        <v>3</v>
      </c>
      <c r="CE10">
        <v>1</v>
      </c>
      <c r="CF10">
        <v>2</v>
      </c>
      <c r="CG10">
        <v>1</v>
      </c>
      <c r="CH10">
        <v>2</v>
      </c>
      <c r="CI10">
        <v>1</v>
      </c>
      <c r="CJ10">
        <v>3</v>
      </c>
      <c r="CK10">
        <v>1</v>
      </c>
      <c r="CL10">
        <v>2</v>
      </c>
      <c r="CM10">
        <v>1</v>
      </c>
      <c r="CN10">
        <v>1</v>
      </c>
      <c r="CO10">
        <v>3</v>
      </c>
      <c r="CP10">
        <v>2</v>
      </c>
      <c r="CQ10">
        <v>2</v>
      </c>
      <c r="CR10">
        <v>2</v>
      </c>
      <c r="CS10">
        <v>1</v>
      </c>
      <c r="CT10">
        <v>3</v>
      </c>
      <c r="CU10">
        <v>2</v>
      </c>
      <c r="CV10">
        <v>1</v>
      </c>
      <c r="CW10">
        <v>3</v>
      </c>
      <c r="CX10">
        <v>1</v>
      </c>
      <c r="CY10">
        <v>1</v>
      </c>
      <c r="CZ10">
        <v>2</v>
      </c>
      <c r="DA10">
        <v>1</v>
      </c>
      <c r="DB10">
        <v>3</v>
      </c>
      <c r="DC10">
        <v>1</v>
      </c>
      <c r="DD10">
        <v>1</v>
      </c>
      <c r="DE10">
        <v>1</v>
      </c>
      <c r="DF10">
        <v>2</v>
      </c>
      <c r="DG10">
        <v>3</v>
      </c>
      <c r="DH10">
        <v>2</v>
      </c>
      <c r="DI10">
        <v>1</v>
      </c>
      <c r="DJ10">
        <v>2</v>
      </c>
      <c r="DK10">
        <v>1</v>
      </c>
      <c r="DL10">
        <v>1</v>
      </c>
      <c r="DM10">
        <v>1</v>
      </c>
      <c r="DN10">
        <v>4</v>
      </c>
      <c r="DO10">
        <v>1</v>
      </c>
      <c r="DP10">
        <v>2</v>
      </c>
      <c r="DQ10">
        <v>0</v>
      </c>
      <c r="DR10">
        <v>1</v>
      </c>
      <c r="DS10">
        <v>0</v>
      </c>
      <c r="DT10">
        <v>0</v>
      </c>
      <c r="DU10">
        <v>0</v>
      </c>
      <c r="DV10">
        <v>0</v>
      </c>
      <c r="DW10">
        <v>0</v>
      </c>
      <c r="DX10">
        <v>1</v>
      </c>
      <c r="DY10">
        <v>0</v>
      </c>
      <c r="DZ10">
        <v>0</v>
      </c>
      <c r="EA10">
        <v>0</v>
      </c>
      <c r="EB10">
        <v>0</v>
      </c>
      <c r="EC10">
        <v>2</v>
      </c>
      <c r="ED10">
        <v>1</v>
      </c>
      <c r="EE10">
        <v>0</v>
      </c>
      <c r="EF10">
        <v>0</v>
      </c>
      <c r="EG10">
        <v>0</v>
      </c>
      <c r="EH10">
        <v>0</v>
      </c>
      <c r="EI10">
        <v>0</v>
      </c>
      <c r="EJ10">
        <v>17612</v>
      </c>
    </row>
    <row r="11" spans="1:140">
      <c r="A11" t="s">
        <v>49</v>
      </c>
      <c r="B11">
        <v>9272016</v>
      </c>
      <c r="C11">
        <v>2</v>
      </c>
      <c r="D11">
        <v>1</v>
      </c>
      <c r="E11">
        <v>36</v>
      </c>
      <c r="F11">
        <v>158</v>
      </c>
      <c r="G11">
        <v>5</v>
      </c>
      <c r="H11">
        <v>2</v>
      </c>
      <c r="I11">
        <v>28.9</v>
      </c>
      <c r="J11">
        <v>24.3</v>
      </c>
      <c r="K11">
        <v>1.78</v>
      </c>
      <c r="L11">
        <v>12.36</v>
      </c>
      <c r="M11">
        <v>5.66</v>
      </c>
      <c r="N11">
        <v>0</v>
      </c>
      <c r="O11">
        <v>0.78500000000000003</v>
      </c>
      <c r="P11">
        <v>0.78500000000000003</v>
      </c>
      <c r="Q11">
        <v>21.48</v>
      </c>
      <c r="R11">
        <v>53.7</v>
      </c>
      <c r="S11">
        <v>1170.8499999999999</v>
      </c>
      <c r="T11">
        <v>84.36</v>
      </c>
      <c r="U11">
        <v>71.599999999999994</v>
      </c>
      <c r="V11">
        <v>43.77</v>
      </c>
      <c r="W11">
        <v>3.77</v>
      </c>
      <c r="X11">
        <v>1</v>
      </c>
      <c r="Y11">
        <v>1</v>
      </c>
      <c r="Z11">
        <v>2</v>
      </c>
      <c r="AA11">
        <v>1</v>
      </c>
      <c r="AB11">
        <v>2</v>
      </c>
      <c r="AC11">
        <v>1</v>
      </c>
      <c r="AD11">
        <v>1</v>
      </c>
      <c r="AE11">
        <v>1</v>
      </c>
      <c r="AF11">
        <v>1</v>
      </c>
      <c r="AG11">
        <v>2</v>
      </c>
      <c r="AH11">
        <v>1</v>
      </c>
      <c r="AI11">
        <v>1</v>
      </c>
      <c r="AJ11">
        <v>3</v>
      </c>
      <c r="AK11">
        <v>1</v>
      </c>
      <c r="AL11">
        <v>1</v>
      </c>
      <c r="AM11">
        <v>1</v>
      </c>
      <c r="AN11">
        <v>1</v>
      </c>
      <c r="AO11">
        <v>6</v>
      </c>
      <c r="AP11">
        <v>3</v>
      </c>
      <c r="AQ11">
        <v>1</v>
      </c>
      <c r="AR11">
        <v>2</v>
      </c>
      <c r="AS11">
        <v>1</v>
      </c>
      <c r="AT11">
        <v>2</v>
      </c>
      <c r="AU11">
        <v>0</v>
      </c>
      <c r="AV11">
        <v>1</v>
      </c>
      <c r="AW11">
        <v>0</v>
      </c>
      <c r="AX11">
        <v>0</v>
      </c>
      <c r="AY11">
        <v>0</v>
      </c>
      <c r="AZ11">
        <v>4</v>
      </c>
      <c r="BA11">
        <v>1</v>
      </c>
      <c r="BB11">
        <v>6</v>
      </c>
      <c r="BC11">
        <v>2</v>
      </c>
      <c r="BD11">
        <v>1</v>
      </c>
      <c r="BE11">
        <v>2</v>
      </c>
      <c r="BF11">
        <v>1</v>
      </c>
      <c r="BG11">
        <v>3</v>
      </c>
      <c r="BH11">
        <v>1</v>
      </c>
      <c r="BI11">
        <v>1</v>
      </c>
      <c r="BJ11">
        <v>1</v>
      </c>
      <c r="BK11">
        <v>1</v>
      </c>
      <c r="BL11">
        <v>6</v>
      </c>
      <c r="BM11">
        <v>2</v>
      </c>
      <c r="BN11">
        <v>2</v>
      </c>
      <c r="BO11">
        <v>2</v>
      </c>
      <c r="BP11">
        <v>1</v>
      </c>
      <c r="BQ11">
        <v>2</v>
      </c>
      <c r="BR11">
        <v>2</v>
      </c>
      <c r="BS11">
        <v>2</v>
      </c>
      <c r="BT11">
        <v>2</v>
      </c>
      <c r="BU11">
        <v>1</v>
      </c>
      <c r="BV11">
        <v>2</v>
      </c>
      <c r="BW11">
        <v>1</v>
      </c>
      <c r="BX11">
        <v>5</v>
      </c>
      <c r="BY11">
        <v>1</v>
      </c>
      <c r="BZ11" t="s">
        <v>756</v>
      </c>
      <c r="CA11">
        <v>1</v>
      </c>
      <c r="CB11">
        <v>3</v>
      </c>
      <c r="CC11">
        <v>1</v>
      </c>
      <c r="CD11">
        <v>2</v>
      </c>
      <c r="CE11">
        <v>1</v>
      </c>
      <c r="CF11">
        <v>1</v>
      </c>
      <c r="CG11">
        <v>1</v>
      </c>
      <c r="CH11">
        <v>4</v>
      </c>
      <c r="CI11">
        <v>1</v>
      </c>
      <c r="CJ11">
        <v>1</v>
      </c>
      <c r="CK11">
        <v>2</v>
      </c>
      <c r="CL11">
        <v>4</v>
      </c>
      <c r="CM11">
        <v>2</v>
      </c>
      <c r="CN11">
        <v>1</v>
      </c>
      <c r="CO11">
        <v>2</v>
      </c>
      <c r="CP11">
        <v>2</v>
      </c>
      <c r="CQ11">
        <v>3</v>
      </c>
      <c r="CR11">
        <v>1</v>
      </c>
      <c r="CS11">
        <v>2</v>
      </c>
      <c r="CT11">
        <v>3</v>
      </c>
      <c r="CU11">
        <v>1</v>
      </c>
      <c r="CV11">
        <v>1</v>
      </c>
      <c r="CW11">
        <v>3</v>
      </c>
      <c r="CX11">
        <v>1</v>
      </c>
      <c r="CY11">
        <v>1</v>
      </c>
      <c r="CZ11">
        <v>1</v>
      </c>
      <c r="DA11">
        <v>1</v>
      </c>
      <c r="DB11">
        <v>3</v>
      </c>
      <c r="DC11">
        <v>1</v>
      </c>
      <c r="DD11">
        <v>1</v>
      </c>
      <c r="DE11">
        <v>2</v>
      </c>
      <c r="DF11">
        <v>2</v>
      </c>
      <c r="DG11">
        <v>3</v>
      </c>
      <c r="DH11">
        <v>1</v>
      </c>
      <c r="DI11">
        <v>2</v>
      </c>
      <c r="DJ11">
        <v>2</v>
      </c>
      <c r="DK11">
        <v>2</v>
      </c>
      <c r="DL11">
        <v>1</v>
      </c>
      <c r="DM11">
        <v>5</v>
      </c>
      <c r="DN11">
        <v>1</v>
      </c>
      <c r="DO11">
        <v>1</v>
      </c>
      <c r="DP11">
        <v>4</v>
      </c>
      <c r="DQ11">
        <v>0</v>
      </c>
      <c r="DR11">
        <v>0</v>
      </c>
      <c r="DS11">
        <v>0</v>
      </c>
      <c r="DT11">
        <v>0</v>
      </c>
      <c r="DU11">
        <v>0</v>
      </c>
      <c r="DV11">
        <v>0</v>
      </c>
      <c r="DW11">
        <v>0</v>
      </c>
      <c r="DX11">
        <v>0</v>
      </c>
      <c r="DY11">
        <v>0</v>
      </c>
      <c r="DZ11">
        <v>0</v>
      </c>
      <c r="EA11">
        <v>1</v>
      </c>
      <c r="EB11">
        <v>0</v>
      </c>
      <c r="EC11">
        <v>2</v>
      </c>
      <c r="ED11">
        <v>1</v>
      </c>
      <c r="EE11">
        <v>0</v>
      </c>
      <c r="EF11">
        <v>0</v>
      </c>
      <c r="EG11">
        <v>0</v>
      </c>
      <c r="EH11">
        <v>0</v>
      </c>
      <c r="EI11">
        <v>0</v>
      </c>
      <c r="EJ11">
        <v>17611</v>
      </c>
    </row>
    <row r="12" spans="1:140">
      <c r="A12" t="s">
        <v>50</v>
      </c>
      <c r="B12">
        <v>12182016</v>
      </c>
      <c r="C12">
        <v>2</v>
      </c>
      <c r="D12">
        <v>1</v>
      </c>
      <c r="E12">
        <v>31</v>
      </c>
      <c r="F12">
        <v>260</v>
      </c>
      <c r="G12">
        <v>6</v>
      </c>
      <c r="H12">
        <v>1</v>
      </c>
      <c r="I12">
        <v>34.299999999999997</v>
      </c>
      <c r="J12">
        <v>16.7</v>
      </c>
      <c r="K12">
        <v>2.57</v>
      </c>
      <c r="L12">
        <v>57.91</v>
      </c>
      <c r="M12">
        <v>49.15</v>
      </c>
      <c r="N12">
        <v>0.43</v>
      </c>
      <c r="O12">
        <v>0.42</v>
      </c>
      <c r="P12">
        <v>0.85</v>
      </c>
      <c r="Q12">
        <v>61.49</v>
      </c>
      <c r="R12">
        <v>54.52</v>
      </c>
      <c r="S12">
        <v>1034.75</v>
      </c>
      <c r="T12">
        <v>38.74</v>
      </c>
      <c r="U12">
        <v>44.84</v>
      </c>
      <c r="V12">
        <v>119.44</v>
      </c>
      <c r="W12">
        <v>6.65</v>
      </c>
      <c r="X12">
        <v>1</v>
      </c>
      <c r="Y12">
        <v>1</v>
      </c>
      <c r="Z12">
        <v>1</v>
      </c>
      <c r="AA12">
        <v>2</v>
      </c>
      <c r="AB12">
        <v>2</v>
      </c>
      <c r="AC12">
        <v>1</v>
      </c>
      <c r="AD12">
        <v>1</v>
      </c>
      <c r="AE12">
        <v>1</v>
      </c>
      <c r="AF12">
        <v>1</v>
      </c>
      <c r="AG12">
        <v>2</v>
      </c>
      <c r="AH12">
        <v>1</v>
      </c>
      <c r="AI12">
        <v>1</v>
      </c>
      <c r="AJ12">
        <v>4</v>
      </c>
      <c r="AK12">
        <v>2</v>
      </c>
      <c r="AL12">
        <v>2</v>
      </c>
      <c r="AM12">
        <v>2</v>
      </c>
      <c r="AN12">
        <v>1</v>
      </c>
      <c r="AO12">
        <v>1</v>
      </c>
      <c r="AP12">
        <v>2</v>
      </c>
      <c r="AQ12">
        <v>2</v>
      </c>
      <c r="AR12">
        <v>1</v>
      </c>
      <c r="AS12">
        <v>1</v>
      </c>
      <c r="AT12">
        <v>2</v>
      </c>
      <c r="AU12">
        <v>0</v>
      </c>
      <c r="AV12">
        <v>1</v>
      </c>
      <c r="AW12">
        <v>0</v>
      </c>
      <c r="AX12">
        <v>0</v>
      </c>
      <c r="AY12">
        <v>0</v>
      </c>
      <c r="AZ12">
        <v>5</v>
      </c>
      <c r="BA12">
        <v>1</v>
      </c>
      <c r="BB12">
        <v>3</v>
      </c>
      <c r="BC12">
        <v>1</v>
      </c>
      <c r="BD12">
        <v>2</v>
      </c>
      <c r="BE12">
        <v>2</v>
      </c>
      <c r="BF12">
        <v>2</v>
      </c>
      <c r="BG12">
        <v>3</v>
      </c>
      <c r="BH12">
        <v>2</v>
      </c>
      <c r="BI12">
        <v>1</v>
      </c>
      <c r="BJ12">
        <v>1</v>
      </c>
      <c r="BK12">
        <v>2</v>
      </c>
      <c r="BL12">
        <v>3</v>
      </c>
      <c r="BM12">
        <v>2</v>
      </c>
      <c r="BN12">
        <v>1</v>
      </c>
      <c r="BO12">
        <v>2</v>
      </c>
      <c r="BP12">
        <v>1</v>
      </c>
      <c r="BQ12">
        <v>2</v>
      </c>
      <c r="BR12">
        <v>2</v>
      </c>
      <c r="BS12">
        <v>2</v>
      </c>
      <c r="BT12">
        <v>2</v>
      </c>
      <c r="BU12">
        <v>2</v>
      </c>
      <c r="BV12">
        <v>3</v>
      </c>
      <c r="BW12">
        <v>1</v>
      </c>
      <c r="BX12">
        <v>2</v>
      </c>
      <c r="BY12">
        <v>1</v>
      </c>
      <c r="BZ12">
        <v>3</v>
      </c>
      <c r="CA12">
        <v>1</v>
      </c>
      <c r="CB12">
        <v>3</v>
      </c>
      <c r="CC12">
        <v>3</v>
      </c>
      <c r="CD12">
        <v>2</v>
      </c>
      <c r="CE12">
        <v>1</v>
      </c>
      <c r="CF12">
        <v>2</v>
      </c>
      <c r="CG12">
        <v>2</v>
      </c>
      <c r="CH12">
        <v>2</v>
      </c>
      <c r="CI12">
        <v>1</v>
      </c>
      <c r="CJ12">
        <v>4</v>
      </c>
      <c r="CK12">
        <v>2</v>
      </c>
      <c r="CL12">
        <v>4</v>
      </c>
      <c r="CM12">
        <v>1</v>
      </c>
      <c r="CN12">
        <v>1</v>
      </c>
      <c r="CO12">
        <v>3</v>
      </c>
      <c r="CP12">
        <v>1</v>
      </c>
      <c r="CQ12">
        <v>3</v>
      </c>
      <c r="CR12">
        <v>2</v>
      </c>
      <c r="CS12">
        <v>2</v>
      </c>
      <c r="CT12">
        <v>2</v>
      </c>
      <c r="CU12">
        <v>1</v>
      </c>
      <c r="CV12">
        <v>1</v>
      </c>
      <c r="CW12">
        <v>3</v>
      </c>
      <c r="CX12">
        <v>2</v>
      </c>
      <c r="CY12">
        <v>1</v>
      </c>
      <c r="CZ12">
        <v>1</v>
      </c>
      <c r="DA12">
        <v>1</v>
      </c>
      <c r="DB12">
        <v>3</v>
      </c>
      <c r="DC12">
        <v>1</v>
      </c>
      <c r="DD12">
        <v>1</v>
      </c>
      <c r="DE12">
        <v>2</v>
      </c>
      <c r="DF12">
        <v>2</v>
      </c>
      <c r="DG12">
        <v>3</v>
      </c>
      <c r="DH12">
        <v>1</v>
      </c>
      <c r="DI12">
        <v>2</v>
      </c>
      <c r="DJ12">
        <v>2</v>
      </c>
      <c r="DK12">
        <v>1</v>
      </c>
      <c r="DL12">
        <v>1</v>
      </c>
      <c r="DM12">
        <v>2</v>
      </c>
      <c r="DN12">
        <v>4</v>
      </c>
      <c r="DO12">
        <v>2</v>
      </c>
      <c r="DP12">
        <v>5</v>
      </c>
      <c r="DQ12">
        <v>0</v>
      </c>
      <c r="DR12">
        <v>1</v>
      </c>
      <c r="DS12">
        <v>0</v>
      </c>
      <c r="DT12">
        <v>0</v>
      </c>
      <c r="DU12">
        <v>0</v>
      </c>
      <c r="DV12">
        <v>0</v>
      </c>
      <c r="DW12">
        <v>0</v>
      </c>
      <c r="DX12">
        <v>1</v>
      </c>
      <c r="DY12">
        <v>0</v>
      </c>
      <c r="DZ12">
        <v>0</v>
      </c>
      <c r="EA12">
        <v>0</v>
      </c>
      <c r="EB12">
        <v>0</v>
      </c>
      <c r="EC12">
        <v>2</v>
      </c>
      <c r="ED12">
        <v>1</v>
      </c>
      <c r="EE12">
        <v>0</v>
      </c>
      <c r="EF12">
        <v>0</v>
      </c>
      <c r="EG12">
        <v>0</v>
      </c>
      <c r="EH12">
        <v>0</v>
      </c>
      <c r="EI12">
        <v>0</v>
      </c>
      <c r="EJ12">
        <v>17610</v>
      </c>
    </row>
    <row r="13" spans="1:140">
      <c r="A13" t="s">
        <v>51</v>
      </c>
      <c r="B13">
        <v>9192016</v>
      </c>
      <c r="C13">
        <v>2</v>
      </c>
      <c r="D13">
        <v>1</v>
      </c>
      <c r="E13">
        <v>39</v>
      </c>
      <c r="F13">
        <v>140</v>
      </c>
      <c r="G13">
        <v>5</v>
      </c>
      <c r="H13">
        <v>8</v>
      </c>
      <c r="I13">
        <v>21.29</v>
      </c>
      <c r="J13">
        <v>20.65</v>
      </c>
      <c r="K13">
        <v>4.76</v>
      </c>
      <c r="L13">
        <v>28.33</v>
      </c>
      <c r="M13">
        <v>16.55</v>
      </c>
      <c r="N13">
        <v>0.28999999999999998</v>
      </c>
      <c r="O13">
        <v>1.19</v>
      </c>
      <c r="P13">
        <v>1.48</v>
      </c>
      <c r="Q13">
        <v>58.89</v>
      </c>
      <c r="R13">
        <v>60.61</v>
      </c>
      <c r="S13">
        <v>1155.79</v>
      </c>
      <c r="T13">
        <v>50.07</v>
      </c>
      <c r="U13">
        <v>60.09</v>
      </c>
      <c r="V13">
        <v>106.23</v>
      </c>
      <c r="W13">
        <v>9.07</v>
      </c>
      <c r="X13">
        <v>1</v>
      </c>
      <c r="Y13">
        <v>1</v>
      </c>
      <c r="Z13">
        <v>4</v>
      </c>
      <c r="AA13">
        <v>1</v>
      </c>
      <c r="AB13">
        <v>1</v>
      </c>
      <c r="AC13">
        <v>1</v>
      </c>
      <c r="AD13">
        <v>1</v>
      </c>
      <c r="AE13">
        <v>1</v>
      </c>
      <c r="AF13">
        <v>1</v>
      </c>
      <c r="AG13">
        <v>2</v>
      </c>
      <c r="AH13">
        <v>1</v>
      </c>
      <c r="AI13">
        <v>1</v>
      </c>
      <c r="AJ13">
        <v>1</v>
      </c>
      <c r="AK13">
        <v>1</v>
      </c>
      <c r="AL13">
        <v>1</v>
      </c>
      <c r="AM13">
        <v>1</v>
      </c>
      <c r="AN13">
        <v>1</v>
      </c>
      <c r="AO13">
        <v>3</v>
      </c>
      <c r="AP13">
        <v>1</v>
      </c>
      <c r="AQ13">
        <v>3</v>
      </c>
      <c r="AR13">
        <v>1</v>
      </c>
      <c r="AS13">
        <v>2</v>
      </c>
      <c r="AT13">
        <v>1</v>
      </c>
      <c r="AU13">
        <v>0</v>
      </c>
      <c r="AV13">
        <v>1</v>
      </c>
      <c r="AW13">
        <v>0</v>
      </c>
      <c r="AX13">
        <v>0</v>
      </c>
      <c r="AY13">
        <v>0</v>
      </c>
      <c r="AZ13">
        <v>5</v>
      </c>
      <c r="BA13">
        <v>1</v>
      </c>
      <c r="BB13">
        <v>5</v>
      </c>
      <c r="BC13">
        <v>2</v>
      </c>
      <c r="BD13">
        <v>1</v>
      </c>
      <c r="BE13">
        <v>1</v>
      </c>
      <c r="BF13">
        <v>1</v>
      </c>
      <c r="BG13">
        <v>1</v>
      </c>
      <c r="BH13">
        <v>1</v>
      </c>
      <c r="BI13">
        <v>1</v>
      </c>
      <c r="BJ13">
        <v>1</v>
      </c>
      <c r="BK13">
        <v>2</v>
      </c>
      <c r="BL13">
        <v>1</v>
      </c>
      <c r="BM13">
        <v>1</v>
      </c>
      <c r="BN13">
        <v>1</v>
      </c>
      <c r="BO13">
        <v>1</v>
      </c>
      <c r="BP13">
        <v>4</v>
      </c>
      <c r="BQ13">
        <v>3</v>
      </c>
      <c r="BR13">
        <v>2</v>
      </c>
      <c r="BS13">
        <v>2</v>
      </c>
      <c r="BT13">
        <v>2</v>
      </c>
      <c r="BU13">
        <v>2</v>
      </c>
      <c r="BV13">
        <v>2</v>
      </c>
      <c r="BW13">
        <v>1</v>
      </c>
      <c r="BX13">
        <v>3</v>
      </c>
      <c r="BY13">
        <v>2</v>
      </c>
      <c r="BZ13">
        <v>3</v>
      </c>
      <c r="CA13">
        <v>1</v>
      </c>
      <c r="CB13">
        <v>1</v>
      </c>
      <c r="CC13">
        <v>1</v>
      </c>
      <c r="CD13">
        <v>1</v>
      </c>
      <c r="CE13">
        <v>1</v>
      </c>
      <c r="CF13">
        <v>1</v>
      </c>
      <c r="CG13">
        <v>1</v>
      </c>
      <c r="CH13">
        <v>5</v>
      </c>
      <c r="CI13">
        <v>2</v>
      </c>
      <c r="CJ13">
        <v>6</v>
      </c>
      <c r="CK13">
        <v>1</v>
      </c>
      <c r="CL13">
        <v>1</v>
      </c>
      <c r="CM13">
        <v>5</v>
      </c>
      <c r="CN13">
        <v>1</v>
      </c>
      <c r="CO13">
        <v>1</v>
      </c>
      <c r="CP13">
        <v>1</v>
      </c>
      <c r="CQ13">
        <v>2</v>
      </c>
      <c r="CR13">
        <v>1</v>
      </c>
      <c r="CS13">
        <v>1</v>
      </c>
      <c r="CT13">
        <v>3</v>
      </c>
      <c r="CU13">
        <v>1</v>
      </c>
      <c r="CV13">
        <v>1</v>
      </c>
      <c r="CW13">
        <v>4</v>
      </c>
      <c r="CX13">
        <v>2</v>
      </c>
      <c r="CY13">
        <v>1</v>
      </c>
      <c r="CZ13">
        <v>2</v>
      </c>
      <c r="DA13">
        <v>1</v>
      </c>
      <c r="DB13">
        <v>3</v>
      </c>
      <c r="DC13">
        <v>1</v>
      </c>
      <c r="DD13">
        <v>1</v>
      </c>
      <c r="DE13">
        <v>4</v>
      </c>
      <c r="DF13">
        <v>1</v>
      </c>
      <c r="DG13">
        <v>3</v>
      </c>
      <c r="DH13">
        <v>1</v>
      </c>
      <c r="DI13">
        <v>1</v>
      </c>
      <c r="DJ13">
        <v>2</v>
      </c>
      <c r="DK13">
        <v>1</v>
      </c>
      <c r="DL13">
        <v>1</v>
      </c>
      <c r="DM13">
        <v>2</v>
      </c>
      <c r="DN13">
        <v>4</v>
      </c>
      <c r="DO13">
        <v>1</v>
      </c>
      <c r="DP13">
        <v>5</v>
      </c>
      <c r="DQ13">
        <v>0</v>
      </c>
      <c r="DR13">
        <v>1</v>
      </c>
      <c r="DS13">
        <v>0</v>
      </c>
      <c r="DT13">
        <v>0</v>
      </c>
      <c r="DU13">
        <v>0</v>
      </c>
      <c r="DV13">
        <v>0</v>
      </c>
      <c r="DW13">
        <v>0</v>
      </c>
      <c r="DX13">
        <v>1</v>
      </c>
      <c r="DY13">
        <v>0</v>
      </c>
      <c r="DZ13">
        <v>0</v>
      </c>
      <c r="EA13">
        <v>0</v>
      </c>
      <c r="EB13">
        <v>0</v>
      </c>
      <c r="EC13">
        <v>2</v>
      </c>
      <c r="ED13">
        <v>1</v>
      </c>
      <c r="EE13">
        <v>0</v>
      </c>
      <c r="EF13">
        <v>0</v>
      </c>
      <c r="EG13">
        <v>0</v>
      </c>
      <c r="EH13">
        <v>0</v>
      </c>
      <c r="EI13">
        <v>0</v>
      </c>
      <c r="EJ13">
        <v>17609</v>
      </c>
    </row>
    <row r="15" spans="1:140">
      <c r="A15" t="s">
        <v>53</v>
      </c>
      <c r="B15">
        <v>3172017</v>
      </c>
      <c r="C15">
        <v>2</v>
      </c>
      <c r="D15">
        <v>1</v>
      </c>
      <c r="E15">
        <v>33</v>
      </c>
      <c r="F15">
        <v>164</v>
      </c>
      <c r="G15">
        <v>5</v>
      </c>
      <c r="H15">
        <v>5</v>
      </c>
      <c r="I15">
        <v>27.29</v>
      </c>
      <c r="J15">
        <v>27.94</v>
      </c>
      <c r="K15">
        <v>5.08</v>
      </c>
      <c r="L15">
        <v>76.62</v>
      </c>
      <c r="M15">
        <v>39.81</v>
      </c>
      <c r="N15">
        <v>1.87</v>
      </c>
      <c r="O15">
        <v>2.66</v>
      </c>
      <c r="P15">
        <v>4.53</v>
      </c>
      <c r="Q15">
        <v>76.819999999999993</v>
      </c>
      <c r="R15">
        <v>48.39</v>
      </c>
      <c r="S15">
        <v>1653.44</v>
      </c>
      <c r="T15">
        <v>65.760000000000005</v>
      </c>
      <c r="U15">
        <v>80.09</v>
      </c>
      <c r="V15">
        <v>176.65</v>
      </c>
      <c r="W15">
        <v>17.88</v>
      </c>
      <c r="X15">
        <v>1</v>
      </c>
      <c r="Y15">
        <v>1</v>
      </c>
      <c r="Z15">
        <v>2</v>
      </c>
      <c r="AA15">
        <v>3</v>
      </c>
      <c r="AB15">
        <v>2</v>
      </c>
      <c r="AC15">
        <v>1</v>
      </c>
      <c r="AD15">
        <v>1</v>
      </c>
      <c r="AE15">
        <v>1</v>
      </c>
      <c r="AF15">
        <v>1</v>
      </c>
      <c r="AG15">
        <v>2</v>
      </c>
      <c r="AH15">
        <v>1</v>
      </c>
      <c r="AI15">
        <v>1</v>
      </c>
      <c r="AJ15">
        <v>1</v>
      </c>
      <c r="AK15">
        <v>1</v>
      </c>
      <c r="AL15">
        <v>2</v>
      </c>
      <c r="AM15">
        <v>1</v>
      </c>
      <c r="AN15">
        <v>1</v>
      </c>
      <c r="AO15">
        <v>1</v>
      </c>
      <c r="AP15">
        <v>2</v>
      </c>
      <c r="AQ15">
        <v>1</v>
      </c>
      <c r="AR15">
        <v>2</v>
      </c>
      <c r="AS15">
        <v>1</v>
      </c>
      <c r="AT15">
        <v>2</v>
      </c>
      <c r="AU15">
        <v>0</v>
      </c>
      <c r="AV15">
        <v>0</v>
      </c>
      <c r="AW15">
        <v>0</v>
      </c>
      <c r="AX15">
        <v>0</v>
      </c>
      <c r="AY15">
        <v>1</v>
      </c>
      <c r="AZ15">
        <v>1</v>
      </c>
      <c r="BA15">
        <v>1</v>
      </c>
      <c r="BB15">
        <v>6</v>
      </c>
      <c r="BC15">
        <v>2</v>
      </c>
      <c r="BD15">
        <v>1</v>
      </c>
      <c r="BE15">
        <v>2</v>
      </c>
      <c r="BF15">
        <v>1</v>
      </c>
      <c r="BG15">
        <v>2</v>
      </c>
      <c r="BH15">
        <v>2</v>
      </c>
      <c r="BI15">
        <v>1</v>
      </c>
      <c r="BJ15">
        <v>1</v>
      </c>
      <c r="BK15">
        <v>2</v>
      </c>
      <c r="BL15">
        <v>3</v>
      </c>
      <c r="BM15">
        <v>2</v>
      </c>
      <c r="BN15">
        <v>1</v>
      </c>
      <c r="BO15">
        <v>2</v>
      </c>
      <c r="BP15">
        <v>3</v>
      </c>
      <c r="BQ15">
        <v>3</v>
      </c>
      <c r="BR15">
        <v>2</v>
      </c>
      <c r="BS15">
        <v>2</v>
      </c>
      <c r="BT15">
        <v>3</v>
      </c>
      <c r="BU15">
        <v>2</v>
      </c>
      <c r="BV15">
        <v>2</v>
      </c>
      <c r="BW15">
        <v>1</v>
      </c>
      <c r="BX15">
        <v>5</v>
      </c>
      <c r="BY15">
        <v>2</v>
      </c>
      <c r="BZ15">
        <v>5</v>
      </c>
      <c r="CA15">
        <v>2</v>
      </c>
      <c r="CB15">
        <v>2</v>
      </c>
      <c r="CC15">
        <v>1</v>
      </c>
      <c r="CD15">
        <v>2</v>
      </c>
      <c r="CE15">
        <v>1</v>
      </c>
      <c r="CF15">
        <v>1</v>
      </c>
      <c r="CG15">
        <v>1</v>
      </c>
      <c r="CH15">
        <v>5</v>
      </c>
      <c r="CI15">
        <v>3</v>
      </c>
      <c r="CJ15">
        <v>5</v>
      </c>
      <c r="CK15">
        <v>2</v>
      </c>
      <c r="CL15">
        <v>4</v>
      </c>
      <c r="CM15">
        <v>1</v>
      </c>
      <c r="CN15">
        <v>1</v>
      </c>
      <c r="CO15">
        <v>3</v>
      </c>
      <c r="CP15">
        <v>2</v>
      </c>
      <c r="CQ15">
        <v>1</v>
      </c>
      <c r="CR15">
        <v>1</v>
      </c>
      <c r="CS15">
        <v>2</v>
      </c>
      <c r="CT15">
        <v>1</v>
      </c>
      <c r="CU15">
        <v>4</v>
      </c>
      <c r="CV15">
        <v>2</v>
      </c>
      <c r="CW15">
        <v>3</v>
      </c>
      <c r="CX15">
        <v>2</v>
      </c>
      <c r="CY15">
        <v>1</v>
      </c>
      <c r="CZ15">
        <v>3</v>
      </c>
      <c r="DA15">
        <v>2</v>
      </c>
      <c r="DB15">
        <v>3</v>
      </c>
      <c r="DC15">
        <v>3</v>
      </c>
      <c r="DD15">
        <v>2</v>
      </c>
      <c r="DE15">
        <v>2</v>
      </c>
      <c r="DF15">
        <v>2</v>
      </c>
      <c r="DG15">
        <v>3</v>
      </c>
      <c r="DH15">
        <v>1</v>
      </c>
      <c r="DI15">
        <v>2</v>
      </c>
      <c r="DJ15">
        <v>2</v>
      </c>
      <c r="DK15">
        <v>3</v>
      </c>
      <c r="DL15">
        <v>2</v>
      </c>
      <c r="DM15">
        <v>2</v>
      </c>
      <c r="DN15">
        <v>3</v>
      </c>
      <c r="DO15">
        <v>2</v>
      </c>
      <c r="DP15">
        <v>4</v>
      </c>
      <c r="DQ15">
        <v>0</v>
      </c>
      <c r="DR15">
        <v>0</v>
      </c>
      <c r="DS15">
        <v>0</v>
      </c>
      <c r="DT15">
        <v>0</v>
      </c>
      <c r="DU15">
        <v>0</v>
      </c>
      <c r="DV15">
        <v>0</v>
      </c>
      <c r="DW15">
        <v>0</v>
      </c>
      <c r="DX15">
        <v>1</v>
      </c>
      <c r="DY15">
        <v>0</v>
      </c>
      <c r="DZ15">
        <v>0</v>
      </c>
      <c r="EA15">
        <v>0</v>
      </c>
      <c r="EB15">
        <v>0</v>
      </c>
      <c r="EC15">
        <v>1</v>
      </c>
      <c r="ED15">
        <v>1</v>
      </c>
      <c r="EE15">
        <v>0</v>
      </c>
      <c r="EF15">
        <v>0</v>
      </c>
      <c r="EG15">
        <v>0</v>
      </c>
      <c r="EH15">
        <v>0</v>
      </c>
      <c r="EI15">
        <v>0</v>
      </c>
      <c r="EJ15">
        <v>17636</v>
      </c>
    </row>
    <row r="16" spans="1:140">
      <c r="A16" t="s">
        <v>54</v>
      </c>
      <c r="B16">
        <v>1292017</v>
      </c>
      <c r="C16">
        <v>2</v>
      </c>
      <c r="D16">
        <v>1</v>
      </c>
      <c r="E16">
        <v>41</v>
      </c>
      <c r="F16">
        <v>159</v>
      </c>
      <c r="G16">
        <v>5</v>
      </c>
      <c r="H16">
        <v>3</v>
      </c>
      <c r="I16">
        <v>28.17</v>
      </c>
      <c r="J16">
        <v>10</v>
      </c>
      <c r="K16">
        <v>0.37</v>
      </c>
      <c r="L16">
        <v>32.200000000000003</v>
      </c>
      <c r="M16">
        <v>16.11</v>
      </c>
      <c r="N16">
        <v>0.68500000000000005</v>
      </c>
      <c r="O16">
        <v>1.97</v>
      </c>
      <c r="P16">
        <v>2.65</v>
      </c>
      <c r="Q16">
        <v>64.3</v>
      </c>
      <c r="R16">
        <v>55.31</v>
      </c>
      <c r="S16">
        <v>935.99</v>
      </c>
      <c r="T16">
        <v>37.36</v>
      </c>
      <c r="U16">
        <v>33.07</v>
      </c>
      <c r="V16">
        <v>128.03</v>
      </c>
      <c r="W16">
        <v>11.78</v>
      </c>
      <c r="X16">
        <v>4</v>
      </c>
      <c r="Y16">
        <v>1</v>
      </c>
      <c r="Z16">
        <v>6</v>
      </c>
      <c r="AA16">
        <v>2</v>
      </c>
      <c r="AB16">
        <v>1</v>
      </c>
      <c r="AC16">
        <v>2</v>
      </c>
      <c r="AD16">
        <v>1</v>
      </c>
      <c r="AE16">
        <v>1</v>
      </c>
      <c r="AF16">
        <v>1</v>
      </c>
      <c r="AG16">
        <v>2</v>
      </c>
      <c r="AH16">
        <v>1</v>
      </c>
      <c r="AI16">
        <v>1</v>
      </c>
      <c r="AJ16">
        <v>4</v>
      </c>
      <c r="AK16">
        <v>1</v>
      </c>
      <c r="AL16">
        <v>1</v>
      </c>
      <c r="AM16">
        <v>1</v>
      </c>
      <c r="AN16">
        <v>1</v>
      </c>
      <c r="AO16">
        <v>3</v>
      </c>
      <c r="AP16">
        <v>1</v>
      </c>
      <c r="AQ16">
        <v>1</v>
      </c>
      <c r="AR16">
        <v>1</v>
      </c>
      <c r="AS16">
        <v>1</v>
      </c>
      <c r="AT16">
        <v>1</v>
      </c>
      <c r="AU16">
        <v>0</v>
      </c>
      <c r="AV16">
        <v>0</v>
      </c>
      <c r="AW16">
        <v>0</v>
      </c>
      <c r="AX16">
        <v>0</v>
      </c>
      <c r="AY16">
        <v>1</v>
      </c>
      <c r="AZ16">
        <v>4</v>
      </c>
      <c r="BA16">
        <v>2</v>
      </c>
      <c r="BB16">
        <v>3</v>
      </c>
      <c r="BC16">
        <v>1</v>
      </c>
      <c r="BD16">
        <v>1</v>
      </c>
      <c r="BE16">
        <v>1</v>
      </c>
      <c r="BF16">
        <v>2</v>
      </c>
      <c r="BG16">
        <v>2</v>
      </c>
      <c r="BH16">
        <v>1</v>
      </c>
      <c r="BI16">
        <v>1</v>
      </c>
      <c r="BJ16">
        <v>1</v>
      </c>
      <c r="BK16">
        <v>1</v>
      </c>
      <c r="BL16">
        <v>2</v>
      </c>
      <c r="BM16">
        <v>1</v>
      </c>
      <c r="BN16">
        <v>2</v>
      </c>
      <c r="BO16">
        <v>1</v>
      </c>
      <c r="BP16">
        <v>2</v>
      </c>
      <c r="BQ16">
        <v>2</v>
      </c>
      <c r="BR16">
        <v>1</v>
      </c>
      <c r="BS16">
        <v>1</v>
      </c>
      <c r="BT16">
        <v>2</v>
      </c>
      <c r="BU16">
        <v>1</v>
      </c>
      <c r="BV16">
        <v>6</v>
      </c>
      <c r="BW16">
        <v>1</v>
      </c>
      <c r="BX16">
        <v>4</v>
      </c>
      <c r="BY16">
        <v>1</v>
      </c>
      <c r="BZ16">
        <v>3</v>
      </c>
      <c r="CA16">
        <v>2</v>
      </c>
      <c r="CB16">
        <v>1</v>
      </c>
      <c r="CC16">
        <v>1</v>
      </c>
      <c r="CD16">
        <v>5</v>
      </c>
      <c r="CE16">
        <v>2</v>
      </c>
      <c r="CF16">
        <v>4</v>
      </c>
      <c r="CG16">
        <v>1</v>
      </c>
      <c r="CH16">
        <v>4</v>
      </c>
      <c r="CI16">
        <v>2</v>
      </c>
      <c r="CJ16">
        <v>6</v>
      </c>
      <c r="CK16">
        <v>2</v>
      </c>
      <c r="CL16">
        <v>4</v>
      </c>
      <c r="CM16">
        <v>1</v>
      </c>
      <c r="CN16">
        <v>1</v>
      </c>
      <c r="CO16">
        <v>2</v>
      </c>
      <c r="CP16">
        <v>1</v>
      </c>
      <c r="CQ16">
        <v>2</v>
      </c>
      <c r="CR16">
        <v>2</v>
      </c>
      <c r="CS16">
        <v>1</v>
      </c>
      <c r="CT16">
        <v>3</v>
      </c>
      <c r="CU16">
        <v>2</v>
      </c>
      <c r="CV16">
        <v>2</v>
      </c>
      <c r="CW16">
        <v>3</v>
      </c>
      <c r="CX16">
        <v>1</v>
      </c>
      <c r="CY16">
        <v>1</v>
      </c>
      <c r="CZ16">
        <v>1</v>
      </c>
      <c r="DA16">
        <v>1</v>
      </c>
      <c r="DB16">
        <v>3</v>
      </c>
      <c r="DC16">
        <v>1</v>
      </c>
      <c r="DD16">
        <v>1</v>
      </c>
      <c r="DE16">
        <v>2</v>
      </c>
      <c r="DF16">
        <v>2</v>
      </c>
      <c r="DG16">
        <v>3</v>
      </c>
      <c r="DH16">
        <v>2</v>
      </c>
      <c r="DI16">
        <v>1</v>
      </c>
      <c r="DJ16">
        <v>2</v>
      </c>
      <c r="DK16">
        <v>1</v>
      </c>
      <c r="DL16">
        <v>1</v>
      </c>
      <c r="DM16">
        <v>3</v>
      </c>
      <c r="DN16">
        <v>2</v>
      </c>
      <c r="DO16">
        <v>1</v>
      </c>
      <c r="DP16">
        <v>3</v>
      </c>
      <c r="DQ16">
        <v>0</v>
      </c>
      <c r="DR16">
        <v>0</v>
      </c>
      <c r="DS16">
        <v>0</v>
      </c>
      <c r="DT16">
        <v>0</v>
      </c>
      <c r="DU16">
        <v>0</v>
      </c>
      <c r="DV16">
        <v>0</v>
      </c>
      <c r="DW16">
        <v>0</v>
      </c>
      <c r="DX16">
        <v>1</v>
      </c>
      <c r="DY16">
        <v>0</v>
      </c>
      <c r="DZ16">
        <v>0</v>
      </c>
      <c r="EA16">
        <v>0</v>
      </c>
      <c r="EB16">
        <v>0</v>
      </c>
      <c r="EC16">
        <v>1</v>
      </c>
      <c r="ED16">
        <v>0</v>
      </c>
      <c r="EE16">
        <v>0</v>
      </c>
      <c r="EF16">
        <v>0</v>
      </c>
      <c r="EG16">
        <v>0</v>
      </c>
      <c r="EH16">
        <v>0</v>
      </c>
      <c r="EI16">
        <v>0</v>
      </c>
      <c r="EJ16">
        <v>17635</v>
      </c>
    </row>
    <row r="17" spans="1:140">
      <c r="A17" t="s">
        <v>113</v>
      </c>
      <c r="B17">
        <v>11152016</v>
      </c>
      <c r="C17">
        <v>2</v>
      </c>
      <c r="D17">
        <v>1</v>
      </c>
      <c r="E17">
        <v>27</v>
      </c>
      <c r="F17">
        <v>215</v>
      </c>
      <c r="G17">
        <v>5</v>
      </c>
      <c r="H17">
        <v>8</v>
      </c>
      <c r="I17">
        <v>32.69</v>
      </c>
      <c r="J17">
        <v>19.28</v>
      </c>
      <c r="K17">
        <v>0.96299999999999997</v>
      </c>
      <c r="L17">
        <v>46.06</v>
      </c>
      <c r="M17">
        <v>17.53</v>
      </c>
      <c r="N17">
        <v>1</v>
      </c>
      <c r="O17">
        <v>3.46</v>
      </c>
      <c r="P17">
        <v>4.46</v>
      </c>
      <c r="Q17">
        <v>51.63</v>
      </c>
      <c r="R17">
        <v>50.06</v>
      </c>
      <c r="S17">
        <v>1146.53</v>
      </c>
      <c r="T17">
        <v>42.57</v>
      </c>
      <c r="U17">
        <v>58.78</v>
      </c>
      <c r="V17">
        <v>121.06</v>
      </c>
      <c r="W17">
        <v>17.93</v>
      </c>
      <c r="X17">
        <v>1</v>
      </c>
      <c r="Y17">
        <v>1</v>
      </c>
      <c r="Z17">
        <v>2</v>
      </c>
      <c r="AA17">
        <v>1</v>
      </c>
      <c r="AB17">
        <v>2</v>
      </c>
      <c r="AC17">
        <v>1</v>
      </c>
      <c r="AD17">
        <v>1</v>
      </c>
      <c r="AE17">
        <v>1</v>
      </c>
      <c r="AF17">
        <v>1</v>
      </c>
      <c r="AG17">
        <v>1</v>
      </c>
      <c r="AH17">
        <v>1</v>
      </c>
      <c r="AI17">
        <v>1</v>
      </c>
      <c r="AJ17">
        <v>2</v>
      </c>
      <c r="AK17">
        <v>1</v>
      </c>
      <c r="AL17">
        <v>2</v>
      </c>
      <c r="AM17">
        <v>1</v>
      </c>
      <c r="AN17">
        <v>1</v>
      </c>
      <c r="AO17">
        <v>4</v>
      </c>
      <c r="AP17">
        <v>1</v>
      </c>
      <c r="AQ17">
        <v>1</v>
      </c>
      <c r="AR17">
        <v>2</v>
      </c>
      <c r="AS17">
        <v>1</v>
      </c>
      <c r="AT17">
        <v>2</v>
      </c>
      <c r="AU17">
        <v>0</v>
      </c>
      <c r="AV17">
        <v>0</v>
      </c>
      <c r="AW17">
        <v>0</v>
      </c>
      <c r="AX17">
        <v>0</v>
      </c>
      <c r="AY17">
        <v>1</v>
      </c>
      <c r="AZ17">
        <v>4</v>
      </c>
      <c r="BA17">
        <v>2</v>
      </c>
      <c r="BB17">
        <v>3</v>
      </c>
      <c r="BC17">
        <v>1</v>
      </c>
      <c r="BD17">
        <v>2</v>
      </c>
      <c r="BE17">
        <v>2</v>
      </c>
      <c r="BF17">
        <v>1</v>
      </c>
      <c r="BG17">
        <v>3</v>
      </c>
      <c r="BH17">
        <v>1</v>
      </c>
      <c r="BI17">
        <v>1</v>
      </c>
      <c r="BJ17">
        <v>1</v>
      </c>
      <c r="BK17">
        <v>2</v>
      </c>
      <c r="BL17">
        <v>2</v>
      </c>
      <c r="BM17">
        <v>1</v>
      </c>
      <c r="BN17">
        <v>2</v>
      </c>
      <c r="BO17">
        <v>2</v>
      </c>
      <c r="BP17">
        <v>3</v>
      </c>
      <c r="BQ17">
        <v>2</v>
      </c>
      <c r="BR17">
        <v>1</v>
      </c>
      <c r="BS17">
        <v>1</v>
      </c>
      <c r="BT17">
        <v>2</v>
      </c>
      <c r="BU17">
        <v>1</v>
      </c>
      <c r="BV17">
        <v>2</v>
      </c>
      <c r="BW17">
        <v>1</v>
      </c>
      <c r="BX17">
        <v>6</v>
      </c>
      <c r="BY17">
        <v>2</v>
      </c>
      <c r="BZ17">
        <v>4</v>
      </c>
      <c r="CA17">
        <v>2</v>
      </c>
      <c r="CB17">
        <v>3</v>
      </c>
      <c r="CC17">
        <v>1</v>
      </c>
      <c r="CD17">
        <v>5</v>
      </c>
      <c r="CE17">
        <v>1</v>
      </c>
      <c r="CF17">
        <v>1</v>
      </c>
      <c r="CG17">
        <v>1</v>
      </c>
      <c r="CH17">
        <v>6</v>
      </c>
      <c r="CI17">
        <v>3</v>
      </c>
      <c r="CJ17">
        <v>4</v>
      </c>
      <c r="CK17">
        <v>2</v>
      </c>
      <c r="CL17">
        <v>4</v>
      </c>
      <c r="CM17">
        <v>1</v>
      </c>
      <c r="CN17">
        <v>1</v>
      </c>
      <c r="CO17">
        <v>1</v>
      </c>
      <c r="CP17">
        <v>2</v>
      </c>
      <c r="CQ17">
        <v>2</v>
      </c>
      <c r="CR17">
        <v>1</v>
      </c>
      <c r="CS17">
        <v>2</v>
      </c>
      <c r="CT17">
        <v>3</v>
      </c>
      <c r="CU17">
        <v>2</v>
      </c>
      <c r="CV17">
        <v>2</v>
      </c>
      <c r="CW17">
        <v>1</v>
      </c>
      <c r="CX17">
        <v>1</v>
      </c>
      <c r="CY17">
        <v>1</v>
      </c>
      <c r="CZ17">
        <v>2</v>
      </c>
      <c r="DA17">
        <v>1</v>
      </c>
      <c r="DB17">
        <v>3</v>
      </c>
      <c r="DC17">
        <v>1</v>
      </c>
      <c r="DD17">
        <v>1</v>
      </c>
      <c r="DE17">
        <v>2</v>
      </c>
      <c r="DF17">
        <v>2</v>
      </c>
      <c r="DG17">
        <v>3</v>
      </c>
      <c r="DH17">
        <v>1</v>
      </c>
      <c r="DI17">
        <v>2</v>
      </c>
      <c r="DJ17">
        <v>2</v>
      </c>
      <c r="DK17">
        <v>1</v>
      </c>
      <c r="DL17">
        <v>1</v>
      </c>
      <c r="DM17">
        <v>2</v>
      </c>
      <c r="DN17">
        <v>4</v>
      </c>
      <c r="DO17">
        <v>2</v>
      </c>
      <c r="DP17">
        <v>6</v>
      </c>
      <c r="DQ17">
        <v>0</v>
      </c>
      <c r="DR17">
        <v>1</v>
      </c>
      <c r="DS17">
        <v>0</v>
      </c>
      <c r="DT17">
        <v>0</v>
      </c>
      <c r="DU17">
        <v>0</v>
      </c>
      <c r="DV17">
        <v>0</v>
      </c>
      <c r="DW17">
        <v>0</v>
      </c>
      <c r="DX17">
        <v>1</v>
      </c>
      <c r="DY17">
        <v>0</v>
      </c>
      <c r="DZ17">
        <v>0</v>
      </c>
      <c r="EA17">
        <v>0</v>
      </c>
      <c r="EB17">
        <v>0</v>
      </c>
      <c r="EC17">
        <v>2</v>
      </c>
      <c r="ED17">
        <v>1</v>
      </c>
      <c r="EE17">
        <v>0</v>
      </c>
      <c r="EF17">
        <v>0</v>
      </c>
      <c r="EG17">
        <v>0</v>
      </c>
      <c r="EH17">
        <v>0</v>
      </c>
      <c r="EI17">
        <v>0</v>
      </c>
      <c r="EJ17">
        <v>12105</v>
      </c>
    </row>
    <row r="18" spans="1:140">
      <c r="A18" t="s">
        <v>56</v>
      </c>
      <c r="B18">
        <v>10302016</v>
      </c>
      <c r="C18">
        <v>2</v>
      </c>
      <c r="D18">
        <v>1</v>
      </c>
      <c r="E18">
        <v>31</v>
      </c>
      <c r="F18">
        <v>174</v>
      </c>
      <c r="G18">
        <v>5</v>
      </c>
      <c r="H18">
        <v>3</v>
      </c>
      <c r="I18">
        <v>30.82</v>
      </c>
      <c r="J18">
        <v>21.47</v>
      </c>
      <c r="K18">
        <v>2.4700000000000002</v>
      </c>
      <c r="L18">
        <v>85.3</v>
      </c>
      <c r="M18">
        <v>46.89</v>
      </c>
      <c r="N18">
        <v>2.5</v>
      </c>
      <c r="O18">
        <v>1.04</v>
      </c>
      <c r="P18">
        <v>3.54</v>
      </c>
      <c r="Q18">
        <v>68.13</v>
      </c>
      <c r="R18">
        <v>47.2</v>
      </c>
      <c r="S18">
        <v>1271.69</v>
      </c>
      <c r="T18">
        <v>50.61</v>
      </c>
      <c r="U18">
        <v>53.05</v>
      </c>
      <c r="V18">
        <v>153.13</v>
      </c>
      <c r="W18">
        <v>8.7899999999999991</v>
      </c>
      <c r="X18">
        <v>4</v>
      </c>
      <c r="Y18">
        <v>1</v>
      </c>
      <c r="Z18">
        <v>2</v>
      </c>
      <c r="AA18">
        <v>4</v>
      </c>
      <c r="AB18">
        <v>2</v>
      </c>
      <c r="AC18">
        <v>1</v>
      </c>
      <c r="AD18">
        <v>1</v>
      </c>
      <c r="AE18">
        <v>5</v>
      </c>
      <c r="AF18">
        <v>2</v>
      </c>
      <c r="AG18">
        <v>1</v>
      </c>
      <c r="AH18">
        <v>1</v>
      </c>
      <c r="AI18">
        <v>1</v>
      </c>
      <c r="AJ18">
        <v>4</v>
      </c>
      <c r="AK18">
        <v>1</v>
      </c>
      <c r="AL18">
        <v>2</v>
      </c>
      <c r="AM18">
        <v>1</v>
      </c>
      <c r="AN18">
        <v>1</v>
      </c>
      <c r="AO18">
        <v>4</v>
      </c>
      <c r="AP18">
        <v>2</v>
      </c>
      <c r="AQ18">
        <v>3</v>
      </c>
      <c r="AR18">
        <v>2</v>
      </c>
      <c r="AS18">
        <v>1</v>
      </c>
      <c r="AT18">
        <v>2</v>
      </c>
      <c r="AU18">
        <v>0</v>
      </c>
      <c r="AV18">
        <v>1</v>
      </c>
      <c r="AW18">
        <v>1</v>
      </c>
      <c r="AX18">
        <v>0</v>
      </c>
      <c r="AY18">
        <v>0</v>
      </c>
      <c r="AZ18">
        <v>3</v>
      </c>
      <c r="BA18">
        <v>1</v>
      </c>
      <c r="BB18">
        <v>4</v>
      </c>
      <c r="BC18">
        <v>1</v>
      </c>
      <c r="BD18">
        <v>4</v>
      </c>
      <c r="BE18">
        <v>3</v>
      </c>
      <c r="BF18">
        <v>1</v>
      </c>
      <c r="BG18">
        <v>2</v>
      </c>
      <c r="BH18">
        <v>2</v>
      </c>
      <c r="BI18">
        <v>1</v>
      </c>
      <c r="BJ18">
        <v>1</v>
      </c>
      <c r="BK18">
        <v>2</v>
      </c>
      <c r="BL18">
        <v>2</v>
      </c>
      <c r="BM18">
        <v>2</v>
      </c>
      <c r="BN18">
        <v>1</v>
      </c>
      <c r="BO18">
        <v>2</v>
      </c>
      <c r="BP18">
        <v>1</v>
      </c>
      <c r="BQ18">
        <v>2</v>
      </c>
      <c r="BR18">
        <v>2</v>
      </c>
      <c r="BS18">
        <v>2</v>
      </c>
      <c r="BT18">
        <v>3</v>
      </c>
      <c r="BU18">
        <v>2</v>
      </c>
      <c r="BV18">
        <v>2</v>
      </c>
      <c r="BW18">
        <v>1</v>
      </c>
      <c r="BX18">
        <v>4</v>
      </c>
      <c r="BY18">
        <v>2</v>
      </c>
      <c r="BZ18">
        <v>6</v>
      </c>
      <c r="CA18">
        <v>2</v>
      </c>
      <c r="CB18">
        <v>2</v>
      </c>
      <c r="CC18">
        <v>2</v>
      </c>
      <c r="CD18">
        <v>2</v>
      </c>
      <c r="CE18">
        <v>1</v>
      </c>
      <c r="CF18">
        <v>2</v>
      </c>
      <c r="CG18">
        <v>2</v>
      </c>
      <c r="CH18">
        <v>3</v>
      </c>
      <c r="CI18">
        <v>1</v>
      </c>
      <c r="CJ18">
        <v>4</v>
      </c>
      <c r="CK18">
        <v>2</v>
      </c>
      <c r="CL18">
        <v>2</v>
      </c>
      <c r="CM18">
        <v>1</v>
      </c>
      <c r="CN18">
        <v>1</v>
      </c>
      <c r="CO18">
        <v>3</v>
      </c>
      <c r="CP18">
        <v>1</v>
      </c>
      <c r="CQ18">
        <v>2</v>
      </c>
      <c r="CR18">
        <v>1</v>
      </c>
      <c r="CS18">
        <v>2</v>
      </c>
      <c r="CT18">
        <v>3</v>
      </c>
      <c r="CU18">
        <v>3</v>
      </c>
      <c r="CV18">
        <v>2</v>
      </c>
      <c r="CW18">
        <v>4</v>
      </c>
      <c r="CX18">
        <v>2</v>
      </c>
      <c r="CY18">
        <v>1</v>
      </c>
      <c r="CZ18">
        <v>1</v>
      </c>
      <c r="DA18">
        <v>1</v>
      </c>
      <c r="DB18">
        <v>3</v>
      </c>
      <c r="DC18">
        <v>1</v>
      </c>
      <c r="DD18">
        <v>1</v>
      </c>
      <c r="DE18">
        <v>5</v>
      </c>
      <c r="DF18">
        <v>2</v>
      </c>
      <c r="DG18">
        <v>3</v>
      </c>
      <c r="DH18">
        <v>1</v>
      </c>
      <c r="DI18">
        <v>1</v>
      </c>
      <c r="DJ18">
        <v>2</v>
      </c>
      <c r="DK18">
        <v>1</v>
      </c>
      <c r="DL18">
        <v>1</v>
      </c>
      <c r="DM18">
        <v>2</v>
      </c>
      <c r="DN18">
        <v>4</v>
      </c>
      <c r="DO18">
        <v>2</v>
      </c>
      <c r="DP18">
        <v>3</v>
      </c>
      <c r="DQ18">
        <v>0</v>
      </c>
      <c r="DR18">
        <v>1</v>
      </c>
      <c r="DS18">
        <v>0</v>
      </c>
      <c r="DT18">
        <v>0</v>
      </c>
      <c r="DU18">
        <v>0</v>
      </c>
      <c r="DV18">
        <v>0</v>
      </c>
      <c r="DW18">
        <v>0</v>
      </c>
      <c r="DX18">
        <v>1</v>
      </c>
      <c r="DY18">
        <v>0</v>
      </c>
      <c r="DZ18">
        <v>0</v>
      </c>
      <c r="EA18">
        <v>0</v>
      </c>
      <c r="EB18">
        <v>0</v>
      </c>
      <c r="EC18">
        <v>1</v>
      </c>
      <c r="ED18">
        <v>1</v>
      </c>
      <c r="EE18">
        <v>0</v>
      </c>
      <c r="EF18">
        <v>0</v>
      </c>
      <c r="EG18">
        <v>0</v>
      </c>
      <c r="EH18">
        <v>0</v>
      </c>
      <c r="EI18">
        <v>0</v>
      </c>
      <c r="EJ18">
        <v>17633</v>
      </c>
    </row>
    <row r="19" spans="1:140">
      <c r="A19" t="s">
        <v>114</v>
      </c>
      <c r="B19">
        <v>12212016</v>
      </c>
      <c r="C19">
        <v>2</v>
      </c>
      <c r="D19">
        <v>1</v>
      </c>
      <c r="E19">
        <v>32</v>
      </c>
      <c r="F19">
        <v>110</v>
      </c>
      <c r="G19">
        <v>5</v>
      </c>
      <c r="H19">
        <v>4</v>
      </c>
      <c r="I19">
        <v>18.88</v>
      </c>
      <c r="J19">
        <v>8.1999999999999993</v>
      </c>
      <c r="K19">
        <v>7.3400000000000007E-2</v>
      </c>
      <c r="L19">
        <v>23.88</v>
      </c>
      <c r="M19">
        <v>1.94</v>
      </c>
      <c r="N19">
        <v>1.72</v>
      </c>
      <c r="O19">
        <v>0.71499999999999997</v>
      </c>
      <c r="P19">
        <v>2.44</v>
      </c>
      <c r="Q19">
        <v>22.68</v>
      </c>
      <c r="R19">
        <v>46.02</v>
      </c>
      <c r="S19">
        <v>543.61</v>
      </c>
      <c r="T19">
        <v>31.58</v>
      </c>
      <c r="U19">
        <v>22.8</v>
      </c>
      <c r="V19">
        <v>55.46</v>
      </c>
      <c r="W19">
        <v>6.18</v>
      </c>
      <c r="X19">
        <v>1</v>
      </c>
      <c r="Y19">
        <v>1</v>
      </c>
      <c r="Z19">
        <v>3</v>
      </c>
      <c r="AA19">
        <v>2</v>
      </c>
      <c r="AB19">
        <v>2</v>
      </c>
      <c r="AC19">
        <v>1</v>
      </c>
      <c r="AD19">
        <v>1</v>
      </c>
      <c r="AE19">
        <v>1</v>
      </c>
      <c r="AF19">
        <v>1</v>
      </c>
      <c r="AG19">
        <v>2</v>
      </c>
      <c r="AH19">
        <v>1</v>
      </c>
      <c r="AI19">
        <v>1</v>
      </c>
      <c r="AJ19">
        <v>4</v>
      </c>
      <c r="AK19">
        <v>1</v>
      </c>
      <c r="AL19">
        <v>1</v>
      </c>
      <c r="AM19">
        <v>1</v>
      </c>
      <c r="AN19">
        <v>1</v>
      </c>
      <c r="AO19">
        <v>3</v>
      </c>
      <c r="AP19">
        <v>2</v>
      </c>
      <c r="AQ19">
        <v>2</v>
      </c>
      <c r="AR19">
        <v>2</v>
      </c>
      <c r="AS19">
        <v>1</v>
      </c>
      <c r="AT19">
        <v>2</v>
      </c>
      <c r="AU19">
        <v>0</v>
      </c>
      <c r="AV19">
        <v>1</v>
      </c>
      <c r="AW19">
        <v>0</v>
      </c>
      <c r="AX19">
        <v>0</v>
      </c>
      <c r="AY19">
        <v>0</v>
      </c>
      <c r="AZ19">
        <v>1</v>
      </c>
      <c r="BA19">
        <v>1</v>
      </c>
      <c r="BB19">
        <v>4</v>
      </c>
      <c r="BC19">
        <v>2</v>
      </c>
      <c r="BD19">
        <v>2</v>
      </c>
      <c r="BE19">
        <v>2</v>
      </c>
      <c r="BF19">
        <v>1</v>
      </c>
      <c r="BG19">
        <v>1</v>
      </c>
      <c r="BH19">
        <v>1</v>
      </c>
      <c r="BI19">
        <v>1</v>
      </c>
      <c r="BJ19">
        <v>1</v>
      </c>
      <c r="BK19">
        <v>2</v>
      </c>
      <c r="BL19">
        <v>3</v>
      </c>
      <c r="BM19">
        <v>2</v>
      </c>
      <c r="BN19">
        <v>1</v>
      </c>
      <c r="BO19">
        <v>2</v>
      </c>
      <c r="BP19">
        <v>2</v>
      </c>
      <c r="BQ19">
        <v>2</v>
      </c>
      <c r="BR19">
        <v>1</v>
      </c>
      <c r="BS19">
        <v>2</v>
      </c>
      <c r="BT19">
        <v>2</v>
      </c>
      <c r="BU19">
        <v>1</v>
      </c>
      <c r="BV19">
        <v>2</v>
      </c>
      <c r="BW19">
        <v>1</v>
      </c>
      <c r="BX19">
        <v>3</v>
      </c>
      <c r="BY19">
        <v>1</v>
      </c>
      <c r="BZ19">
        <v>5</v>
      </c>
      <c r="CA19">
        <v>2</v>
      </c>
      <c r="CB19">
        <v>1</v>
      </c>
      <c r="CC19">
        <v>1</v>
      </c>
      <c r="CD19">
        <v>1</v>
      </c>
      <c r="CE19">
        <v>1</v>
      </c>
      <c r="CF19">
        <v>1</v>
      </c>
      <c r="CG19">
        <v>1</v>
      </c>
      <c r="CH19">
        <v>4</v>
      </c>
      <c r="CI19">
        <v>2</v>
      </c>
      <c r="CJ19">
        <v>3</v>
      </c>
      <c r="CK19">
        <v>2</v>
      </c>
      <c r="CL19">
        <v>4</v>
      </c>
      <c r="CM19">
        <v>1</v>
      </c>
      <c r="CN19">
        <v>1</v>
      </c>
      <c r="CO19">
        <v>1</v>
      </c>
      <c r="CP19">
        <v>2</v>
      </c>
      <c r="CQ19">
        <v>2</v>
      </c>
      <c r="CR19">
        <v>1</v>
      </c>
      <c r="CS19">
        <v>2</v>
      </c>
      <c r="CT19">
        <v>2</v>
      </c>
      <c r="CU19">
        <v>1</v>
      </c>
      <c r="CV19">
        <v>1</v>
      </c>
      <c r="CW19">
        <v>3</v>
      </c>
      <c r="CX19">
        <v>1</v>
      </c>
      <c r="CY19">
        <v>1</v>
      </c>
      <c r="CZ19">
        <v>1</v>
      </c>
      <c r="DA19">
        <v>1</v>
      </c>
      <c r="DB19">
        <v>3</v>
      </c>
      <c r="DC19">
        <v>1</v>
      </c>
      <c r="DD19">
        <v>1</v>
      </c>
      <c r="DE19">
        <v>1</v>
      </c>
      <c r="DF19">
        <v>2</v>
      </c>
      <c r="DG19">
        <v>3</v>
      </c>
      <c r="DH19">
        <v>1</v>
      </c>
      <c r="DI19">
        <v>2</v>
      </c>
      <c r="DJ19">
        <v>2</v>
      </c>
      <c r="DK19">
        <v>1</v>
      </c>
      <c r="DL19">
        <v>1</v>
      </c>
      <c r="DM19">
        <v>2</v>
      </c>
      <c r="DN19" t="s">
        <v>756</v>
      </c>
      <c r="DO19">
        <v>1</v>
      </c>
      <c r="DP19" t="s">
        <v>756</v>
      </c>
      <c r="DQ19">
        <v>0</v>
      </c>
      <c r="DR19">
        <v>0</v>
      </c>
      <c r="DS19">
        <v>0</v>
      </c>
      <c r="DT19">
        <v>0</v>
      </c>
      <c r="DU19">
        <v>0</v>
      </c>
      <c r="DV19">
        <v>0</v>
      </c>
      <c r="DW19">
        <v>0</v>
      </c>
      <c r="DX19">
        <v>1</v>
      </c>
      <c r="DY19">
        <v>0</v>
      </c>
      <c r="DZ19">
        <v>0</v>
      </c>
      <c r="EA19">
        <v>0</v>
      </c>
      <c r="EB19">
        <v>0</v>
      </c>
      <c r="EC19" t="s">
        <v>756</v>
      </c>
      <c r="ED19">
        <v>1</v>
      </c>
      <c r="EE19">
        <v>0</v>
      </c>
      <c r="EF19">
        <v>0</v>
      </c>
      <c r="EG19">
        <v>0</v>
      </c>
      <c r="EH19">
        <v>0</v>
      </c>
      <c r="EI19">
        <v>0</v>
      </c>
      <c r="EJ19">
        <v>17632</v>
      </c>
    </row>
    <row r="20" spans="1:140">
      <c r="A20" t="s">
        <v>58</v>
      </c>
      <c r="B20">
        <v>12122016</v>
      </c>
      <c r="C20">
        <v>2</v>
      </c>
      <c r="D20">
        <v>1</v>
      </c>
      <c r="E20">
        <v>34</v>
      </c>
      <c r="F20">
        <v>130</v>
      </c>
      <c r="G20" t="s">
        <v>756</v>
      </c>
      <c r="H20" t="s">
        <v>757</v>
      </c>
      <c r="I20" t="s">
        <v>758</v>
      </c>
      <c r="J20">
        <v>19.43</v>
      </c>
      <c r="K20">
        <v>2.27</v>
      </c>
      <c r="L20">
        <v>16.489999999999998</v>
      </c>
      <c r="M20">
        <v>10.57</v>
      </c>
      <c r="N20">
        <v>0.28999999999999998</v>
      </c>
      <c r="O20">
        <v>0.39</v>
      </c>
      <c r="P20">
        <v>0.68</v>
      </c>
      <c r="Q20">
        <v>41.6</v>
      </c>
      <c r="R20">
        <v>58.58</v>
      </c>
      <c r="S20">
        <v>948.42</v>
      </c>
      <c r="T20">
        <v>44.62</v>
      </c>
      <c r="U20">
        <v>51.66</v>
      </c>
      <c r="V20">
        <v>79.180000000000007</v>
      </c>
      <c r="W20">
        <v>8.16</v>
      </c>
      <c r="X20">
        <v>1</v>
      </c>
      <c r="Y20">
        <v>1</v>
      </c>
      <c r="Z20">
        <v>2</v>
      </c>
      <c r="AA20">
        <v>1</v>
      </c>
      <c r="AB20">
        <v>2</v>
      </c>
      <c r="AC20">
        <v>1</v>
      </c>
      <c r="AD20">
        <v>1</v>
      </c>
      <c r="AE20">
        <v>1</v>
      </c>
      <c r="AF20">
        <v>1</v>
      </c>
      <c r="AG20">
        <v>2</v>
      </c>
      <c r="AH20">
        <v>1</v>
      </c>
      <c r="AI20">
        <v>1</v>
      </c>
      <c r="AJ20">
        <v>1</v>
      </c>
      <c r="AK20">
        <v>1</v>
      </c>
      <c r="AL20">
        <v>2</v>
      </c>
      <c r="AM20">
        <v>1</v>
      </c>
      <c r="AN20">
        <v>1</v>
      </c>
      <c r="AO20">
        <v>1</v>
      </c>
      <c r="AP20">
        <v>2</v>
      </c>
      <c r="AQ20">
        <v>2</v>
      </c>
      <c r="AR20">
        <v>2</v>
      </c>
      <c r="AS20">
        <v>1</v>
      </c>
      <c r="AT20">
        <v>2</v>
      </c>
      <c r="AU20">
        <v>0</v>
      </c>
      <c r="AV20">
        <v>0</v>
      </c>
      <c r="AW20">
        <v>0</v>
      </c>
      <c r="AX20">
        <v>1</v>
      </c>
      <c r="AY20">
        <v>0</v>
      </c>
      <c r="AZ20">
        <v>2</v>
      </c>
      <c r="BA20">
        <v>1</v>
      </c>
      <c r="BB20">
        <v>5</v>
      </c>
      <c r="BC20">
        <v>3</v>
      </c>
      <c r="BD20">
        <v>2</v>
      </c>
      <c r="BE20">
        <v>2</v>
      </c>
      <c r="BF20">
        <v>1</v>
      </c>
      <c r="BG20">
        <v>2</v>
      </c>
      <c r="BH20">
        <v>1</v>
      </c>
      <c r="BI20">
        <v>1</v>
      </c>
      <c r="BJ20">
        <v>1</v>
      </c>
      <c r="BK20">
        <v>2</v>
      </c>
      <c r="BL20">
        <v>2</v>
      </c>
      <c r="BM20">
        <v>1</v>
      </c>
      <c r="BN20">
        <v>4</v>
      </c>
      <c r="BO20">
        <v>2</v>
      </c>
      <c r="BP20">
        <v>1</v>
      </c>
      <c r="BQ20">
        <v>2</v>
      </c>
      <c r="BR20">
        <v>2</v>
      </c>
      <c r="BS20">
        <v>2</v>
      </c>
      <c r="BT20">
        <v>2</v>
      </c>
      <c r="BU20">
        <v>1</v>
      </c>
      <c r="BV20">
        <v>2</v>
      </c>
      <c r="BW20">
        <v>1</v>
      </c>
      <c r="BX20">
        <v>4</v>
      </c>
      <c r="BY20">
        <v>1</v>
      </c>
      <c r="BZ20">
        <v>3</v>
      </c>
      <c r="CA20">
        <v>1</v>
      </c>
      <c r="CB20">
        <v>2</v>
      </c>
      <c r="CC20">
        <v>2</v>
      </c>
      <c r="CD20">
        <v>1</v>
      </c>
      <c r="CE20">
        <v>1</v>
      </c>
      <c r="CF20">
        <v>1</v>
      </c>
      <c r="CG20">
        <v>1</v>
      </c>
      <c r="CH20">
        <v>2</v>
      </c>
      <c r="CI20">
        <v>1</v>
      </c>
      <c r="CJ20">
        <v>6</v>
      </c>
      <c r="CK20">
        <v>2</v>
      </c>
      <c r="CL20">
        <v>4</v>
      </c>
      <c r="CM20">
        <v>1</v>
      </c>
      <c r="CN20">
        <v>1</v>
      </c>
      <c r="CO20">
        <v>4</v>
      </c>
      <c r="CP20">
        <v>2</v>
      </c>
      <c r="CQ20">
        <v>2</v>
      </c>
      <c r="CR20">
        <v>3</v>
      </c>
      <c r="CS20">
        <v>2</v>
      </c>
      <c r="CT20">
        <v>2</v>
      </c>
      <c r="CU20">
        <v>1</v>
      </c>
      <c r="CV20">
        <v>1</v>
      </c>
      <c r="CW20">
        <v>3</v>
      </c>
      <c r="CX20">
        <v>1</v>
      </c>
      <c r="CY20">
        <v>1</v>
      </c>
      <c r="CZ20">
        <v>2</v>
      </c>
      <c r="DA20">
        <v>2</v>
      </c>
      <c r="DB20">
        <v>3</v>
      </c>
      <c r="DC20">
        <v>1</v>
      </c>
      <c r="DD20">
        <v>1</v>
      </c>
      <c r="DE20">
        <v>1</v>
      </c>
      <c r="DF20">
        <v>2</v>
      </c>
      <c r="DG20">
        <v>3</v>
      </c>
      <c r="DH20">
        <v>2</v>
      </c>
      <c r="DI20">
        <v>1</v>
      </c>
      <c r="DJ20">
        <v>2</v>
      </c>
      <c r="DK20">
        <v>1</v>
      </c>
      <c r="DL20">
        <v>1</v>
      </c>
      <c r="DM20">
        <v>2</v>
      </c>
      <c r="DN20">
        <v>4</v>
      </c>
      <c r="DO20">
        <v>1</v>
      </c>
      <c r="DP20">
        <v>4</v>
      </c>
      <c r="DQ20">
        <v>0</v>
      </c>
      <c r="DR20">
        <v>0</v>
      </c>
      <c r="DS20">
        <v>0</v>
      </c>
      <c r="DT20">
        <v>0</v>
      </c>
      <c r="DU20">
        <v>0</v>
      </c>
      <c r="DV20">
        <v>0</v>
      </c>
      <c r="DW20">
        <v>1</v>
      </c>
      <c r="DX20">
        <v>1</v>
      </c>
      <c r="DY20">
        <v>0</v>
      </c>
      <c r="DZ20">
        <v>0</v>
      </c>
      <c r="EA20">
        <v>0</v>
      </c>
      <c r="EB20">
        <v>0</v>
      </c>
      <c r="EC20">
        <v>2</v>
      </c>
      <c r="ED20">
        <v>1</v>
      </c>
      <c r="EE20">
        <v>0</v>
      </c>
      <c r="EF20">
        <v>0</v>
      </c>
      <c r="EG20">
        <v>0</v>
      </c>
      <c r="EH20">
        <v>0</v>
      </c>
      <c r="EI20">
        <v>0</v>
      </c>
      <c r="EJ20">
        <v>17631</v>
      </c>
    </row>
    <row r="22" spans="1:140">
      <c r="A22" t="s">
        <v>115</v>
      </c>
      <c r="B22">
        <v>2012017</v>
      </c>
      <c r="C22">
        <v>2</v>
      </c>
      <c r="D22">
        <v>1</v>
      </c>
      <c r="E22">
        <v>44</v>
      </c>
      <c r="F22">
        <v>145</v>
      </c>
      <c r="G22">
        <v>5</v>
      </c>
      <c r="H22">
        <v>8</v>
      </c>
      <c r="I22">
        <v>22.05</v>
      </c>
      <c r="J22">
        <v>8.92</v>
      </c>
      <c r="K22">
        <v>2.36</v>
      </c>
      <c r="L22">
        <v>26.15</v>
      </c>
      <c r="M22">
        <v>14.89</v>
      </c>
      <c r="N22">
        <v>0.57999999999999996</v>
      </c>
      <c r="O22">
        <v>0.5</v>
      </c>
      <c r="P22">
        <v>1.08</v>
      </c>
      <c r="Q22">
        <v>43.62</v>
      </c>
      <c r="R22">
        <v>58.41</v>
      </c>
      <c r="S22">
        <v>684.9</v>
      </c>
      <c r="T22">
        <v>25.77</v>
      </c>
      <c r="U22">
        <v>29.31</v>
      </c>
      <c r="V22">
        <v>81.11</v>
      </c>
      <c r="W22">
        <v>6.43</v>
      </c>
      <c r="X22">
        <v>3</v>
      </c>
      <c r="Y22">
        <v>1</v>
      </c>
      <c r="Z22">
        <v>2</v>
      </c>
      <c r="AA22">
        <v>1</v>
      </c>
      <c r="AB22">
        <v>2</v>
      </c>
      <c r="AC22">
        <v>1</v>
      </c>
      <c r="AD22">
        <v>1</v>
      </c>
      <c r="AE22">
        <v>1</v>
      </c>
      <c r="AF22">
        <v>1</v>
      </c>
      <c r="AG22">
        <v>2</v>
      </c>
      <c r="AH22">
        <v>1</v>
      </c>
      <c r="AI22">
        <v>1</v>
      </c>
      <c r="AJ22">
        <v>1</v>
      </c>
      <c r="AK22">
        <v>1</v>
      </c>
      <c r="AL22">
        <v>2</v>
      </c>
      <c r="AM22">
        <v>1</v>
      </c>
      <c r="AN22">
        <v>1</v>
      </c>
      <c r="AO22">
        <v>2</v>
      </c>
      <c r="AP22">
        <v>1</v>
      </c>
      <c r="AQ22">
        <v>1</v>
      </c>
      <c r="AR22">
        <v>2</v>
      </c>
      <c r="AS22">
        <v>2</v>
      </c>
      <c r="AT22">
        <v>1</v>
      </c>
      <c r="AU22">
        <v>1</v>
      </c>
      <c r="AV22">
        <v>0</v>
      </c>
      <c r="AW22">
        <v>0</v>
      </c>
      <c r="AX22">
        <v>0</v>
      </c>
      <c r="AY22">
        <v>0</v>
      </c>
      <c r="AZ22">
        <v>6</v>
      </c>
      <c r="BA22">
        <v>3</v>
      </c>
      <c r="BB22">
        <v>2</v>
      </c>
      <c r="BC22">
        <v>1</v>
      </c>
      <c r="BD22">
        <v>2</v>
      </c>
      <c r="BE22">
        <v>1</v>
      </c>
      <c r="BF22">
        <v>1</v>
      </c>
      <c r="BG22">
        <v>1</v>
      </c>
      <c r="BH22">
        <v>1</v>
      </c>
      <c r="BI22">
        <v>1</v>
      </c>
      <c r="BJ22">
        <v>1</v>
      </c>
      <c r="BK22">
        <v>1</v>
      </c>
      <c r="BL22">
        <v>2</v>
      </c>
      <c r="BM22">
        <v>2</v>
      </c>
      <c r="BN22">
        <v>2</v>
      </c>
      <c r="BO22">
        <v>1</v>
      </c>
      <c r="BP22">
        <v>2</v>
      </c>
      <c r="BQ22">
        <v>1</v>
      </c>
      <c r="BR22">
        <v>2</v>
      </c>
      <c r="BS22">
        <v>2</v>
      </c>
      <c r="BT22">
        <v>2</v>
      </c>
      <c r="BU22">
        <v>1</v>
      </c>
      <c r="BV22">
        <v>3</v>
      </c>
      <c r="BW22">
        <v>1</v>
      </c>
      <c r="BX22">
        <v>3</v>
      </c>
      <c r="BY22">
        <v>1</v>
      </c>
      <c r="BZ22">
        <v>3</v>
      </c>
      <c r="CA22">
        <v>2</v>
      </c>
      <c r="CB22">
        <v>3</v>
      </c>
      <c r="CC22">
        <v>2</v>
      </c>
      <c r="CD22">
        <v>2</v>
      </c>
      <c r="CE22">
        <v>1</v>
      </c>
      <c r="CF22">
        <v>2</v>
      </c>
      <c r="CG22">
        <v>1</v>
      </c>
      <c r="CH22">
        <v>3</v>
      </c>
      <c r="CI22">
        <v>1</v>
      </c>
      <c r="CJ22">
        <v>2</v>
      </c>
      <c r="CK22">
        <v>1</v>
      </c>
      <c r="CL22">
        <v>4</v>
      </c>
      <c r="CM22">
        <v>2</v>
      </c>
      <c r="CN22">
        <v>1</v>
      </c>
      <c r="CO22">
        <v>3</v>
      </c>
      <c r="CP22">
        <v>2</v>
      </c>
      <c r="CQ22">
        <v>2</v>
      </c>
      <c r="CR22">
        <v>3</v>
      </c>
      <c r="CS22">
        <v>3</v>
      </c>
      <c r="CT22">
        <v>2</v>
      </c>
      <c r="CU22">
        <v>1</v>
      </c>
      <c r="CV22">
        <v>1</v>
      </c>
      <c r="CW22">
        <v>4</v>
      </c>
      <c r="CX22">
        <v>1</v>
      </c>
      <c r="CY22">
        <v>1</v>
      </c>
      <c r="CZ22">
        <v>1</v>
      </c>
      <c r="DA22">
        <v>1</v>
      </c>
      <c r="DB22">
        <v>3</v>
      </c>
      <c r="DC22">
        <v>1</v>
      </c>
      <c r="DD22">
        <v>1</v>
      </c>
      <c r="DE22">
        <v>1</v>
      </c>
      <c r="DF22">
        <v>2</v>
      </c>
      <c r="DG22">
        <v>3</v>
      </c>
      <c r="DH22">
        <v>1</v>
      </c>
      <c r="DI22">
        <v>2</v>
      </c>
      <c r="DJ22">
        <v>2</v>
      </c>
      <c r="DK22">
        <v>1</v>
      </c>
      <c r="DL22">
        <v>1</v>
      </c>
      <c r="DM22">
        <v>2</v>
      </c>
      <c r="DN22">
        <v>2</v>
      </c>
      <c r="DO22">
        <v>1</v>
      </c>
      <c r="DP22">
        <v>3</v>
      </c>
      <c r="DQ22">
        <v>0</v>
      </c>
      <c r="DR22">
        <v>1</v>
      </c>
      <c r="DS22">
        <v>0</v>
      </c>
      <c r="DT22">
        <v>0</v>
      </c>
      <c r="DU22">
        <v>0</v>
      </c>
      <c r="DV22">
        <v>0</v>
      </c>
      <c r="DW22">
        <v>0</v>
      </c>
      <c r="DX22">
        <v>1</v>
      </c>
      <c r="DY22">
        <v>0</v>
      </c>
      <c r="DZ22">
        <v>0</v>
      </c>
      <c r="EA22">
        <v>0</v>
      </c>
      <c r="EB22">
        <v>0</v>
      </c>
      <c r="EC22">
        <v>2</v>
      </c>
      <c r="ED22">
        <v>1</v>
      </c>
      <c r="EE22">
        <v>0</v>
      </c>
      <c r="EF22">
        <v>0</v>
      </c>
      <c r="EG22">
        <v>0</v>
      </c>
      <c r="EH22">
        <v>0</v>
      </c>
      <c r="EI22">
        <v>0</v>
      </c>
      <c r="EJ22">
        <v>17625</v>
      </c>
    </row>
    <row r="23" spans="1:140">
      <c r="A23" t="s">
        <v>60</v>
      </c>
      <c r="B23">
        <v>2022017</v>
      </c>
      <c r="C23">
        <v>2</v>
      </c>
      <c r="D23">
        <v>1</v>
      </c>
      <c r="E23">
        <v>35</v>
      </c>
      <c r="F23">
        <v>155</v>
      </c>
      <c r="G23">
        <v>5</v>
      </c>
      <c r="H23">
        <v>10</v>
      </c>
      <c r="I23">
        <v>22.24</v>
      </c>
      <c r="J23">
        <v>33.270000000000003</v>
      </c>
      <c r="K23">
        <v>2.77</v>
      </c>
      <c r="L23">
        <v>65.19</v>
      </c>
      <c r="M23">
        <v>29.63</v>
      </c>
      <c r="N23">
        <v>1.79</v>
      </c>
      <c r="O23">
        <v>1.4</v>
      </c>
      <c r="P23">
        <v>3.19</v>
      </c>
      <c r="Q23">
        <v>55.28</v>
      </c>
      <c r="R23">
        <v>44.46</v>
      </c>
      <c r="S23">
        <v>1554.98</v>
      </c>
      <c r="T23">
        <v>66.95</v>
      </c>
      <c r="U23">
        <v>85.54</v>
      </c>
      <c r="V23">
        <v>134.86000000000001</v>
      </c>
      <c r="W23">
        <v>10.52</v>
      </c>
      <c r="X23">
        <v>1</v>
      </c>
      <c r="Y23">
        <v>1</v>
      </c>
      <c r="Z23">
        <v>6</v>
      </c>
      <c r="AA23">
        <v>4</v>
      </c>
      <c r="AB23">
        <v>3</v>
      </c>
      <c r="AC23">
        <v>1</v>
      </c>
      <c r="AD23">
        <v>1</v>
      </c>
      <c r="AE23">
        <v>1</v>
      </c>
      <c r="AF23">
        <v>1</v>
      </c>
      <c r="AG23">
        <v>2</v>
      </c>
      <c r="AH23">
        <v>1</v>
      </c>
      <c r="AI23">
        <v>1</v>
      </c>
      <c r="AJ23">
        <v>2</v>
      </c>
      <c r="AK23">
        <v>1</v>
      </c>
      <c r="AL23">
        <v>2</v>
      </c>
      <c r="AM23">
        <v>1</v>
      </c>
      <c r="AN23">
        <v>2</v>
      </c>
      <c r="AO23">
        <v>5</v>
      </c>
      <c r="AP23">
        <v>2</v>
      </c>
      <c r="AQ23">
        <v>1</v>
      </c>
      <c r="AR23">
        <v>2</v>
      </c>
      <c r="AS23">
        <v>1</v>
      </c>
      <c r="AT23">
        <v>2</v>
      </c>
      <c r="AU23">
        <v>0</v>
      </c>
      <c r="AV23">
        <v>0</v>
      </c>
      <c r="AW23">
        <v>0</v>
      </c>
      <c r="AX23">
        <v>0</v>
      </c>
      <c r="AY23">
        <v>1</v>
      </c>
      <c r="AZ23">
        <v>1</v>
      </c>
      <c r="BA23">
        <v>2</v>
      </c>
      <c r="BB23">
        <v>4</v>
      </c>
      <c r="BC23">
        <v>2</v>
      </c>
      <c r="BD23">
        <v>1</v>
      </c>
      <c r="BE23">
        <v>3</v>
      </c>
      <c r="BF23">
        <v>2</v>
      </c>
      <c r="BG23">
        <v>3</v>
      </c>
      <c r="BH23">
        <v>2</v>
      </c>
      <c r="BI23">
        <v>4</v>
      </c>
      <c r="BJ23">
        <v>3</v>
      </c>
      <c r="BK23">
        <v>2</v>
      </c>
      <c r="BL23">
        <v>2</v>
      </c>
      <c r="BM23">
        <v>3</v>
      </c>
      <c r="BN23">
        <v>1</v>
      </c>
      <c r="BO23">
        <v>2</v>
      </c>
      <c r="BP23">
        <v>1</v>
      </c>
      <c r="BQ23">
        <v>3</v>
      </c>
      <c r="BR23">
        <v>1</v>
      </c>
      <c r="BS23">
        <v>3</v>
      </c>
      <c r="BT23">
        <v>3</v>
      </c>
      <c r="BU23">
        <v>2</v>
      </c>
      <c r="BV23">
        <v>3</v>
      </c>
      <c r="BW23">
        <v>2</v>
      </c>
      <c r="BX23">
        <v>4</v>
      </c>
      <c r="BY23">
        <v>3</v>
      </c>
      <c r="BZ23">
        <v>5</v>
      </c>
      <c r="CA23">
        <v>1</v>
      </c>
      <c r="CB23">
        <v>3</v>
      </c>
      <c r="CC23">
        <v>2</v>
      </c>
      <c r="CD23">
        <v>1</v>
      </c>
      <c r="CE23">
        <v>2</v>
      </c>
      <c r="CF23">
        <v>2</v>
      </c>
      <c r="CG23">
        <v>3</v>
      </c>
      <c r="CH23">
        <v>3</v>
      </c>
      <c r="CI23">
        <v>2</v>
      </c>
      <c r="CJ23">
        <v>5</v>
      </c>
      <c r="CK23">
        <v>1</v>
      </c>
      <c r="CL23">
        <v>4</v>
      </c>
      <c r="CM23">
        <v>1</v>
      </c>
      <c r="CN23">
        <v>1</v>
      </c>
      <c r="CO23">
        <v>1</v>
      </c>
      <c r="CP23">
        <v>2</v>
      </c>
      <c r="CQ23">
        <v>1</v>
      </c>
      <c r="CR23">
        <v>1</v>
      </c>
      <c r="CS23">
        <v>2</v>
      </c>
      <c r="CT23">
        <v>1</v>
      </c>
      <c r="CU23">
        <v>2</v>
      </c>
      <c r="CV23">
        <v>2</v>
      </c>
      <c r="CW23">
        <v>3</v>
      </c>
      <c r="CX23">
        <v>1</v>
      </c>
      <c r="CY23">
        <v>1</v>
      </c>
      <c r="CZ23">
        <v>2</v>
      </c>
      <c r="DA23">
        <v>2</v>
      </c>
      <c r="DB23">
        <v>3</v>
      </c>
      <c r="DC23">
        <v>1</v>
      </c>
      <c r="DD23">
        <v>1</v>
      </c>
      <c r="DE23">
        <v>4</v>
      </c>
      <c r="DF23">
        <v>3</v>
      </c>
      <c r="DG23">
        <v>3</v>
      </c>
      <c r="DH23">
        <v>1</v>
      </c>
      <c r="DI23">
        <v>2</v>
      </c>
      <c r="DJ23">
        <v>2</v>
      </c>
      <c r="DK23">
        <v>1</v>
      </c>
      <c r="DL23">
        <v>1</v>
      </c>
      <c r="DM23">
        <v>2</v>
      </c>
      <c r="DN23">
        <v>4</v>
      </c>
      <c r="DO23">
        <v>3</v>
      </c>
      <c r="DP23">
        <v>5</v>
      </c>
      <c r="DQ23">
        <v>0</v>
      </c>
      <c r="DR23">
        <v>1</v>
      </c>
      <c r="DS23">
        <v>0</v>
      </c>
      <c r="DT23">
        <v>0</v>
      </c>
      <c r="DU23">
        <v>0</v>
      </c>
      <c r="DV23">
        <v>0</v>
      </c>
      <c r="DW23">
        <v>0</v>
      </c>
      <c r="DX23">
        <v>1</v>
      </c>
      <c r="DY23">
        <v>0</v>
      </c>
      <c r="DZ23">
        <v>0</v>
      </c>
      <c r="EA23">
        <v>0</v>
      </c>
      <c r="EB23">
        <v>0</v>
      </c>
      <c r="EC23">
        <v>2</v>
      </c>
      <c r="ED23">
        <v>1</v>
      </c>
      <c r="EE23">
        <v>0</v>
      </c>
      <c r="EF23">
        <v>0</v>
      </c>
      <c r="EG23">
        <v>0</v>
      </c>
      <c r="EH23">
        <v>0</v>
      </c>
      <c r="EI23">
        <v>0</v>
      </c>
      <c r="EJ23">
        <v>17624</v>
      </c>
    </row>
    <row r="24" spans="1:140">
      <c r="A24" t="s">
        <v>61</v>
      </c>
      <c r="B24" t="s">
        <v>759</v>
      </c>
      <c r="C24">
        <v>2</v>
      </c>
      <c r="D24">
        <v>1</v>
      </c>
      <c r="E24">
        <v>31</v>
      </c>
      <c r="F24">
        <v>160</v>
      </c>
      <c r="G24">
        <v>5</v>
      </c>
      <c r="H24">
        <v>4</v>
      </c>
      <c r="I24">
        <v>27.46</v>
      </c>
      <c r="J24">
        <v>15.71</v>
      </c>
      <c r="K24">
        <v>5.3899999999999998E-3</v>
      </c>
      <c r="L24">
        <v>21.14</v>
      </c>
      <c r="M24">
        <v>7.4</v>
      </c>
      <c r="N24">
        <v>0.28999999999999998</v>
      </c>
      <c r="O24">
        <v>1.89</v>
      </c>
      <c r="P24">
        <v>2.19</v>
      </c>
      <c r="Q24">
        <v>26.21</v>
      </c>
      <c r="R24">
        <v>49.7</v>
      </c>
      <c r="S24">
        <v>693.21</v>
      </c>
      <c r="T24">
        <v>24.26</v>
      </c>
      <c r="U24">
        <v>40.86</v>
      </c>
      <c r="V24">
        <v>62.79</v>
      </c>
      <c r="W24">
        <v>10.039999999999999</v>
      </c>
      <c r="X24">
        <v>1</v>
      </c>
      <c r="Y24">
        <v>1</v>
      </c>
      <c r="Z24">
        <v>5</v>
      </c>
      <c r="AA24">
        <v>1</v>
      </c>
      <c r="AB24">
        <v>2</v>
      </c>
      <c r="AC24">
        <v>1</v>
      </c>
      <c r="AD24">
        <v>1</v>
      </c>
      <c r="AE24">
        <v>1</v>
      </c>
      <c r="AF24">
        <v>1</v>
      </c>
      <c r="AG24">
        <v>2</v>
      </c>
      <c r="AH24">
        <v>1</v>
      </c>
      <c r="AI24">
        <v>1</v>
      </c>
      <c r="AJ24">
        <v>1</v>
      </c>
      <c r="AK24">
        <v>1</v>
      </c>
      <c r="AL24">
        <v>2</v>
      </c>
      <c r="AM24">
        <v>1</v>
      </c>
      <c r="AN24">
        <v>1</v>
      </c>
      <c r="AO24">
        <v>4</v>
      </c>
      <c r="AP24">
        <v>2</v>
      </c>
      <c r="AQ24">
        <v>1</v>
      </c>
      <c r="AR24">
        <v>1</v>
      </c>
      <c r="AS24">
        <v>1</v>
      </c>
      <c r="AT24">
        <v>1</v>
      </c>
      <c r="AU24">
        <v>0</v>
      </c>
      <c r="AV24">
        <v>1</v>
      </c>
      <c r="AW24">
        <v>0</v>
      </c>
      <c r="AX24">
        <v>0</v>
      </c>
      <c r="AY24">
        <v>0</v>
      </c>
      <c r="AZ24">
        <v>6</v>
      </c>
      <c r="BA24">
        <v>1</v>
      </c>
      <c r="BB24">
        <v>6</v>
      </c>
      <c r="BC24">
        <v>1</v>
      </c>
      <c r="BD24">
        <v>1</v>
      </c>
      <c r="BE24">
        <v>2</v>
      </c>
      <c r="BF24">
        <v>2</v>
      </c>
      <c r="BG24">
        <v>1</v>
      </c>
      <c r="BH24">
        <v>1</v>
      </c>
      <c r="BI24">
        <v>1</v>
      </c>
      <c r="BJ24">
        <v>1</v>
      </c>
      <c r="BK24">
        <v>2</v>
      </c>
      <c r="BL24">
        <v>1</v>
      </c>
      <c r="BM24">
        <v>1</v>
      </c>
      <c r="BN24">
        <v>1</v>
      </c>
      <c r="BO24">
        <v>2</v>
      </c>
      <c r="BP24">
        <v>1</v>
      </c>
      <c r="BQ24">
        <v>2</v>
      </c>
      <c r="BR24">
        <v>1</v>
      </c>
      <c r="BS24">
        <v>2</v>
      </c>
      <c r="BT24">
        <v>3</v>
      </c>
      <c r="BU24">
        <v>1</v>
      </c>
      <c r="BV24">
        <v>2</v>
      </c>
      <c r="BW24">
        <v>1</v>
      </c>
      <c r="BX24">
        <v>4</v>
      </c>
      <c r="BY24">
        <v>3</v>
      </c>
      <c r="BZ24">
        <v>3</v>
      </c>
      <c r="CA24">
        <v>1</v>
      </c>
      <c r="CB24">
        <v>1</v>
      </c>
      <c r="CC24">
        <v>1</v>
      </c>
      <c r="CD24">
        <v>1</v>
      </c>
      <c r="CE24">
        <v>1</v>
      </c>
      <c r="CF24">
        <v>1</v>
      </c>
      <c r="CG24">
        <v>1</v>
      </c>
      <c r="CH24">
        <v>6</v>
      </c>
      <c r="CI24">
        <v>2</v>
      </c>
      <c r="CJ24">
        <v>4</v>
      </c>
      <c r="CK24">
        <v>2</v>
      </c>
      <c r="CL24">
        <v>4</v>
      </c>
      <c r="CM24">
        <v>1</v>
      </c>
      <c r="CN24">
        <v>1</v>
      </c>
      <c r="CO24">
        <v>1</v>
      </c>
      <c r="CP24">
        <v>2</v>
      </c>
      <c r="CQ24">
        <v>1</v>
      </c>
      <c r="CR24">
        <v>1</v>
      </c>
      <c r="CS24">
        <v>2</v>
      </c>
      <c r="CT24">
        <v>2</v>
      </c>
      <c r="CU24">
        <v>1</v>
      </c>
      <c r="CV24">
        <v>2</v>
      </c>
      <c r="CW24">
        <v>3</v>
      </c>
      <c r="CX24">
        <v>1</v>
      </c>
      <c r="CY24">
        <v>1</v>
      </c>
      <c r="CZ24">
        <v>1</v>
      </c>
      <c r="DA24">
        <v>1</v>
      </c>
      <c r="DB24">
        <v>3</v>
      </c>
      <c r="DC24">
        <v>1</v>
      </c>
      <c r="DD24">
        <v>1</v>
      </c>
      <c r="DE24">
        <v>1</v>
      </c>
      <c r="DF24">
        <v>1</v>
      </c>
      <c r="DG24">
        <v>3</v>
      </c>
      <c r="DH24">
        <v>1</v>
      </c>
      <c r="DI24">
        <v>1</v>
      </c>
      <c r="DJ24">
        <v>2</v>
      </c>
      <c r="DK24">
        <v>1</v>
      </c>
      <c r="DL24">
        <v>1</v>
      </c>
      <c r="DM24">
        <v>2</v>
      </c>
      <c r="DN24">
        <v>6</v>
      </c>
      <c r="DO24">
        <v>1</v>
      </c>
      <c r="DP24">
        <v>5</v>
      </c>
      <c r="DQ24">
        <v>0</v>
      </c>
      <c r="DR24">
        <v>1</v>
      </c>
      <c r="DS24">
        <v>0</v>
      </c>
      <c r="DT24">
        <v>0</v>
      </c>
      <c r="DU24">
        <v>0</v>
      </c>
      <c r="DV24">
        <v>0</v>
      </c>
      <c r="DW24">
        <v>0</v>
      </c>
      <c r="DX24">
        <v>1</v>
      </c>
      <c r="DY24">
        <v>0</v>
      </c>
      <c r="DZ24">
        <v>0</v>
      </c>
      <c r="EA24">
        <v>0</v>
      </c>
      <c r="EB24">
        <v>0</v>
      </c>
      <c r="EC24">
        <v>2</v>
      </c>
      <c r="ED24">
        <v>0</v>
      </c>
      <c r="EE24">
        <v>0</v>
      </c>
      <c r="EF24">
        <v>0</v>
      </c>
      <c r="EG24">
        <v>0</v>
      </c>
      <c r="EH24">
        <v>0</v>
      </c>
      <c r="EI24">
        <v>1</v>
      </c>
      <c r="EJ24">
        <v>17623</v>
      </c>
    </row>
    <row r="25" spans="1:140">
      <c r="A25" t="s">
        <v>63</v>
      </c>
      <c r="B25">
        <v>2092017</v>
      </c>
      <c r="C25">
        <v>2</v>
      </c>
      <c r="D25">
        <v>1</v>
      </c>
      <c r="E25">
        <v>27</v>
      </c>
      <c r="F25">
        <v>185</v>
      </c>
      <c r="G25">
        <v>5</v>
      </c>
      <c r="H25">
        <v>6</v>
      </c>
      <c r="I25">
        <v>29.86</v>
      </c>
      <c r="J25">
        <v>12.62</v>
      </c>
      <c r="K25">
        <v>1.03</v>
      </c>
      <c r="L25">
        <v>39.24</v>
      </c>
      <c r="M25">
        <v>5.56</v>
      </c>
      <c r="N25">
        <v>2.08</v>
      </c>
      <c r="O25">
        <v>1.25</v>
      </c>
      <c r="P25">
        <v>3.33</v>
      </c>
      <c r="Q25">
        <v>40.840000000000003</v>
      </c>
      <c r="R25">
        <v>46</v>
      </c>
      <c r="S25">
        <v>783.17</v>
      </c>
      <c r="T25">
        <v>29.13</v>
      </c>
      <c r="U25">
        <v>32.479999999999997</v>
      </c>
      <c r="V25">
        <v>99.15</v>
      </c>
      <c r="W25">
        <v>10.36</v>
      </c>
      <c r="X25">
        <v>2</v>
      </c>
      <c r="Y25">
        <v>1</v>
      </c>
      <c r="Z25">
        <v>2</v>
      </c>
      <c r="AA25">
        <v>4</v>
      </c>
      <c r="AB25">
        <v>2</v>
      </c>
      <c r="AC25">
        <v>2</v>
      </c>
      <c r="AD25">
        <v>2</v>
      </c>
      <c r="AE25">
        <v>1</v>
      </c>
      <c r="AF25">
        <v>1</v>
      </c>
      <c r="AG25">
        <v>2</v>
      </c>
      <c r="AH25">
        <v>1</v>
      </c>
      <c r="AI25">
        <v>1</v>
      </c>
      <c r="AJ25">
        <v>1</v>
      </c>
      <c r="AK25">
        <v>1</v>
      </c>
      <c r="AL25">
        <v>2</v>
      </c>
      <c r="AM25">
        <v>1</v>
      </c>
      <c r="AN25">
        <v>1</v>
      </c>
      <c r="AO25">
        <v>1</v>
      </c>
      <c r="AP25">
        <v>2</v>
      </c>
      <c r="AQ25">
        <v>2</v>
      </c>
      <c r="AR25">
        <v>2</v>
      </c>
      <c r="AS25">
        <v>2</v>
      </c>
      <c r="AT25">
        <v>1</v>
      </c>
      <c r="AU25">
        <v>0</v>
      </c>
      <c r="AV25">
        <v>0</v>
      </c>
      <c r="AW25">
        <v>1</v>
      </c>
      <c r="AX25">
        <v>0</v>
      </c>
      <c r="AY25">
        <v>0</v>
      </c>
      <c r="AZ25">
        <v>1</v>
      </c>
      <c r="BA25">
        <v>1</v>
      </c>
      <c r="BB25">
        <v>3</v>
      </c>
      <c r="BC25">
        <v>1</v>
      </c>
      <c r="BD25">
        <v>4</v>
      </c>
      <c r="BE25">
        <v>3</v>
      </c>
      <c r="BF25">
        <v>1</v>
      </c>
      <c r="BG25">
        <v>2</v>
      </c>
      <c r="BH25">
        <v>2</v>
      </c>
      <c r="BI25">
        <v>2</v>
      </c>
      <c r="BJ25">
        <v>1</v>
      </c>
      <c r="BK25">
        <v>1</v>
      </c>
      <c r="BL25">
        <v>1</v>
      </c>
      <c r="BM25">
        <v>1</v>
      </c>
      <c r="BN25">
        <v>1</v>
      </c>
      <c r="BO25">
        <v>2</v>
      </c>
      <c r="BP25">
        <v>1</v>
      </c>
      <c r="BQ25">
        <v>2</v>
      </c>
      <c r="BR25">
        <v>2</v>
      </c>
      <c r="BS25">
        <v>2</v>
      </c>
      <c r="BT25">
        <v>2</v>
      </c>
      <c r="BU25">
        <v>2</v>
      </c>
      <c r="BV25">
        <v>4</v>
      </c>
      <c r="BW25">
        <v>1</v>
      </c>
      <c r="BX25">
        <v>4</v>
      </c>
      <c r="BY25">
        <v>2</v>
      </c>
      <c r="BZ25">
        <v>5</v>
      </c>
      <c r="CA25">
        <v>2</v>
      </c>
      <c r="CB25">
        <v>1</v>
      </c>
      <c r="CC25">
        <v>1</v>
      </c>
      <c r="CD25">
        <v>1</v>
      </c>
      <c r="CE25">
        <v>1</v>
      </c>
      <c r="CF25">
        <v>1</v>
      </c>
      <c r="CG25">
        <v>1</v>
      </c>
      <c r="CH25">
        <v>4</v>
      </c>
      <c r="CI25">
        <v>2</v>
      </c>
      <c r="CJ25">
        <v>4</v>
      </c>
      <c r="CK25">
        <v>2</v>
      </c>
      <c r="CL25">
        <v>4</v>
      </c>
      <c r="CM25">
        <v>1</v>
      </c>
      <c r="CN25">
        <v>1</v>
      </c>
      <c r="CO25">
        <v>2</v>
      </c>
      <c r="CP25">
        <v>2</v>
      </c>
      <c r="CQ25">
        <v>2</v>
      </c>
      <c r="CR25">
        <v>1</v>
      </c>
      <c r="CS25">
        <v>2</v>
      </c>
      <c r="CT25">
        <v>3</v>
      </c>
      <c r="CU25">
        <v>2</v>
      </c>
      <c r="CV25">
        <v>2</v>
      </c>
      <c r="CW25">
        <v>1</v>
      </c>
      <c r="CX25">
        <v>1</v>
      </c>
      <c r="CY25">
        <v>1</v>
      </c>
      <c r="CZ25">
        <v>1</v>
      </c>
      <c r="DA25">
        <v>1</v>
      </c>
      <c r="DB25">
        <v>3</v>
      </c>
      <c r="DC25">
        <v>1</v>
      </c>
      <c r="DD25">
        <v>1</v>
      </c>
      <c r="DE25">
        <v>1</v>
      </c>
      <c r="DF25">
        <v>2</v>
      </c>
      <c r="DG25">
        <v>3</v>
      </c>
      <c r="DH25">
        <v>1</v>
      </c>
      <c r="DI25">
        <v>2</v>
      </c>
      <c r="DJ25">
        <v>2</v>
      </c>
      <c r="DK25">
        <v>1</v>
      </c>
      <c r="DL25">
        <v>1</v>
      </c>
      <c r="DM25">
        <v>2</v>
      </c>
      <c r="DN25">
        <v>2</v>
      </c>
      <c r="DO25">
        <v>1</v>
      </c>
      <c r="DP25">
        <v>4</v>
      </c>
      <c r="DQ25">
        <v>0</v>
      </c>
      <c r="DR25">
        <v>1</v>
      </c>
      <c r="DS25">
        <v>0</v>
      </c>
      <c r="DT25">
        <v>0</v>
      </c>
      <c r="DU25">
        <v>0</v>
      </c>
      <c r="DV25">
        <v>0</v>
      </c>
      <c r="DW25">
        <v>0</v>
      </c>
      <c r="DX25">
        <v>1</v>
      </c>
      <c r="DY25">
        <v>0</v>
      </c>
      <c r="DZ25">
        <v>0</v>
      </c>
      <c r="EA25">
        <v>0</v>
      </c>
      <c r="EB25">
        <v>0</v>
      </c>
      <c r="EC25">
        <v>1</v>
      </c>
      <c r="ED25">
        <v>0</v>
      </c>
      <c r="EE25">
        <v>0</v>
      </c>
      <c r="EF25">
        <v>0</v>
      </c>
      <c r="EG25">
        <v>0</v>
      </c>
      <c r="EH25">
        <v>0</v>
      </c>
      <c r="EI25">
        <v>1</v>
      </c>
      <c r="EJ25">
        <v>17622</v>
      </c>
    </row>
    <row r="26" spans="1:140">
      <c r="A26" t="s">
        <v>64</v>
      </c>
      <c r="B26" t="s">
        <v>759</v>
      </c>
      <c r="C26">
        <v>2</v>
      </c>
      <c r="D26">
        <v>1</v>
      </c>
      <c r="E26">
        <v>40</v>
      </c>
      <c r="F26">
        <v>155</v>
      </c>
      <c r="G26">
        <v>5</v>
      </c>
      <c r="H26">
        <v>6</v>
      </c>
      <c r="I26">
        <v>25.02</v>
      </c>
      <c r="J26">
        <v>9.6</v>
      </c>
      <c r="K26">
        <v>4.5999999999999996</v>
      </c>
      <c r="L26">
        <v>66.73</v>
      </c>
      <c r="M26">
        <v>37.64</v>
      </c>
      <c r="N26">
        <v>1.58</v>
      </c>
      <c r="O26">
        <v>0.68500000000000005</v>
      </c>
      <c r="P26">
        <v>2.27</v>
      </c>
      <c r="Q26">
        <v>57.98</v>
      </c>
      <c r="R26">
        <v>47.17</v>
      </c>
      <c r="S26">
        <v>961.89</v>
      </c>
      <c r="T26">
        <v>30.49</v>
      </c>
      <c r="U26">
        <v>37.26</v>
      </c>
      <c r="V26">
        <v>129.19999999999999</v>
      </c>
      <c r="W26">
        <v>6.27</v>
      </c>
      <c r="X26">
        <v>1</v>
      </c>
      <c r="Y26">
        <v>1</v>
      </c>
      <c r="Z26">
        <v>2</v>
      </c>
      <c r="AA26">
        <v>4</v>
      </c>
      <c r="AB26">
        <v>3</v>
      </c>
      <c r="AC26">
        <v>1</v>
      </c>
      <c r="AD26">
        <v>1</v>
      </c>
      <c r="AE26">
        <v>1</v>
      </c>
      <c r="AF26">
        <v>1</v>
      </c>
      <c r="AG26">
        <v>2</v>
      </c>
      <c r="AH26">
        <v>1</v>
      </c>
      <c r="AI26">
        <v>1</v>
      </c>
      <c r="AJ26">
        <v>2</v>
      </c>
      <c r="AK26">
        <v>1</v>
      </c>
      <c r="AL26">
        <v>2</v>
      </c>
      <c r="AM26">
        <v>1</v>
      </c>
      <c r="AN26">
        <v>1</v>
      </c>
      <c r="AO26">
        <v>1</v>
      </c>
      <c r="AP26">
        <v>2</v>
      </c>
      <c r="AQ26">
        <v>1</v>
      </c>
      <c r="AR26">
        <v>2</v>
      </c>
      <c r="AS26">
        <v>1</v>
      </c>
      <c r="AT26">
        <v>2</v>
      </c>
      <c r="AU26">
        <v>0</v>
      </c>
      <c r="AV26">
        <v>0</v>
      </c>
      <c r="AW26">
        <v>0</v>
      </c>
      <c r="AX26">
        <v>0</v>
      </c>
      <c r="AY26">
        <v>1</v>
      </c>
      <c r="AZ26">
        <v>2</v>
      </c>
      <c r="BA26">
        <v>1</v>
      </c>
      <c r="BB26">
        <v>2</v>
      </c>
      <c r="BC26">
        <v>3</v>
      </c>
      <c r="BD26">
        <v>2</v>
      </c>
      <c r="BE26">
        <v>3</v>
      </c>
      <c r="BF26">
        <v>1</v>
      </c>
      <c r="BG26">
        <v>1</v>
      </c>
      <c r="BH26">
        <v>1</v>
      </c>
      <c r="BI26">
        <v>1</v>
      </c>
      <c r="BJ26">
        <v>1</v>
      </c>
      <c r="BK26">
        <v>2</v>
      </c>
      <c r="BL26">
        <v>1</v>
      </c>
      <c r="BM26">
        <v>1</v>
      </c>
      <c r="BN26">
        <v>3</v>
      </c>
      <c r="BO26">
        <v>2</v>
      </c>
      <c r="BP26">
        <v>3</v>
      </c>
      <c r="BQ26">
        <v>2</v>
      </c>
      <c r="BR26">
        <v>1</v>
      </c>
      <c r="BS26">
        <v>2</v>
      </c>
      <c r="BT26">
        <v>2</v>
      </c>
      <c r="BU26">
        <v>2</v>
      </c>
      <c r="BV26">
        <v>1</v>
      </c>
      <c r="BW26">
        <v>1</v>
      </c>
      <c r="BX26">
        <v>3</v>
      </c>
      <c r="BY26">
        <v>2</v>
      </c>
      <c r="BZ26">
        <v>3</v>
      </c>
      <c r="CA26">
        <v>2</v>
      </c>
      <c r="CB26">
        <v>2</v>
      </c>
      <c r="CC26">
        <v>1</v>
      </c>
      <c r="CD26">
        <v>1</v>
      </c>
      <c r="CE26">
        <v>1</v>
      </c>
      <c r="CF26">
        <v>1</v>
      </c>
      <c r="CG26">
        <v>1</v>
      </c>
      <c r="CH26">
        <v>3</v>
      </c>
      <c r="CI26">
        <v>2</v>
      </c>
      <c r="CJ26">
        <v>4</v>
      </c>
      <c r="CK26">
        <v>3</v>
      </c>
      <c r="CL26">
        <v>2</v>
      </c>
      <c r="CM26">
        <v>1</v>
      </c>
      <c r="CN26">
        <v>1</v>
      </c>
      <c r="CO26">
        <v>2</v>
      </c>
      <c r="CP26">
        <v>1</v>
      </c>
      <c r="CQ26">
        <v>2</v>
      </c>
      <c r="CR26">
        <v>1</v>
      </c>
      <c r="CS26">
        <v>2</v>
      </c>
      <c r="CT26">
        <v>3</v>
      </c>
      <c r="CU26">
        <v>1</v>
      </c>
      <c r="CV26">
        <v>1</v>
      </c>
      <c r="CW26">
        <v>3</v>
      </c>
      <c r="CX26">
        <v>1</v>
      </c>
      <c r="CY26">
        <v>1</v>
      </c>
      <c r="CZ26">
        <v>4</v>
      </c>
      <c r="DA26">
        <v>3</v>
      </c>
      <c r="DB26">
        <v>3</v>
      </c>
      <c r="DC26">
        <v>1</v>
      </c>
      <c r="DD26">
        <v>1</v>
      </c>
      <c r="DE26">
        <v>3</v>
      </c>
      <c r="DF26">
        <v>3</v>
      </c>
      <c r="DG26">
        <v>3</v>
      </c>
      <c r="DH26">
        <v>1</v>
      </c>
      <c r="DI26">
        <v>2</v>
      </c>
      <c r="DJ26">
        <v>2</v>
      </c>
      <c r="DK26">
        <v>2</v>
      </c>
      <c r="DL26">
        <v>1</v>
      </c>
      <c r="DM26">
        <v>5</v>
      </c>
      <c r="DN26">
        <v>1</v>
      </c>
      <c r="DO26">
        <v>1</v>
      </c>
      <c r="DP26">
        <v>5</v>
      </c>
      <c r="DQ26">
        <v>1</v>
      </c>
      <c r="DR26">
        <v>0</v>
      </c>
      <c r="DS26">
        <v>0</v>
      </c>
      <c r="DT26">
        <v>0</v>
      </c>
      <c r="DU26">
        <v>0</v>
      </c>
      <c r="DV26">
        <v>0</v>
      </c>
      <c r="DW26">
        <v>0</v>
      </c>
      <c r="DX26">
        <v>1</v>
      </c>
      <c r="DY26">
        <v>0</v>
      </c>
      <c r="DZ26">
        <v>0</v>
      </c>
      <c r="EA26">
        <v>0</v>
      </c>
      <c r="EB26">
        <v>0</v>
      </c>
      <c r="EC26">
        <v>2</v>
      </c>
      <c r="ED26">
        <v>1</v>
      </c>
      <c r="EE26">
        <v>0</v>
      </c>
      <c r="EF26">
        <v>0</v>
      </c>
      <c r="EG26">
        <v>0</v>
      </c>
      <c r="EH26">
        <v>0</v>
      </c>
      <c r="EI26">
        <v>0</v>
      </c>
      <c r="EJ26">
        <v>17621</v>
      </c>
    </row>
    <row r="27" spans="1:140">
      <c r="A27" t="s">
        <v>116</v>
      </c>
      <c r="B27">
        <v>3202017</v>
      </c>
      <c r="C27">
        <v>2</v>
      </c>
      <c r="D27">
        <v>1</v>
      </c>
      <c r="E27">
        <v>26</v>
      </c>
      <c r="F27">
        <v>125</v>
      </c>
      <c r="G27">
        <v>5</v>
      </c>
      <c r="H27">
        <v>5</v>
      </c>
      <c r="I27">
        <v>20.8</v>
      </c>
      <c r="J27">
        <v>10.42</v>
      </c>
      <c r="K27">
        <v>1.1299999999999999</v>
      </c>
      <c r="L27">
        <v>31.37</v>
      </c>
      <c r="M27">
        <v>8.9499999999999993</v>
      </c>
      <c r="N27">
        <v>2</v>
      </c>
      <c r="O27">
        <v>1.1100000000000001</v>
      </c>
      <c r="P27">
        <v>3.1</v>
      </c>
      <c r="Q27">
        <v>34.479999999999997</v>
      </c>
      <c r="R27">
        <v>50.89</v>
      </c>
      <c r="S27">
        <v>629.07000000000005</v>
      </c>
      <c r="T27">
        <v>25.38</v>
      </c>
      <c r="U27">
        <v>26.89</v>
      </c>
      <c r="V27">
        <v>76.12</v>
      </c>
      <c r="W27">
        <v>8.3699999999999992</v>
      </c>
      <c r="X27">
        <v>1</v>
      </c>
      <c r="Y27">
        <v>1</v>
      </c>
      <c r="Z27">
        <v>2</v>
      </c>
      <c r="AA27">
        <v>1</v>
      </c>
      <c r="AB27">
        <v>2</v>
      </c>
      <c r="AC27">
        <v>1</v>
      </c>
      <c r="AD27">
        <v>1</v>
      </c>
      <c r="AE27">
        <v>1</v>
      </c>
      <c r="AF27">
        <v>1</v>
      </c>
      <c r="AG27">
        <v>2</v>
      </c>
      <c r="AH27">
        <v>1</v>
      </c>
      <c r="AI27">
        <v>1</v>
      </c>
      <c r="AJ27">
        <v>4</v>
      </c>
      <c r="AK27">
        <v>1</v>
      </c>
      <c r="AL27">
        <v>1</v>
      </c>
      <c r="AM27">
        <v>1</v>
      </c>
      <c r="AN27">
        <v>1</v>
      </c>
      <c r="AO27">
        <v>1</v>
      </c>
      <c r="AP27">
        <v>1</v>
      </c>
      <c r="AQ27">
        <v>1</v>
      </c>
      <c r="AR27">
        <v>1</v>
      </c>
      <c r="AS27">
        <v>1</v>
      </c>
      <c r="AT27">
        <v>1</v>
      </c>
      <c r="AU27">
        <v>0</v>
      </c>
      <c r="AV27">
        <v>0</v>
      </c>
      <c r="AW27">
        <v>0</v>
      </c>
      <c r="AX27">
        <v>0</v>
      </c>
      <c r="AY27">
        <v>1</v>
      </c>
      <c r="AZ27">
        <v>6</v>
      </c>
      <c r="BA27">
        <v>1</v>
      </c>
      <c r="BB27">
        <v>6</v>
      </c>
      <c r="BC27">
        <v>1</v>
      </c>
      <c r="BD27">
        <v>4</v>
      </c>
      <c r="BE27">
        <v>3</v>
      </c>
      <c r="BF27">
        <v>1</v>
      </c>
      <c r="BG27">
        <v>1</v>
      </c>
      <c r="BH27">
        <v>1</v>
      </c>
      <c r="BI27">
        <v>1</v>
      </c>
      <c r="BJ27">
        <v>1</v>
      </c>
      <c r="BK27">
        <v>1</v>
      </c>
      <c r="BL27">
        <v>1</v>
      </c>
      <c r="BM27">
        <v>1</v>
      </c>
      <c r="BN27">
        <v>1</v>
      </c>
      <c r="BO27">
        <v>2</v>
      </c>
      <c r="BP27">
        <v>2</v>
      </c>
      <c r="BQ27">
        <v>2</v>
      </c>
      <c r="BR27">
        <v>1</v>
      </c>
      <c r="BS27">
        <v>1</v>
      </c>
      <c r="BT27">
        <v>2</v>
      </c>
      <c r="BU27">
        <v>1</v>
      </c>
      <c r="BV27">
        <v>1</v>
      </c>
      <c r="BW27">
        <v>1</v>
      </c>
      <c r="BX27">
        <v>5</v>
      </c>
      <c r="BY27">
        <v>1</v>
      </c>
      <c r="BZ27">
        <v>6</v>
      </c>
      <c r="CA27">
        <v>2</v>
      </c>
      <c r="CB27">
        <v>1</v>
      </c>
      <c r="CC27">
        <v>1</v>
      </c>
      <c r="CD27">
        <v>2</v>
      </c>
      <c r="CE27">
        <v>2</v>
      </c>
      <c r="CF27">
        <v>1</v>
      </c>
      <c r="CG27">
        <v>1</v>
      </c>
      <c r="CH27">
        <v>4</v>
      </c>
      <c r="CI27">
        <v>2</v>
      </c>
      <c r="CJ27">
        <v>6</v>
      </c>
      <c r="CK27">
        <v>1</v>
      </c>
      <c r="CL27">
        <v>4</v>
      </c>
      <c r="CM27">
        <v>2</v>
      </c>
      <c r="CN27">
        <v>1</v>
      </c>
      <c r="CO27">
        <v>2</v>
      </c>
      <c r="CP27">
        <v>2</v>
      </c>
      <c r="CQ27">
        <v>2</v>
      </c>
      <c r="CR27">
        <v>3</v>
      </c>
      <c r="CS27">
        <v>2</v>
      </c>
      <c r="CT27">
        <v>1</v>
      </c>
      <c r="CU27">
        <v>1</v>
      </c>
      <c r="CV27">
        <v>1</v>
      </c>
      <c r="CW27">
        <v>3</v>
      </c>
      <c r="CX27">
        <v>1</v>
      </c>
      <c r="CY27">
        <v>1</v>
      </c>
      <c r="CZ27">
        <v>1</v>
      </c>
      <c r="DA27">
        <v>1</v>
      </c>
      <c r="DB27">
        <v>3</v>
      </c>
      <c r="DC27">
        <v>1</v>
      </c>
      <c r="DD27">
        <v>1</v>
      </c>
      <c r="DE27">
        <v>2</v>
      </c>
      <c r="DF27">
        <v>1</v>
      </c>
      <c r="DG27">
        <v>3</v>
      </c>
      <c r="DH27">
        <v>1</v>
      </c>
      <c r="DI27">
        <v>1</v>
      </c>
      <c r="DJ27">
        <v>2</v>
      </c>
      <c r="DK27">
        <v>1</v>
      </c>
      <c r="DL27">
        <v>1</v>
      </c>
      <c r="DM27">
        <v>2</v>
      </c>
      <c r="DN27">
        <v>3</v>
      </c>
      <c r="DO27">
        <v>1</v>
      </c>
      <c r="DP27">
        <v>4</v>
      </c>
      <c r="DQ27">
        <v>1</v>
      </c>
      <c r="DR27">
        <v>1</v>
      </c>
      <c r="DS27">
        <v>0</v>
      </c>
      <c r="DT27">
        <v>0</v>
      </c>
      <c r="DU27">
        <v>0</v>
      </c>
      <c r="DV27">
        <v>0</v>
      </c>
      <c r="DW27">
        <v>0</v>
      </c>
      <c r="DX27">
        <v>0</v>
      </c>
      <c r="DY27">
        <v>0</v>
      </c>
      <c r="DZ27">
        <v>0</v>
      </c>
      <c r="EA27">
        <v>0</v>
      </c>
      <c r="EB27">
        <v>0</v>
      </c>
      <c r="EC27">
        <v>2</v>
      </c>
      <c r="ED27">
        <v>1</v>
      </c>
      <c r="EE27">
        <v>0</v>
      </c>
      <c r="EF27">
        <v>0</v>
      </c>
      <c r="EG27">
        <v>0</v>
      </c>
      <c r="EH27">
        <v>0</v>
      </c>
      <c r="EI27">
        <v>0</v>
      </c>
      <c r="EJ27">
        <v>17620</v>
      </c>
    </row>
    <row r="28" spans="1:140">
      <c r="A28" t="s">
        <v>66</v>
      </c>
      <c r="B28">
        <v>4162017</v>
      </c>
      <c r="C28">
        <v>2</v>
      </c>
      <c r="D28">
        <v>1</v>
      </c>
      <c r="E28">
        <v>37</v>
      </c>
      <c r="F28">
        <v>210</v>
      </c>
      <c r="G28">
        <v>5</v>
      </c>
      <c r="H28">
        <v>7</v>
      </c>
      <c r="I28">
        <v>32.89</v>
      </c>
      <c r="J28">
        <v>17.87</v>
      </c>
      <c r="K28">
        <v>2.5499999999999998</v>
      </c>
      <c r="L28">
        <v>60.97</v>
      </c>
      <c r="M28">
        <v>36.950000000000003</v>
      </c>
      <c r="N28">
        <v>2</v>
      </c>
      <c r="O28">
        <v>1.64</v>
      </c>
      <c r="P28">
        <v>3.64</v>
      </c>
      <c r="Q28">
        <v>59.18</v>
      </c>
      <c r="R28">
        <v>50.7</v>
      </c>
      <c r="S28">
        <v>1190.99</v>
      </c>
      <c r="T28">
        <v>48.57</v>
      </c>
      <c r="U28">
        <v>56.94</v>
      </c>
      <c r="V28">
        <v>126.45</v>
      </c>
      <c r="W28">
        <v>9.73</v>
      </c>
      <c r="X28">
        <v>2</v>
      </c>
      <c r="Y28">
        <v>1</v>
      </c>
      <c r="Z28">
        <v>4</v>
      </c>
      <c r="AA28">
        <v>1</v>
      </c>
      <c r="AB28">
        <v>2</v>
      </c>
      <c r="AC28">
        <v>1</v>
      </c>
      <c r="AD28">
        <v>1</v>
      </c>
      <c r="AE28">
        <v>1</v>
      </c>
      <c r="AF28">
        <v>1</v>
      </c>
      <c r="AG28">
        <v>2</v>
      </c>
      <c r="AH28">
        <v>2</v>
      </c>
      <c r="AI28">
        <v>1</v>
      </c>
      <c r="AJ28">
        <v>2</v>
      </c>
      <c r="AK28">
        <v>1</v>
      </c>
      <c r="AL28">
        <v>2</v>
      </c>
      <c r="AM28">
        <v>1</v>
      </c>
      <c r="AN28">
        <v>1</v>
      </c>
      <c r="AO28">
        <v>4</v>
      </c>
      <c r="AP28">
        <v>2</v>
      </c>
      <c r="AQ28">
        <v>5</v>
      </c>
      <c r="AR28">
        <v>2</v>
      </c>
      <c r="AS28">
        <v>1</v>
      </c>
      <c r="AT28">
        <v>2</v>
      </c>
      <c r="AU28">
        <v>0</v>
      </c>
      <c r="AV28">
        <v>0</v>
      </c>
      <c r="AW28">
        <v>1</v>
      </c>
      <c r="AX28">
        <v>0</v>
      </c>
      <c r="AY28">
        <v>0</v>
      </c>
      <c r="AZ28">
        <v>1</v>
      </c>
      <c r="BA28">
        <v>1</v>
      </c>
      <c r="BB28">
        <v>4</v>
      </c>
      <c r="BC28">
        <v>1</v>
      </c>
      <c r="BD28">
        <v>2</v>
      </c>
      <c r="BE28">
        <v>2</v>
      </c>
      <c r="BF28">
        <v>1</v>
      </c>
      <c r="BG28">
        <v>3</v>
      </c>
      <c r="BH28">
        <v>1</v>
      </c>
      <c r="BI28">
        <v>2</v>
      </c>
      <c r="BJ28">
        <v>1</v>
      </c>
      <c r="BK28">
        <v>2</v>
      </c>
      <c r="BL28">
        <v>3</v>
      </c>
      <c r="BM28">
        <v>2</v>
      </c>
      <c r="BN28">
        <v>1</v>
      </c>
      <c r="BO28">
        <v>2</v>
      </c>
      <c r="BP28">
        <v>1</v>
      </c>
      <c r="BQ28">
        <v>2</v>
      </c>
      <c r="BR28">
        <v>2</v>
      </c>
      <c r="BS28">
        <v>2</v>
      </c>
      <c r="BT28">
        <v>3</v>
      </c>
      <c r="BU28">
        <v>2</v>
      </c>
      <c r="BV28">
        <v>2</v>
      </c>
      <c r="BW28">
        <v>1</v>
      </c>
      <c r="BX28">
        <v>6</v>
      </c>
      <c r="BY28">
        <v>2</v>
      </c>
      <c r="BZ28">
        <v>6</v>
      </c>
      <c r="CA28">
        <v>2</v>
      </c>
      <c r="CB28">
        <v>2</v>
      </c>
      <c r="CC28">
        <v>2</v>
      </c>
      <c r="CD28">
        <v>2</v>
      </c>
      <c r="CE28">
        <v>1</v>
      </c>
      <c r="CF28">
        <v>2</v>
      </c>
      <c r="CG28">
        <v>2</v>
      </c>
      <c r="CH28">
        <v>4</v>
      </c>
      <c r="CI28">
        <v>1</v>
      </c>
      <c r="CJ28">
        <v>3</v>
      </c>
      <c r="CK28">
        <v>1</v>
      </c>
      <c r="CL28">
        <v>4</v>
      </c>
      <c r="CM28">
        <v>1</v>
      </c>
      <c r="CN28">
        <v>1</v>
      </c>
      <c r="CO28">
        <v>3</v>
      </c>
      <c r="CP28">
        <v>2</v>
      </c>
      <c r="CQ28">
        <v>2</v>
      </c>
      <c r="CR28">
        <v>2</v>
      </c>
      <c r="CS28">
        <v>1</v>
      </c>
      <c r="CT28">
        <v>3</v>
      </c>
      <c r="CU28">
        <v>2</v>
      </c>
      <c r="CV28">
        <v>1</v>
      </c>
      <c r="CW28">
        <v>3</v>
      </c>
      <c r="CX28">
        <v>2</v>
      </c>
      <c r="CY28">
        <v>1</v>
      </c>
      <c r="CZ28">
        <v>2</v>
      </c>
      <c r="DA28">
        <v>1</v>
      </c>
      <c r="DB28">
        <v>3</v>
      </c>
      <c r="DC28">
        <v>1</v>
      </c>
      <c r="DD28">
        <v>1</v>
      </c>
      <c r="DE28">
        <v>4</v>
      </c>
      <c r="DF28">
        <v>1</v>
      </c>
      <c r="DG28">
        <v>3</v>
      </c>
      <c r="DH28">
        <v>4</v>
      </c>
      <c r="DI28">
        <v>1</v>
      </c>
      <c r="DJ28">
        <v>2</v>
      </c>
      <c r="DK28">
        <v>1</v>
      </c>
      <c r="DL28">
        <v>1</v>
      </c>
      <c r="DM28">
        <v>2</v>
      </c>
      <c r="DN28">
        <v>3</v>
      </c>
      <c r="DO28">
        <v>1</v>
      </c>
      <c r="DP28">
        <v>6</v>
      </c>
      <c r="DQ28">
        <v>0</v>
      </c>
      <c r="DR28">
        <v>0</v>
      </c>
      <c r="DS28">
        <v>0</v>
      </c>
      <c r="DT28">
        <v>0</v>
      </c>
      <c r="DU28">
        <v>0</v>
      </c>
      <c r="DV28">
        <v>0</v>
      </c>
      <c r="DW28">
        <v>0</v>
      </c>
      <c r="DX28">
        <v>1</v>
      </c>
      <c r="DY28">
        <v>0</v>
      </c>
      <c r="DZ28">
        <v>0</v>
      </c>
      <c r="EA28">
        <v>0</v>
      </c>
      <c r="EB28">
        <v>0</v>
      </c>
      <c r="EC28">
        <v>2</v>
      </c>
      <c r="ED28">
        <v>1</v>
      </c>
      <c r="EE28">
        <v>0</v>
      </c>
      <c r="EF28">
        <v>0</v>
      </c>
      <c r="EG28">
        <v>0</v>
      </c>
      <c r="EH28">
        <v>0</v>
      </c>
      <c r="EI28">
        <v>0</v>
      </c>
      <c r="EJ28">
        <v>17607</v>
      </c>
    </row>
    <row r="29" spans="1:140">
      <c r="A29" t="s">
        <v>67</v>
      </c>
      <c r="B29">
        <v>4222017</v>
      </c>
      <c r="C29">
        <v>2</v>
      </c>
      <c r="D29">
        <v>1</v>
      </c>
      <c r="E29">
        <v>43</v>
      </c>
      <c r="F29">
        <v>163</v>
      </c>
      <c r="G29">
        <v>5</v>
      </c>
      <c r="H29">
        <v>6</v>
      </c>
      <c r="I29">
        <v>26.31</v>
      </c>
      <c r="J29">
        <v>9.93</v>
      </c>
      <c r="K29">
        <v>0.77700000000000002</v>
      </c>
      <c r="L29">
        <v>8.69</v>
      </c>
      <c r="M29">
        <v>1.77</v>
      </c>
      <c r="N29">
        <v>0.28999999999999998</v>
      </c>
      <c r="O29">
        <v>0.755</v>
      </c>
      <c r="P29">
        <v>1.04</v>
      </c>
      <c r="Q29">
        <v>19.11</v>
      </c>
      <c r="R29">
        <v>42.62</v>
      </c>
      <c r="S29">
        <v>625.29</v>
      </c>
      <c r="T29">
        <v>27.04</v>
      </c>
      <c r="U29">
        <v>25.94</v>
      </c>
      <c r="V29">
        <v>49.11</v>
      </c>
      <c r="W29">
        <v>4.28</v>
      </c>
      <c r="X29">
        <v>1</v>
      </c>
      <c r="Y29">
        <v>1</v>
      </c>
      <c r="Z29">
        <v>2</v>
      </c>
      <c r="AA29">
        <v>1</v>
      </c>
      <c r="AB29">
        <v>2</v>
      </c>
      <c r="AC29">
        <v>1</v>
      </c>
      <c r="AD29">
        <v>1</v>
      </c>
      <c r="AE29">
        <v>1</v>
      </c>
      <c r="AF29">
        <v>1</v>
      </c>
      <c r="AG29">
        <v>2</v>
      </c>
      <c r="AH29">
        <v>1</v>
      </c>
      <c r="AI29">
        <v>1</v>
      </c>
      <c r="AJ29">
        <v>1</v>
      </c>
      <c r="AK29">
        <v>1</v>
      </c>
      <c r="AL29">
        <v>2</v>
      </c>
      <c r="AM29">
        <v>4</v>
      </c>
      <c r="AN29">
        <v>2</v>
      </c>
      <c r="AO29">
        <v>3</v>
      </c>
      <c r="AP29">
        <v>1</v>
      </c>
      <c r="AQ29">
        <v>1</v>
      </c>
      <c r="AR29">
        <v>2</v>
      </c>
      <c r="AS29">
        <v>1</v>
      </c>
      <c r="AT29">
        <v>2</v>
      </c>
      <c r="AU29">
        <v>0</v>
      </c>
      <c r="AV29">
        <v>0</v>
      </c>
      <c r="AW29">
        <v>0</v>
      </c>
      <c r="AX29">
        <v>0</v>
      </c>
      <c r="AY29">
        <v>1</v>
      </c>
      <c r="AZ29">
        <v>1</v>
      </c>
      <c r="BA29">
        <v>1</v>
      </c>
      <c r="BB29">
        <v>4</v>
      </c>
      <c r="BC29">
        <v>1</v>
      </c>
      <c r="BD29">
        <v>2</v>
      </c>
      <c r="BE29">
        <v>2</v>
      </c>
      <c r="BF29">
        <v>2</v>
      </c>
      <c r="BG29">
        <v>1</v>
      </c>
      <c r="BH29">
        <v>1</v>
      </c>
      <c r="BI29">
        <v>4</v>
      </c>
      <c r="BJ29">
        <v>1</v>
      </c>
      <c r="BK29">
        <v>2</v>
      </c>
      <c r="BL29">
        <v>3</v>
      </c>
      <c r="BM29">
        <v>1</v>
      </c>
      <c r="BN29">
        <v>1</v>
      </c>
      <c r="BO29">
        <v>2</v>
      </c>
      <c r="BP29">
        <v>1</v>
      </c>
      <c r="BQ29">
        <v>2</v>
      </c>
      <c r="BR29">
        <v>2</v>
      </c>
      <c r="BS29">
        <v>2</v>
      </c>
      <c r="BT29">
        <v>2</v>
      </c>
      <c r="BU29">
        <v>2</v>
      </c>
      <c r="BV29">
        <v>2</v>
      </c>
      <c r="BW29">
        <v>1</v>
      </c>
      <c r="BX29">
        <v>3</v>
      </c>
      <c r="BY29">
        <v>2</v>
      </c>
      <c r="BZ29">
        <v>3</v>
      </c>
      <c r="CA29">
        <v>1</v>
      </c>
      <c r="CB29">
        <v>1</v>
      </c>
      <c r="CC29">
        <v>1</v>
      </c>
      <c r="CD29">
        <v>1</v>
      </c>
      <c r="CE29">
        <v>1</v>
      </c>
      <c r="CF29">
        <v>2</v>
      </c>
      <c r="CG29">
        <v>1</v>
      </c>
      <c r="CH29">
        <v>3</v>
      </c>
      <c r="CI29">
        <v>2</v>
      </c>
      <c r="CJ29">
        <v>3</v>
      </c>
      <c r="CK29">
        <v>1</v>
      </c>
      <c r="CL29">
        <v>1</v>
      </c>
      <c r="CM29">
        <v>1</v>
      </c>
      <c r="CN29">
        <v>1</v>
      </c>
      <c r="CO29">
        <v>1</v>
      </c>
      <c r="CP29">
        <v>2</v>
      </c>
      <c r="CQ29">
        <v>2</v>
      </c>
      <c r="CR29">
        <v>2</v>
      </c>
      <c r="CS29">
        <v>1</v>
      </c>
      <c r="CT29">
        <v>2</v>
      </c>
      <c r="CU29">
        <v>1</v>
      </c>
      <c r="CV29">
        <v>1</v>
      </c>
      <c r="CW29">
        <v>3</v>
      </c>
      <c r="CX29">
        <v>1</v>
      </c>
      <c r="CY29">
        <v>1</v>
      </c>
      <c r="CZ29">
        <v>1</v>
      </c>
      <c r="DA29">
        <v>1</v>
      </c>
      <c r="DB29">
        <v>3</v>
      </c>
      <c r="DC29">
        <v>1</v>
      </c>
      <c r="DD29">
        <v>1</v>
      </c>
      <c r="DE29">
        <v>1</v>
      </c>
      <c r="DF29">
        <v>2</v>
      </c>
      <c r="DG29">
        <v>3</v>
      </c>
      <c r="DH29">
        <v>1</v>
      </c>
      <c r="DI29">
        <v>2</v>
      </c>
      <c r="DJ29">
        <v>2</v>
      </c>
      <c r="DK29">
        <v>1</v>
      </c>
      <c r="DL29">
        <v>1</v>
      </c>
      <c r="DM29">
        <v>2</v>
      </c>
      <c r="DN29">
        <v>3</v>
      </c>
      <c r="DO29">
        <v>1</v>
      </c>
      <c r="DP29">
        <v>1</v>
      </c>
      <c r="DQ29">
        <v>0</v>
      </c>
      <c r="DR29">
        <v>1</v>
      </c>
      <c r="DS29">
        <v>0</v>
      </c>
      <c r="DT29">
        <v>0</v>
      </c>
      <c r="DU29">
        <v>0</v>
      </c>
      <c r="DV29">
        <v>0</v>
      </c>
      <c r="DW29">
        <v>0</v>
      </c>
      <c r="DX29">
        <v>0</v>
      </c>
      <c r="DY29">
        <v>0</v>
      </c>
      <c r="DZ29">
        <v>0</v>
      </c>
      <c r="EA29">
        <v>0</v>
      </c>
      <c r="EB29">
        <v>0</v>
      </c>
      <c r="EC29">
        <v>2</v>
      </c>
      <c r="ED29">
        <v>1</v>
      </c>
      <c r="EE29">
        <v>0</v>
      </c>
      <c r="EF29">
        <v>0</v>
      </c>
      <c r="EG29">
        <v>0</v>
      </c>
      <c r="EH29">
        <v>0</v>
      </c>
      <c r="EI29">
        <v>0</v>
      </c>
      <c r="EJ29">
        <v>17630</v>
      </c>
    </row>
    <row r="30" spans="1:140">
      <c r="A30" t="s">
        <v>68</v>
      </c>
      <c r="B30">
        <v>5172017</v>
      </c>
      <c r="C30">
        <v>2</v>
      </c>
      <c r="D30">
        <v>1</v>
      </c>
      <c r="E30">
        <v>36</v>
      </c>
      <c r="F30">
        <v>150</v>
      </c>
      <c r="G30">
        <v>5</v>
      </c>
      <c r="H30">
        <v>2</v>
      </c>
      <c r="I30">
        <v>27.44</v>
      </c>
      <c r="J30">
        <v>8.31</v>
      </c>
      <c r="K30">
        <v>0.96399999999999997</v>
      </c>
      <c r="L30">
        <v>37.799999999999997</v>
      </c>
      <c r="M30">
        <v>3.14</v>
      </c>
      <c r="N30">
        <v>2.37</v>
      </c>
      <c r="O30">
        <v>1.83</v>
      </c>
      <c r="P30">
        <v>4.2</v>
      </c>
      <c r="Q30">
        <v>45.59</v>
      </c>
      <c r="R30">
        <v>45.95</v>
      </c>
      <c r="S30">
        <v>741.84</v>
      </c>
      <c r="T30">
        <v>26.27</v>
      </c>
      <c r="U30">
        <v>23.52</v>
      </c>
      <c r="V30">
        <v>112.34</v>
      </c>
      <c r="W30">
        <v>13.12</v>
      </c>
      <c r="X30">
        <v>1</v>
      </c>
      <c r="Y30">
        <v>1</v>
      </c>
      <c r="Z30">
        <v>4</v>
      </c>
      <c r="AA30">
        <v>1</v>
      </c>
      <c r="AB30">
        <v>2</v>
      </c>
      <c r="AC30">
        <v>1</v>
      </c>
      <c r="AD30">
        <v>1</v>
      </c>
      <c r="AE30">
        <v>1</v>
      </c>
      <c r="AF30">
        <v>1</v>
      </c>
      <c r="AG30">
        <v>2</v>
      </c>
      <c r="AH30">
        <v>1</v>
      </c>
      <c r="AI30">
        <v>1</v>
      </c>
      <c r="AJ30">
        <v>6</v>
      </c>
      <c r="AK30">
        <v>1</v>
      </c>
      <c r="AL30">
        <v>1</v>
      </c>
      <c r="AM30">
        <v>1</v>
      </c>
      <c r="AN30">
        <v>1</v>
      </c>
      <c r="AO30">
        <v>2</v>
      </c>
      <c r="AP30">
        <v>2</v>
      </c>
      <c r="AQ30">
        <v>1</v>
      </c>
      <c r="AR30">
        <v>2</v>
      </c>
      <c r="AS30">
        <v>4</v>
      </c>
      <c r="AT30">
        <v>2</v>
      </c>
      <c r="AU30">
        <v>0</v>
      </c>
      <c r="AV30">
        <v>1</v>
      </c>
      <c r="AW30">
        <v>0</v>
      </c>
      <c r="AX30">
        <v>0</v>
      </c>
      <c r="AY30">
        <v>0</v>
      </c>
      <c r="AZ30">
        <v>1</v>
      </c>
      <c r="BA30">
        <v>1</v>
      </c>
      <c r="BB30">
        <v>3</v>
      </c>
      <c r="BC30">
        <v>2</v>
      </c>
      <c r="BD30">
        <v>1</v>
      </c>
      <c r="BE30">
        <v>2</v>
      </c>
      <c r="BF30">
        <v>1</v>
      </c>
      <c r="BG30">
        <v>1</v>
      </c>
      <c r="BH30">
        <v>1</v>
      </c>
      <c r="BI30">
        <v>1</v>
      </c>
      <c r="BJ30">
        <v>1</v>
      </c>
      <c r="BK30">
        <v>2</v>
      </c>
      <c r="BL30">
        <v>1</v>
      </c>
      <c r="BM30">
        <v>1</v>
      </c>
      <c r="BN30">
        <v>1</v>
      </c>
      <c r="BO30">
        <v>2</v>
      </c>
      <c r="BP30">
        <v>1</v>
      </c>
      <c r="BQ30">
        <v>2</v>
      </c>
      <c r="BR30">
        <v>3</v>
      </c>
      <c r="BS30">
        <v>2</v>
      </c>
      <c r="BT30">
        <v>3</v>
      </c>
      <c r="BU30">
        <v>2</v>
      </c>
      <c r="BV30">
        <v>3</v>
      </c>
      <c r="BW30">
        <v>2</v>
      </c>
      <c r="BX30">
        <v>5</v>
      </c>
      <c r="BY30">
        <v>3</v>
      </c>
      <c r="BZ30">
        <v>5</v>
      </c>
      <c r="CA30">
        <v>3</v>
      </c>
      <c r="CB30">
        <v>1</v>
      </c>
      <c r="CC30">
        <v>1</v>
      </c>
      <c r="CD30">
        <v>2</v>
      </c>
      <c r="CE30">
        <v>2</v>
      </c>
      <c r="CF30">
        <v>1</v>
      </c>
      <c r="CG30">
        <v>1</v>
      </c>
      <c r="CH30">
        <v>3</v>
      </c>
      <c r="CI30">
        <v>2</v>
      </c>
      <c r="CJ30">
        <v>3</v>
      </c>
      <c r="CK30">
        <v>2</v>
      </c>
      <c r="CL30">
        <v>4</v>
      </c>
      <c r="CM30">
        <v>1</v>
      </c>
      <c r="CN30">
        <v>1</v>
      </c>
      <c r="CO30">
        <v>1</v>
      </c>
      <c r="CP30">
        <v>2</v>
      </c>
      <c r="CQ30">
        <v>2</v>
      </c>
      <c r="CR30">
        <v>1</v>
      </c>
      <c r="CS30">
        <v>2</v>
      </c>
      <c r="CT30">
        <v>2</v>
      </c>
      <c r="CU30">
        <v>1</v>
      </c>
      <c r="CV30">
        <v>1</v>
      </c>
      <c r="CW30">
        <v>1</v>
      </c>
      <c r="CX30">
        <v>1</v>
      </c>
      <c r="CY30">
        <v>1</v>
      </c>
      <c r="CZ30">
        <v>1</v>
      </c>
      <c r="DA30">
        <v>1</v>
      </c>
      <c r="DB30">
        <v>3</v>
      </c>
      <c r="DC30">
        <v>1</v>
      </c>
      <c r="DD30">
        <v>1</v>
      </c>
      <c r="DE30">
        <v>1</v>
      </c>
      <c r="DF30">
        <v>2</v>
      </c>
      <c r="DG30">
        <v>3</v>
      </c>
      <c r="DH30">
        <v>1</v>
      </c>
      <c r="DI30">
        <v>2</v>
      </c>
      <c r="DJ30">
        <v>2</v>
      </c>
      <c r="DK30">
        <v>3</v>
      </c>
      <c r="DL30">
        <v>2</v>
      </c>
      <c r="DM30">
        <v>5</v>
      </c>
      <c r="DN30">
        <v>2</v>
      </c>
      <c r="DO30">
        <v>2</v>
      </c>
      <c r="DP30">
        <v>4</v>
      </c>
      <c r="DQ30">
        <v>1</v>
      </c>
      <c r="DR30">
        <v>0</v>
      </c>
      <c r="DS30">
        <v>0</v>
      </c>
      <c r="DT30">
        <v>0</v>
      </c>
      <c r="DU30">
        <v>0</v>
      </c>
      <c r="DV30">
        <v>0</v>
      </c>
      <c r="DW30">
        <v>0</v>
      </c>
      <c r="DX30">
        <v>0</v>
      </c>
      <c r="DY30">
        <v>0</v>
      </c>
      <c r="DZ30">
        <v>0</v>
      </c>
      <c r="EA30">
        <v>0</v>
      </c>
      <c r="EB30">
        <v>0</v>
      </c>
      <c r="EC30">
        <v>2</v>
      </c>
      <c r="ED30">
        <v>1</v>
      </c>
      <c r="EE30">
        <v>0</v>
      </c>
      <c r="EF30">
        <v>0</v>
      </c>
      <c r="EG30">
        <v>0</v>
      </c>
      <c r="EH30">
        <v>0</v>
      </c>
      <c r="EI30">
        <v>0</v>
      </c>
      <c r="EJ30">
        <v>17605</v>
      </c>
    </row>
    <row r="31" spans="1:140">
      <c r="A31" t="s">
        <v>69</v>
      </c>
      <c r="B31">
        <v>5122017</v>
      </c>
      <c r="C31">
        <v>2</v>
      </c>
      <c r="D31">
        <v>1</v>
      </c>
      <c r="E31">
        <v>35</v>
      </c>
      <c r="F31">
        <v>108</v>
      </c>
      <c r="G31">
        <v>5</v>
      </c>
      <c r="H31">
        <v>5</v>
      </c>
      <c r="I31">
        <v>17.97</v>
      </c>
      <c r="J31">
        <v>12.02</v>
      </c>
      <c r="K31">
        <v>4.3099999999999996</v>
      </c>
      <c r="L31">
        <v>78.150000000000006</v>
      </c>
      <c r="M31">
        <v>57.92</v>
      </c>
      <c r="N31">
        <v>0.89</v>
      </c>
      <c r="O31">
        <v>0.215</v>
      </c>
      <c r="P31">
        <v>1.1000000000000001</v>
      </c>
      <c r="Q31">
        <v>64.45</v>
      </c>
      <c r="R31">
        <v>48.76</v>
      </c>
      <c r="S31">
        <v>1011.97</v>
      </c>
      <c r="T31">
        <v>33.119999999999997</v>
      </c>
      <c r="U31">
        <v>37.840000000000003</v>
      </c>
      <c r="V31">
        <v>137.01</v>
      </c>
      <c r="W31">
        <v>4.84</v>
      </c>
      <c r="X31">
        <v>1</v>
      </c>
      <c r="Y31">
        <v>1</v>
      </c>
      <c r="Z31">
        <v>2</v>
      </c>
      <c r="AA31">
        <v>6</v>
      </c>
      <c r="AB31">
        <v>1</v>
      </c>
      <c r="AC31">
        <v>1</v>
      </c>
      <c r="AD31">
        <v>1</v>
      </c>
      <c r="AE31">
        <v>1</v>
      </c>
      <c r="AF31">
        <v>1</v>
      </c>
      <c r="AG31">
        <v>2</v>
      </c>
      <c r="AH31">
        <v>1</v>
      </c>
      <c r="AI31">
        <v>1</v>
      </c>
      <c r="AJ31">
        <v>6</v>
      </c>
      <c r="AK31">
        <v>1</v>
      </c>
      <c r="AL31">
        <v>2</v>
      </c>
      <c r="AM31">
        <v>1</v>
      </c>
      <c r="AN31">
        <v>1</v>
      </c>
      <c r="AO31">
        <v>1</v>
      </c>
      <c r="AP31">
        <v>2</v>
      </c>
      <c r="AQ31">
        <v>1</v>
      </c>
      <c r="AR31">
        <v>2</v>
      </c>
      <c r="AS31">
        <v>1</v>
      </c>
      <c r="AT31">
        <v>2</v>
      </c>
      <c r="AU31">
        <v>0</v>
      </c>
      <c r="AV31">
        <v>0</v>
      </c>
      <c r="AW31">
        <v>0</v>
      </c>
      <c r="AX31">
        <v>0</v>
      </c>
      <c r="AY31">
        <v>1</v>
      </c>
      <c r="AZ31">
        <v>1</v>
      </c>
      <c r="BA31">
        <v>1</v>
      </c>
      <c r="BB31">
        <v>3</v>
      </c>
      <c r="BC31">
        <v>1</v>
      </c>
      <c r="BD31">
        <v>2</v>
      </c>
      <c r="BE31">
        <v>2</v>
      </c>
      <c r="BF31">
        <v>2</v>
      </c>
      <c r="BG31">
        <v>2</v>
      </c>
      <c r="BH31">
        <v>1</v>
      </c>
      <c r="BI31">
        <v>1</v>
      </c>
      <c r="BJ31">
        <v>1</v>
      </c>
      <c r="BK31">
        <v>2</v>
      </c>
      <c r="BL31">
        <v>2</v>
      </c>
      <c r="BM31">
        <v>1</v>
      </c>
      <c r="BN31">
        <v>4</v>
      </c>
      <c r="BO31">
        <v>2</v>
      </c>
      <c r="BP31">
        <v>1</v>
      </c>
      <c r="BQ31">
        <v>2</v>
      </c>
      <c r="BR31">
        <v>3</v>
      </c>
      <c r="BS31">
        <v>2</v>
      </c>
      <c r="BT31">
        <v>2</v>
      </c>
      <c r="BU31">
        <v>1</v>
      </c>
      <c r="BV31">
        <v>1</v>
      </c>
      <c r="BW31">
        <v>1</v>
      </c>
      <c r="BX31">
        <v>1</v>
      </c>
      <c r="BY31">
        <v>1</v>
      </c>
      <c r="BZ31">
        <v>2</v>
      </c>
      <c r="CA31">
        <v>1</v>
      </c>
      <c r="CB31">
        <v>4</v>
      </c>
      <c r="CC31">
        <v>2</v>
      </c>
      <c r="CD31">
        <v>1</v>
      </c>
      <c r="CE31">
        <v>1</v>
      </c>
      <c r="CF31">
        <v>1</v>
      </c>
      <c r="CG31">
        <v>1</v>
      </c>
      <c r="CH31">
        <v>3</v>
      </c>
      <c r="CI31">
        <v>1</v>
      </c>
      <c r="CJ31">
        <v>3</v>
      </c>
      <c r="CK31">
        <v>1</v>
      </c>
      <c r="CL31">
        <v>2</v>
      </c>
      <c r="CM31">
        <v>1</v>
      </c>
      <c r="CN31">
        <v>1</v>
      </c>
      <c r="CO31">
        <v>2</v>
      </c>
      <c r="CP31">
        <v>2</v>
      </c>
      <c r="CQ31">
        <v>2</v>
      </c>
      <c r="CR31">
        <v>1</v>
      </c>
      <c r="CS31">
        <v>2</v>
      </c>
      <c r="CT31">
        <v>2</v>
      </c>
      <c r="CU31">
        <v>1</v>
      </c>
      <c r="CV31">
        <v>1</v>
      </c>
      <c r="CW31">
        <v>3</v>
      </c>
      <c r="CX31">
        <v>1</v>
      </c>
      <c r="CY31">
        <v>1</v>
      </c>
      <c r="CZ31">
        <v>4</v>
      </c>
      <c r="DA31">
        <v>1</v>
      </c>
      <c r="DB31">
        <v>3</v>
      </c>
      <c r="DC31">
        <v>1</v>
      </c>
      <c r="DD31">
        <v>1</v>
      </c>
      <c r="DE31">
        <v>4</v>
      </c>
      <c r="DF31">
        <v>2</v>
      </c>
      <c r="DG31">
        <v>3</v>
      </c>
      <c r="DH31">
        <v>2</v>
      </c>
      <c r="DI31">
        <v>2</v>
      </c>
      <c r="DJ31">
        <v>2</v>
      </c>
      <c r="DK31">
        <v>1</v>
      </c>
      <c r="DL31">
        <v>1</v>
      </c>
      <c r="DM31">
        <v>2</v>
      </c>
      <c r="DN31">
        <v>1</v>
      </c>
      <c r="DO31">
        <v>1</v>
      </c>
      <c r="DP31">
        <v>2</v>
      </c>
      <c r="DQ31">
        <v>0</v>
      </c>
      <c r="DR31">
        <v>0</v>
      </c>
      <c r="DS31">
        <v>0</v>
      </c>
      <c r="DT31">
        <v>0</v>
      </c>
      <c r="DU31">
        <v>0</v>
      </c>
      <c r="DV31">
        <v>0</v>
      </c>
      <c r="DW31">
        <v>1</v>
      </c>
      <c r="DX31">
        <v>0</v>
      </c>
      <c r="DY31">
        <v>0</v>
      </c>
      <c r="DZ31">
        <v>0</v>
      </c>
      <c r="EA31">
        <v>0</v>
      </c>
      <c r="EB31">
        <v>0</v>
      </c>
      <c r="EC31">
        <v>2</v>
      </c>
      <c r="ED31">
        <v>1</v>
      </c>
      <c r="EE31">
        <v>0</v>
      </c>
      <c r="EF31">
        <v>0</v>
      </c>
      <c r="EG31">
        <v>0</v>
      </c>
      <c r="EH31">
        <v>0</v>
      </c>
      <c r="EI31">
        <v>0</v>
      </c>
      <c r="EJ31">
        <v>12101</v>
      </c>
    </row>
    <row r="33" spans="1:140">
      <c r="A33" t="s">
        <v>71</v>
      </c>
      <c r="B33">
        <v>7192017</v>
      </c>
      <c r="C33">
        <v>2</v>
      </c>
      <c r="D33">
        <v>1</v>
      </c>
      <c r="E33">
        <v>30</v>
      </c>
      <c r="F33">
        <v>127</v>
      </c>
      <c r="G33">
        <v>5</v>
      </c>
      <c r="H33">
        <v>1</v>
      </c>
      <c r="I33">
        <v>24</v>
      </c>
      <c r="J33">
        <v>9.4700000000000006</v>
      </c>
      <c r="K33">
        <v>0.83399999999999996</v>
      </c>
      <c r="L33">
        <v>37.25</v>
      </c>
      <c r="M33">
        <v>12.97</v>
      </c>
      <c r="N33">
        <v>0.79</v>
      </c>
      <c r="O33">
        <v>1.89</v>
      </c>
      <c r="P33">
        <v>2.69</v>
      </c>
      <c r="Q33">
        <v>60.35</v>
      </c>
      <c r="R33">
        <v>50.55</v>
      </c>
      <c r="S33">
        <v>976.85</v>
      </c>
      <c r="T33">
        <v>35.22</v>
      </c>
      <c r="U33">
        <v>38.58</v>
      </c>
      <c r="V33">
        <v>128.82</v>
      </c>
      <c r="W33">
        <v>9.44</v>
      </c>
      <c r="X33">
        <v>4</v>
      </c>
      <c r="Y33">
        <v>1</v>
      </c>
      <c r="Z33">
        <v>1</v>
      </c>
      <c r="AA33">
        <v>3</v>
      </c>
      <c r="AB33">
        <v>2</v>
      </c>
      <c r="AC33">
        <v>1</v>
      </c>
      <c r="AD33">
        <v>1</v>
      </c>
      <c r="AE33">
        <v>1</v>
      </c>
      <c r="AF33">
        <v>1</v>
      </c>
      <c r="AG33">
        <v>2</v>
      </c>
      <c r="AH33">
        <v>1</v>
      </c>
      <c r="AI33">
        <v>1</v>
      </c>
      <c r="AJ33">
        <v>1</v>
      </c>
      <c r="AK33">
        <v>1</v>
      </c>
      <c r="AL33">
        <v>2</v>
      </c>
      <c r="AM33">
        <v>1</v>
      </c>
      <c r="AN33">
        <v>1</v>
      </c>
      <c r="AO33">
        <v>3</v>
      </c>
      <c r="AP33">
        <v>1</v>
      </c>
      <c r="AQ33">
        <v>1</v>
      </c>
      <c r="AR33">
        <v>2</v>
      </c>
      <c r="AS33">
        <v>1</v>
      </c>
      <c r="AT33">
        <v>2</v>
      </c>
      <c r="AU33">
        <v>0</v>
      </c>
      <c r="AV33">
        <v>0</v>
      </c>
      <c r="AW33">
        <v>0</v>
      </c>
      <c r="AX33">
        <v>0</v>
      </c>
      <c r="AY33">
        <v>1</v>
      </c>
      <c r="AZ33">
        <v>6</v>
      </c>
      <c r="BA33">
        <v>2</v>
      </c>
      <c r="BB33">
        <v>1</v>
      </c>
      <c r="BC33">
        <v>1</v>
      </c>
      <c r="BD33">
        <v>1</v>
      </c>
      <c r="BE33">
        <v>2</v>
      </c>
      <c r="BF33">
        <v>2</v>
      </c>
      <c r="BG33">
        <v>1</v>
      </c>
      <c r="BH33">
        <v>1</v>
      </c>
      <c r="BI33">
        <v>1</v>
      </c>
      <c r="BJ33">
        <v>1</v>
      </c>
      <c r="BK33">
        <v>2</v>
      </c>
      <c r="BL33">
        <v>1</v>
      </c>
      <c r="BM33">
        <v>1</v>
      </c>
      <c r="BN33">
        <v>1</v>
      </c>
      <c r="BO33">
        <v>2</v>
      </c>
      <c r="BP33">
        <v>1</v>
      </c>
      <c r="BQ33">
        <v>2</v>
      </c>
      <c r="BR33">
        <v>1</v>
      </c>
      <c r="BS33">
        <v>1</v>
      </c>
      <c r="BT33">
        <v>4</v>
      </c>
      <c r="BU33">
        <v>1</v>
      </c>
      <c r="BV33">
        <v>6</v>
      </c>
      <c r="BW33">
        <v>2</v>
      </c>
      <c r="BX33">
        <v>6</v>
      </c>
      <c r="BY33">
        <v>1</v>
      </c>
      <c r="BZ33">
        <v>4</v>
      </c>
      <c r="CA33">
        <v>1</v>
      </c>
      <c r="CB33">
        <v>1</v>
      </c>
      <c r="CC33">
        <v>1</v>
      </c>
      <c r="CD33">
        <v>3</v>
      </c>
      <c r="CE33">
        <v>1</v>
      </c>
      <c r="CF33">
        <v>6</v>
      </c>
      <c r="CG33">
        <v>1</v>
      </c>
      <c r="CH33">
        <v>6</v>
      </c>
      <c r="CI33">
        <v>1</v>
      </c>
      <c r="CJ33">
        <v>4</v>
      </c>
      <c r="CK33">
        <v>2</v>
      </c>
      <c r="CL33">
        <v>4</v>
      </c>
      <c r="CM33">
        <v>1</v>
      </c>
      <c r="CN33">
        <v>1</v>
      </c>
      <c r="CO33">
        <v>4</v>
      </c>
      <c r="CP33">
        <v>2</v>
      </c>
      <c r="CQ33">
        <v>2</v>
      </c>
      <c r="CR33">
        <v>1</v>
      </c>
      <c r="CS33">
        <v>2</v>
      </c>
      <c r="CT33">
        <v>3</v>
      </c>
      <c r="CU33">
        <v>1</v>
      </c>
      <c r="CV33">
        <v>1</v>
      </c>
      <c r="CW33">
        <v>3</v>
      </c>
      <c r="CX33">
        <v>1</v>
      </c>
      <c r="CY33">
        <v>1</v>
      </c>
      <c r="CZ33">
        <v>1</v>
      </c>
      <c r="DA33">
        <v>1</v>
      </c>
      <c r="DB33">
        <v>3</v>
      </c>
      <c r="DC33">
        <v>1</v>
      </c>
      <c r="DD33">
        <v>1</v>
      </c>
      <c r="DE33">
        <v>1</v>
      </c>
      <c r="DF33">
        <v>2</v>
      </c>
      <c r="DG33">
        <v>3</v>
      </c>
      <c r="DH33">
        <v>1</v>
      </c>
      <c r="DI33">
        <v>2</v>
      </c>
      <c r="DJ33">
        <v>2</v>
      </c>
      <c r="DK33">
        <v>1</v>
      </c>
      <c r="DL33">
        <v>1</v>
      </c>
      <c r="DM33">
        <v>2</v>
      </c>
      <c r="DN33">
        <v>1</v>
      </c>
      <c r="DO33">
        <v>3</v>
      </c>
      <c r="DP33">
        <v>6</v>
      </c>
      <c r="DQ33">
        <v>0</v>
      </c>
      <c r="DR33">
        <v>0</v>
      </c>
      <c r="DS33">
        <v>0</v>
      </c>
      <c r="DT33">
        <v>0</v>
      </c>
      <c r="DU33">
        <v>0</v>
      </c>
      <c r="DV33">
        <v>0</v>
      </c>
      <c r="DW33">
        <v>1</v>
      </c>
      <c r="DX33">
        <v>0</v>
      </c>
      <c r="DY33">
        <v>0</v>
      </c>
      <c r="DZ33">
        <v>0</v>
      </c>
      <c r="EA33">
        <v>0</v>
      </c>
      <c r="EB33">
        <v>0</v>
      </c>
      <c r="EC33">
        <v>2</v>
      </c>
      <c r="ED33">
        <v>0</v>
      </c>
      <c r="EE33">
        <v>0</v>
      </c>
      <c r="EF33">
        <v>1</v>
      </c>
      <c r="EG33">
        <v>0</v>
      </c>
      <c r="EH33">
        <v>0</v>
      </c>
      <c r="EI33">
        <v>0</v>
      </c>
      <c r="EJ33">
        <v>12099</v>
      </c>
    </row>
    <row r="35" spans="1:140">
      <c r="A35" t="s">
        <v>72</v>
      </c>
      <c r="B35">
        <v>10272016</v>
      </c>
      <c r="C35">
        <v>2</v>
      </c>
      <c r="D35">
        <v>1</v>
      </c>
      <c r="E35">
        <v>30</v>
      </c>
      <c r="F35">
        <v>155</v>
      </c>
      <c r="G35">
        <v>5</v>
      </c>
      <c r="H35">
        <v>2</v>
      </c>
      <c r="I35">
        <v>28.35</v>
      </c>
      <c r="J35">
        <v>14.45</v>
      </c>
      <c r="K35">
        <v>2.95</v>
      </c>
      <c r="L35">
        <v>53.42</v>
      </c>
      <c r="M35">
        <v>23.28</v>
      </c>
      <c r="N35">
        <v>1.5</v>
      </c>
      <c r="O35">
        <v>1.28</v>
      </c>
      <c r="P35">
        <v>2.78</v>
      </c>
      <c r="Q35">
        <v>62.93</v>
      </c>
      <c r="R35">
        <v>53.72</v>
      </c>
      <c r="S35">
        <v>1051.71</v>
      </c>
      <c r="T35">
        <v>43.41</v>
      </c>
      <c r="U35">
        <v>42.86</v>
      </c>
      <c r="V35">
        <v>128.13</v>
      </c>
      <c r="W35">
        <v>10.98</v>
      </c>
      <c r="X35">
        <v>4</v>
      </c>
      <c r="Y35">
        <v>1</v>
      </c>
      <c r="Z35">
        <v>3</v>
      </c>
      <c r="AA35">
        <v>1</v>
      </c>
      <c r="AB35">
        <v>1</v>
      </c>
      <c r="AC35">
        <v>1</v>
      </c>
      <c r="AD35">
        <v>1</v>
      </c>
      <c r="AE35">
        <v>1</v>
      </c>
      <c r="AF35">
        <v>1</v>
      </c>
      <c r="AG35">
        <v>2</v>
      </c>
      <c r="AH35">
        <v>1</v>
      </c>
      <c r="AI35">
        <v>1</v>
      </c>
      <c r="AJ35">
        <v>2</v>
      </c>
      <c r="AK35">
        <v>1</v>
      </c>
      <c r="AL35">
        <v>1</v>
      </c>
      <c r="AM35">
        <v>1</v>
      </c>
      <c r="AN35">
        <v>1</v>
      </c>
      <c r="AO35">
        <v>2</v>
      </c>
      <c r="AP35">
        <v>2</v>
      </c>
      <c r="AQ35">
        <v>5</v>
      </c>
      <c r="AR35">
        <v>2</v>
      </c>
      <c r="AS35">
        <v>3</v>
      </c>
      <c r="AT35">
        <v>1</v>
      </c>
      <c r="AU35">
        <v>0</v>
      </c>
      <c r="AV35">
        <v>0</v>
      </c>
      <c r="AW35">
        <v>1</v>
      </c>
      <c r="AX35">
        <v>0</v>
      </c>
      <c r="AY35">
        <v>0</v>
      </c>
      <c r="AZ35">
        <v>1</v>
      </c>
      <c r="BA35">
        <v>1</v>
      </c>
      <c r="BB35">
        <v>2</v>
      </c>
      <c r="BC35">
        <v>2</v>
      </c>
      <c r="BD35">
        <v>2</v>
      </c>
      <c r="BE35">
        <v>2</v>
      </c>
      <c r="BF35">
        <v>1</v>
      </c>
      <c r="BG35">
        <v>2</v>
      </c>
      <c r="BH35">
        <v>1</v>
      </c>
      <c r="BI35">
        <v>2</v>
      </c>
      <c r="BJ35">
        <v>1</v>
      </c>
      <c r="BK35">
        <v>1</v>
      </c>
      <c r="BL35">
        <v>3</v>
      </c>
      <c r="BM35">
        <v>2</v>
      </c>
      <c r="BN35">
        <v>2</v>
      </c>
      <c r="BO35">
        <v>2</v>
      </c>
      <c r="BP35">
        <v>1</v>
      </c>
      <c r="BQ35">
        <v>2</v>
      </c>
      <c r="BR35">
        <v>2</v>
      </c>
      <c r="BS35">
        <v>1</v>
      </c>
      <c r="BT35">
        <v>2</v>
      </c>
      <c r="BU35">
        <v>1</v>
      </c>
      <c r="BV35">
        <v>2</v>
      </c>
      <c r="BW35">
        <v>1</v>
      </c>
      <c r="BX35">
        <v>4</v>
      </c>
      <c r="BY35">
        <v>2</v>
      </c>
      <c r="BZ35">
        <v>4</v>
      </c>
      <c r="CA35">
        <v>3</v>
      </c>
      <c r="CB35">
        <v>3</v>
      </c>
      <c r="CC35">
        <v>2</v>
      </c>
      <c r="CD35">
        <v>2</v>
      </c>
      <c r="CE35">
        <v>2</v>
      </c>
      <c r="CF35">
        <v>2</v>
      </c>
      <c r="CG35">
        <v>1</v>
      </c>
      <c r="CH35">
        <v>4</v>
      </c>
      <c r="CI35">
        <v>2</v>
      </c>
      <c r="CJ35">
        <v>4</v>
      </c>
      <c r="CK35">
        <v>1</v>
      </c>
      <c r="CL35">
        <v>4</v>
      </c>
      <c r="CM35">
        <v>2</v>
      </c>
      <c r="CN35">
        <v>1</v>
      </c>
      <c r="CO35">
        <v>1</v>
      </c>
      <c r="CP35">
        <v>1</v>
      </c>
      <c r="CQ35">
        <v>2</v>
      </c>
      <c r="CR35">
        <v>3</v>
      </c>
      <c r="CS35">
        <v>2</v>
      </c>
      <c r="CT35">
        <v>2</v>
      </c>
      <c r="CU35">
        <v>2</v>
      </c>
      <c r="CV35">
        <v>2</v>
      </c>
      <c r="CW35">
        <v>3</v>
      </c>
      <c r="CX35">
        <v>1</v>
      </c>
      <c r="CY35">
        <v>1</v>
      </c>
      <c r="CZ35">
        <v>3</v>
      </c>
      <c r="DA35">
        <v>2</v>
      </c>
      <c r="DB35">
        <v>3</v>
      </c>
      <c r="DC35">
        <v>1</v>
      </c>
      <c r="DD35">
        <v>1</v>
      </c>
      <c r="DE35">
        <v>2</v>
      </c>
      <c r="DF35">
        <v>2</v>
      </c>
      <c r="DG35">
        <v>3</v>
      </c>
      <c r="DH35">
        <v>1</v>
      </c>
      <c r="DI35">
        <v>1</v>
      </c>
      <c r="DJ35">
        <v>2</v>
      </c>
      <c r="DK35">
        <v>1</v>
      </c>
      <c r="DL35">
        <v>1</v>
      </c>
      <c r="DM35">
        <v>2</v>
      </c>
      <c r="DN35">
        <v>3</v>
      </c>
      <c r="DO35">
        <v>1</v>
      </c>
      <c r="DP35">
        <v>3</v>
      </c>
      <c r="DQ35">
        <v>0</v>
      </c>
      <c r="DR35">
        <v>1</v>
      </c>
      <c r="DS35">
        <v>0</v>
      </c>
      <c r="DT35">
        <v>0</v>
      </c>
      <c r="DU35">
        <v>0</v>
      </c>
      <c r="DV35">
        <v>0</v>
      </c>
      <c r="DW35">
        <v>1</v>
      </c>
      <c r="DX35">
        <v>0</v>
      </c>
      <c r="DY35">
        <v>0</v>
      </c>
      <c r="DZ35">
        <v>0</v>
      </c>
      <c r="EA35">
        <v>0</v>
      </c>
      <c r="EB35">
        <v>0</v>
      </c>
      <c r="EC35">
        <v>2</v>
      </c>
      <c r="ED35">
        <v>1</v>
      </c>
      <c r="EE35">
        <v>0</v>
      </c>
      <c r="EF35">
        <v>0</v>
      </c>
      <c r="EG35">
        <v>0</v>
      </c>
      <c r="EH35">
        <v>0</v>
      </c>
      <c r="EI35">
        <v>0</v>
      </c>
      <c r="EJ35">
        <v>17588</v>
      </c>
    </row>
    <row r="36" spans="1:140">
      <c r="A36" t="s">
        <v>74</v>
      </c>
      <c r="B36">
        <v>9082016</v>
      </c>
      <c r="C36">
        <v>2</v>
      </c>
      <c r="D36">
        <v>1</v>
      </c>
      <c r="E36">
        <v>38</v>
      </c>
      <c r="F36">
        <v>140</v>
      </c>
      <c r="G36">
        <v>5</v>
      </c>
      <c r="H36">
        <v>5</v>
      </c>
      <c r="I36">
        <v>23.3</v>
      </c>
      <c r="J36">
        <v>12.56</v>
      </c>
      <c r="K36">
        <v>0.13800000000000001</v>
      </c>
      <c r="L36">
        <v>46.65</v>
      </c>
      <c r="M36">
        <v>8.19</v>
      </c>
      <c r="N36">
        <v>2</v>
      </c>
      <c r="O36">
        <v>3.5</v>
      </c>
      <c r="P36">
        <v>5.5</v>
      </c>
      <c r="Q36">
        <v>35.83</v>
      </c>
      <c r="R36">
        <v>41.54</v>
      </c>
      <c r="S36">
        <v>1026.23</v>
      </c>
      <c r="T36">
        <v>42</v>
      </c>
      <c r="U36">
        <v>47.71</v>
      </c>
      <c r="V36">
        <v>102.77</v>
      </c>
      <c r="W36">
        <v>16.52</v>
      </c>
      <c r="X36">
        <v>1</v>
      </c>
      <c r="Y36">
        <v>1</v>
      </c>
      <c r="Z36">
        <v>2</v>
      </c>
      <c r="AA36">
        <v>1</v>
      </c>
      <c r="AB36">
        <v>2</v>
      </c>
      <c r="AC36">
        <v>1</v>
      </c>
      <c r="AD36">
        <v>1</v>
      </c>
      <c r="AE36">
        <v>3</v>
      </c>
      <c r="AF36">
        <v>1</v>
      </c>
      <c r="AG36">
        <v>2</v>
      </c>
      <c r="AH36" t="s">
        <v>756</v>
      </c>
      <c r="AI36">
        <v>1</v>
      </c>
      <c r="AJ36">
        <v>1</v>
      </c>
      <c r="AK36">
        <v>1</v>
      </c>
      <c r="AL36">
        <v>2</v>
      </c>
      <c r="AM36">
        <v>3</v>
      </c>
      <c r="AN36">
        <v>2</v>
      </c>
      <c r="AO36">
        <v>6</v>
      </c>
      <c r="AP36">
        <v>2</v>
      </c>
      <c r="AQ36">
        <v>1</v>
      </c>
      <c r="AR36">
        <v>1</v>
      </c>
      <c r="AS36">
        <v>1</v>
      </c>
      <c r="AT36">
        <v>1</v>
      </c>
      <c r="AU36">
        <v>0</v>
      </c>
      <c r="AV36">
        <v>1</v>
      </c>
      <c r="AW36">
        <v>0</v>
      </c>
      <c r="AX36">
        <v>0</v>
      </c>
      <c r="AY36">
        <v>0</v>
      </c>
      <c r="AZ36">
        <v>1</v>
      </c>
      <c r="BA36">
        <v>1</v>
      </c>
      <c r="BB36">
        <v>3</v>
      </c>
      <c r="BC36">
        <v>1</v>
      </c>
      <c r="BD36">
        <v>1</v>
      </c>
      <c r="BE36">
        <v>2</v>
      </c>
      <c r="BF36">
        <v>1</v>
      </c>
      <c r="BG36">
        <v>3</v>
      </c>
      <c r="BH36">
        <v>1</v>
      </c>
      <c r="BI36">
        <v>1</v>
      </c>
      <c r="BJ36">
        <v>1</v>
      </c>
      <c r="BK36">
        <v>1</v>
      </c>
      <c r="BL36">
        <v>2</v>
      </c>
      <c r="BM36">
        <v>2</v>
      </c>
      <c r="BN36">
        <v>1</v>
      </c>
      <c r="BO36">
        <v>1</v>
      </c>
      <c r="BP36">
        <v>2</v>
      </c>
      <c r="BQ36">
        <v>2</v>
      </c>
      <c r="BR36">
        <v>1</v>
      </c>
      <c r="BS36">
        <v>2</v>
      </c>
      <c r="BT36">
        <v>1</v>
      </c>
      <c r="BU36">
        <v>1</v>
      </c>
      <c r="BV36">
        <v>2</v>
      </c>
      <c r="BW36">
        <v>1</v>
      </c>
      <c r="BX36">
        <v>6</v>
      </c>
      <c r="BY36">
        <v>3</v>
      </c>
      <c r="BZ36">
        <v>6</v>
      </c>
      <c r="CA36">
        <v>2</v>
      </c>
      <c r="CB36">
        <v>1</v>
      </c>
      <c r="CC36">
        <v>1</v>
      </c>
      <c r="CD36">
        <v>1</v>
      </c>
      <c r="CE36">
        <v>1</v>
      </c>
      <c r="CF36">
        <v>1</v>
      </c>
      <c r="CG36">
        <v>1</v>
      </c>
      <c r="CH36">
        <v>6</v>
      </c>
      <c r="CI36">
        <v>3</v>
      </c>
      <c r="CJ36">
        <v>1</v>
      </c>
      <c r="CK36">
        <v>2</v>
      </c>
      <c r="CL36">
        <v>4</v>
      </c>
      <c r="CM36">
        <v>1</v>
      </c>
      <c r="CN36">
        <v>1</v>
      </c>
      <c r="CO36">
        <v>1</v>
      </c>
      <c r="CP36">
        <v>1</v>
      </c>
      <c r="CQ36">
        <v>2</v>
      </c>
      <c r="CR36">
        <v>1</v>
      </c>
      <c r="CS36">
        <v>2</v>
      </c>
      <c r="CT36">
        <v>3</v>
      </c>
      <c r="CU36">
        <v>1</v>
      </c>
      <c r="CV36">
        <v>1</v>
      </c>
      <c r="CW36">
        <v>3</v>
      </c>
      <c r="CX36">
        <v>1</v>
      </c>
      <c r="CY36">
        <v>1</v>
      </c>
      <c r="CZ36">
        <v>1</v>
      </c>
      <c r="DA36">
        <v>1</v>
      </c>
      <c r="DB36">
        <v>3</v>
      </c>
      <c r="DC36">
        <v>1</v>
      </c>
      <c r="DD36">
        <v>1</v>
      </c>
      <c r="DE36">
        <v>1</v>
      </c>
      <c r="DF36">
        <v>1</v>
      </c>
      <c r="DG36">
        <v>3</v>
      </c>
      <c r="DH36">
        <v>1</v>
      </c>
      <c r="DI36">
        <v>1</v>
      </c>
      <c r="DJ36">
        <v>2</v>
      </c>
      <c r="DK36">
        <v>2</v>
      </c>
      <c r="DL36">
        <v>1</v>
      </c>
      <c r="DM36">
        <v>3</v>
      </c>
      <c r="DN36">
        <v>2</v>
      </c>
      <c r="DO36">
        <v>1</v>
      </c>
      <c r="DP36">
        <v>4</v>
      </c>
      <c r="DQ36">
        <v>0</v>
      </c>
      <c r="DR36">
        <v>0</v>
      </c>
      <c r="DS36">
        <v>0</v>
      </c>
      <c r="DT36">
        <v>0</v>
      </c>
      <c r="DU36">
        <v>0</v>
      </c>
      <c r="DV36">
        <v>0</v>
      </c>
      <c r="DW36">
        <v>1</v>
      </c>
      <c r="DX36">
        <v>1</v>
      </c>
      <c r="DY36">
        <v>0</v>
      </c>
      <c r="DZ36">
        <v>0</v>
      </c>
      <c r="EA36">
        <v>0</v>
      </c>
      <c r="EB36">
        <v>0</v>
      </c>
      <c r="EC36">
        <v>2</v>
      </c>
      <c r="ED36">
        <v>1</v>
      </c>
      <c r="EE36">
        <v>0</v>
      </c>
      <c r="EF36">
        <v>0</v>
      </c>
      <c r="EG36">
        <v>0</v>
      </c>
      <c r="EH36">
        <v>0</v>
      </c>
      <c r="EI36">
        <v>0</v>
      </c>
      <c r="EJ36">
        <v>17587</v>
      </c>
    </row>
    <row r="37" spans="1:140">
      <c r="A37" t="s">
        <v>76</v>
      </c>
      <c r="B37">
        <v>9222016</v>
      </c>
      <c r="C37">
        <v>2</v>
      </c>
      <c r="D37">
        <v>2</v>
      </c>
      <c r="E37">
        <v>26</v>
      </c>
      <c r="F37">
        <v>134</v>
      </c>
      <c r="G37">
        <v>5</v>
      </c>
      <c r="H37">
        <v>3</v>
      </c>
      <c r="I37">
        <v>23.74</v>
      </c>
      <c r="J37">
        <v>9.6199999999999992</v>
      </c>
      <c r="K37">
        <v>1.5</v>
      </c>
      <c r="L37">
        <v>47.01</v>
      </c>
      <c r="M37">
        <v>24.77</v>
      </c>
      <c r="N37">
        <v>0.875</v>
      </c>
      <c r="O37">
        <v>1.07</v>
      </c>
      <c r="P37">
        <v>1.95</v>
      </c>
      <c r="Q37">
        <v>72.63</v>
      </c>
      <c r="R37">
        <v>57.98</v>
      </c>
      <c r="S37">
        <v>943.28</v>
      </c>
      <c r="T37">
        <v>40.200000000000003</v>
      </c>
      <c r="U37">
        <v>28.97</v>
      </c>
      <c r="V37">
        <v>134.88</v>
      </c>
      <c r="W37">
        <v>9.6199999999999992</v>
      </c>
      <c r="X37">
        <v>3</v>
      </c>
      <c r="Y37">
        <v>1</v>
      </c>
      <c r="Z37">
        <v>3</v>
      </c>
      <c r="AA37">
        <v>4</v>
      </c>
      <c r="AB37">
        <v>1</v>
      </c>
      <c r="AC37">
        <v>1</v>
      </c>
      <c r="AD37">
        <v>1</v>
      </c>
      <c r="AE37">
        <v>3</v>
      </c>
      <c r="AF37">
        <v>1</v>
      </c>
      <c r="AG37">
        <v>2</v>
      </c>
      <c r="AH37">
        <v>1</v>
      </c>
      <c r="AI37">
        <v>1</v>
      </c>
      <c r="AJ37">
        <v>2</v>
      </c>
      <c r="AK37">
        <v>1</v>
      </c>
      <c r="AL37">
        <v>2</v>
      </c>
      <c r="AM37">
        <v>1</v>
      </c>
      <c r="AN37">
        <v>1</v>
      </c>
      <c r="AO37">
        <v>3</v>
      </c>
      <c r="AP37">
        <v>2</v>
      </c>
      <c r="AQ37">
        <v>6</v>
      </c>
      <c r="AR37">
        <v>2</v>
      </c>
      <c r="AS37">
        <v>3</v>
      </c>
      <c r="AT37">
        <v>2</v>
      </c>
      <c r="AU37">
        <v>0</v>
      </c>
      <c r="AV37">
        <v>1</v>
      </c>
      <c r="AW37">
        <v>1</v>
      </c>
      <c r="AX37">
        <v>0</v>
      </c>
      <c r="AY37">
        <v>0</v>
      </c>
      <c r="AZ37">
        <v>2</v>
      </c>
      <c r="BA37">
        <v>1</v>
      </c>
      <c r="BB37">
        <v>3</v>
      </c>
      <c r="BC37">
        <v>1</v>
      </c>
      <c r="BD37">
        <v>2</v>
      </c>
      <c r="BE37">
        <v>3</v>
      </c>
      <c r="BF37">
        <v>2</v>
      </c>
      <c r="BG37">
        <v>2</v>
      </c>
      <c r="BH37">
        <v>1</v>
      </c>
      <c r="BI37">
        <v>1</v>
      </c>
      <c r="BJ37">
        <v>1</v>
      </c>
      <c r="BK37">
        <v>2</v>
      </c>
      <c r="BL37">
        <v>3</v>
      </c>
      <c r="BM37">
        <v>1</v>
      </c>
      <c r="BN37">
        <v>1</v>
      </c>
      <c r="BO37">
        <v>2</v>
      </c>
      <c r="BP37">
        <v>1</v>
      </c>
      <c r="BQ37">
        <v>2</v>
      </c>
      <c r="BR37">
        <v>2</v>
      </c>
      <c r="BS37">
        <v>2</v>
      </c>
      <c r="BT37">
        <v>2</v>
      </c>
      <c r="BU37">
        <v>2</v>
      </c>
      <c r="BV37">
        <v>2</v>
      </c>
      <c r="BW37">
        <v>1</v>
      </c>
      <c r="BX37">
        <v>4</v>
      </c>
      <c r="BY37">
        <v>2</v>
      </c>
      <c r="BZ37">
        <v>4</v>
      </c>
      <c r="CA37">
        <v>1</v>
      </c>
      <c r="CB37">
        <v>2</v>
      </c>
      <c r="CC37">
        <v>1</v>
      </c>
      <c r="CD37">
        <v>2</v>
      </c>
      <c r="CE37">
        <v>1</v>
      </c>
      <c r="CF37">
        <v>2</v>
      </c>
      <c r="CG37">
        <v>2</v>
      </c>
      <c r="CH37">
        <v>3</v>
      </c>
      <c r="CI37">
        <v>2</v>
      </c>
      <c r="CJ37">
        <v>6</v>
      </c>
      <c r="CK37">
        <v>2</v>
      </c>
      <c r="CL37">
        <v>2</v>
      </c>
      <c r="CM37">
        <v>1</v>
      </c>
      <c r="CN37">
        <v>1</v>
      </c>
      <c r="CO37">
        <v>1</v>
      </c>
      <c r="CP37">
        <v>2</v>
      </c>
      <c r="CQ37">
        <v>3</v>
      </c>
      <c r="CR37">
        <v>2</v>
      </c>
      <c r="CS37">
        <v>2</v>
      </c>
      <c r="CT37">
        <v>3</v>
      </c>
      <c r="CU37">
        <v>1</v>
      </c>
      <c r="CV37">
        <v>1</v>
      </c>
      <c r="CW37">
        <v>3</v>
      </c>
      <c r="CX37">
        <v>1</v>
      </c>
      <c r="CY37">
        <v>1</v>
      </c>
      <c r="CZ37">
        <v>1</v>
      </c>
      <c r="DA37">
        <v>1</v>
      </c>
      <c r="DB37">
        <v>3</v>
      </c>
      <c r="DC37">
        <v>1</v>
      </c>
      <c r="DD37">
        <v>1</v>
      </c>
      <c r="DE37">
        <v>2</v>
      </c>
      <c r="DF37">
        <v>2</v>
      </c>
      <c r="DG37">
        <v>3</v>
      </c>
      <c r="DH37">
        <v>1</v>
      </c>
      <c r="DI37">
        <v>2</v>
      </c>
      <c r="DJ37">
        <v>2</v>
      </c>
      <c r="DK37">
        <v>3</v>
      </c>
      <c r="DL37">
        <v>1</v>
      </c>
      <c r="DM37">
        <v>1</v>
      </c>
      <c r="DN37">
        <v>1</v>
      </c>
      <c r="DO37">
        <v>1</v>
      </c>
      <c r="DP37">
        <v>1</v>
      </c>
      <c r="DQ37">
        <v>1</v>
      </c>
      <c r="DR37">
        <v>0</v>
      </c>
      <c r="DS37">
        <v>0</v>
      </c>
      <c r="DT37">
        <v>0</v>
      </c>
      <c r="DU37">
        <v>0</v>
      </c>
      <c r="DV37">
        <v>0</v>
      </c>
      <c r="DW37">
        <v>0</v>
      </c>
      <c r="DX37">
        <v>0</v>
      </c>
      <c r="DY37">
        <v>0</v>
      </c>
      <c r="DZ37">
        <v>0</v>
      </c>
      <c r="EA37">
        <v>0</v>
      </c>
      <c r="EB37">
        <v>0</v>
      </c>
      <c r="EC37">
        <v>2</v>
      </c>
      <c r="ED37">
        <v>1</v>
      </c>
      <c r="EE37">
        <v>0</v>
      </c>
      <c r="EF37">
        <v>0</v>
      </c>
      <c r="EG37">
        <v>0</v>
      </c>
      <c r="EH37">
        <v>0</v>
      </c>
      <c r="EI37">
        <v>0</v>
      </c>
      <c r="EJ37">
        <v>17586</v>
      </c>
    </row>
    <row r="38" spans="1:140">
      <c r="A38" t="s">
        <v>77</v>
      </c>
      <c r="B38">
        <v>10022016</v>
      </c>
      <c r="C38">
        <v>2</v>
      </c>
      <c r="D38">
        <v>1</v>
      </c>
      <c r="E38">
        <v>38</v>
      </c>
      <c r="F38">
        <v>105</v>
      </c>
      <c r="G38">
        <v>4</v>
      </c>
      <c r="H38">
        <v>10</v>
      </c>
      <c r="I38">
        <v>21.94</v>
      </c>
      <c r="J38">
        <v>8.49</v>
      </c>
      <c r="K38">
        <v>2.2000000000000002</v>
      </c>
      <c r="L38">
        <v>27.4</v>
      </c>
      <c r="M38">
        <v>11.56</v>
      </c>
      <c r="N38">
        <v>1.58</v>
      </c>
      <c r="O38">
        <v>0.35499999999999998</v>
      </c>
      <c r="P38">
        <v>1.94</v>
      </c>
      <c r="Q38">
        <v>37.49</v>
      </c>
      <c r="R38">
        <v>50.25</v>
      </c>
      <c r="S38">
        <v>637.61</v>
      </c>
      <c r="T38">
        <v>22.67</v>
      </c>
      <c r="U38">
        <v>26.12</v>
      </c>
      <c r="V38">
        <v>79.44</v>
      </c>
      <c r="W38">
        <v>4.84</v>
      </c>
      <c r="X38">
        <v>1</v>
      </c>
      <c r="Y38">
        <v>1</v>
      </c>
      <c r="Z38">
        <v>2</v>
      </c>
      <c r="AA38">
        <v>1</v>
      </c>
      <c r="AB38">
        <v>2</v>
      </c>
      <c r="AC38">
        <v>1</v>
      </c>
      <c r="AD38">
        <v>1</v>
      </c>
      <c r="AE38">
        <v>1</v>
      </c>
      <c r="AF38">
        <v>1</v>
      </c>
      <c r="AG38">
        <v>2</v>
      </c>
      <c r="AH38">
        <v>1</v>
      </c>
      <c r="AI38">
        <v>1</v>
      </c>
      <c r="AJ38">
        <v>2</v>
      </c>
      <c r="AK38">
        <v>1</v>
      </c>
      <c r="AL38">
        <v>1</v>
      </c>
      <c r="AM38">
        <v>1</v>
      </c>
      <c r="AN38">
        <v>1</v>
      </c>
      <c r="AO38">
        <v>1</v>
      </c>
      <c r="AP38">
        <v>2</v>
      </c>
      <c r="AQ38">
        <v>1</v>
      </c>
      <c r="AR38">
        <v>2</v>
      </c>
      <c r="AS38">
        <v>3</v>
      </c>
      <c r="AT38">
        <v>1</v>
      </c>
      <c r="AU38">
        <v>0</v>
      </c>
      <c r="AV38">
        <v>0</v>
      </c>
      <c r="AW38">
        <v>0</v>
      </c>
      <c r="AX38">
        <v>0</v>
      </c>
      <c r="AY38">
        <v>1</v>
      </c>
      <c r="AZ38">
        <v>1</v>
      </c>
      <c r="BA38">
        <v>1</v>
      </c>
      <c r="BB38">
        <v>4</v>
      </c>
      <c r="BC38">
        <v>1</v>
      </c>
      <c r="BD38">
        <v>1</v>
      </c>
      <c r="BE38">
        <v>2</v>
      </c>
      <c r="BF38">
        <v>2</v>
      </c>
      <c r="BG38">
        <v>2</v>
      </c>
      <c r="BH38">
        <v>1</v>
      </c>
      <c r="BI38">
        <v>1</v>
      </c>
      <c r="BJ38">
        <v>1</v>
      </c>
      <c r="BK38">
        <v>2</v>
      </c>
      <c r="BL38">
        <v>1</v>
      </c>
      <c r="BM38">
        <v>1</v>
      </c>
      <c r="BN38">
        <v>3</v>
      </c>
      <c r="BO38">
        <v>2</v>
      </c>
      <c r="BP38">
        <v>1</v>
      </c>
      <c r="BQ38">
        <v>2</v>
      </c>
      <c r="BR38">
        <v>2</v>
      </c>
      <c r="BS38">
        <v>3</v>
      </c>
      <c r="BT38">
        <v>2</v>
      </c>
      <c r="BU38">
        <v>1</v>
      </c>
      <c r="BV38">
        <v>3</v>
      </c>
      <c r="BW38">
        <v>1</v>
      </c>
      <c r="BX38">
        <v>3</v>
      </c>
      <c r="BY38">
        <v>1</v>
      </c>
      <c r="BZ38">
        <v>5</v>
      </c>
      <c r="CA38">
        <v>2</v>
      </c>
      <c r="CB38">
        <v>1</v>
      </c>
      <c r="CC38">
        <v>1</v>
      </c>
      <c r="CD38">
        <v>2</v>
      </c>
      <c r="CE38">
        <v>1</v>
      </c>
      <c r="CF38">
        <v>1</v>
      </c>
      <c r="CG38">
        <v>1</v>
      </c>
      <c r="CH38">
        <v>2</v>
      </c>
      <c r="CI38">
        <v>1</v>
      </c>
      <c r="CJ38">
        <v>2</v>
      </c>
      <c r="CK38">
        <v>1</v>
      </c>
      <c r="CL38">
        <v>1</v>
      </c>
      <c r="CM38">
        <v>1</v>
      </c>
      <c r="CN38">
        <v>1</v>
      </c>
      <c r="CO38">
        <v>3</v>
      </c>
      <c r="CP38">
        <v>2</v>
      </c>
      <c r="CQ38">
        <v>2</v>
      </c>
      <c r="CR38">
        <v>3</v>
      </c>
      <c r="CS38">
        <v>3</v>
      </c>
      <c r="CT38">
        <v>3</v>
      </c>
      <c r="CU38">
        <v>1</v>
      </c>
      <c r="CV38">
        <v>1</v>
      </c>
      <c r="CW38">
        <v>3</v>
      </c>
      <c r="CX38">
        <v>1</v>
      </c>
      <c r="CY38">
        <v>1</v>
      </c>
      <c r="CZ38">
        <v>1</v>
      </c>
      <c r="DA38">
        <v>1</v>
      </c>
      <c r="DB38">
        <v>3</v>
      </c>
      <c r="DC38">
        <v>1</v>
      </c>
      <c r="DD38">
        <v>1</v>
      </c>
      <c r="DE38">
        <v>1</v>
      </c>
      <c r="DF38">
        <v>2</v>
      </c>
      <c r="DG38">
        <v>3</v>
      </c>
      <c r="DH38">
        <v>4</v>
      </c>
      <c r="DI38">
        <v>2</v>
      </c>
      <c r="DJ38">
        <v>2</v>
      </c>
      <c r="DK38">
        <v>1</v>
      </c>
      <c r="DL38">
        <v>1</v>
      </c>
      <c r="DM38">
        <v>2</v>
      </c>
      <c r="DN38">
        <v>1</v>
      </c>
      <c r="DO38">
        <v>2</v>
      </c>
      <c r="DP38">
        <v>3</v>
      </c>
      <c r="DQ38">
        <v>0</v>
      </c>
      <c r="DR38">
        <v>0</v>
      </c>
      <c r="DS38">
        <v>0</v>
      </c>
      <c r="DT38">
        <v>0</v>
      </c>
      <c r="DU38">
        <v>0</v>
      </c>
      <c r="DV38">
        <v>0</v>
      </c>
      <c r="DW38">
        <v>0</v>
      </c>
      <c r="DX38">
        <v>1</v>
      </c>
      <c r="DY38">
        <v>0</v>
      </c>
      <c r="DZ38">
        <v>0</v>
      </c>
      <c r="EA38">
        <v>0</v>
      </c>
      <c r="EB38">
        <v>0</v>
      </c>
      <c r="EC38">
        <v>2</v>
      </c>
      <c r="ED38">
        <v>1</v>
      </c>
      <c r="EE38">
        <v>0</v>
      </c>
      <c r="EF38">
        <v>0</v>
      </c>
      <c r="EG38">
        <v>0</v>
      </c>
      <c r="EH38">
        <v>0</v>
      </c>
      <c r="EI38">
        <v>0</v>
      </c>
      <c r="EJ38">
        <v>17585</v>
      </c>
    </row>
    <row r="39" spans="1:140">
      <c r="A39" t="s">
        <v>78</v>
      </c>
      <c r="B39">
        <v>11072016</v>
      </c>
      <c r="C39">
        <v>2</v>
      </c>
      <c r="D39">
        <v>1</v>
      </c>
      <c r="E39">
        <v>32</v>
      </c>
      <c r="F39">
        <v>185</v>
      </c>
      <c r="G39">
        <v>5</v>
      </c>
      <c r="H39">
        <v>4</v>
      </c>
      <c r="I39">
        <v>31.75</v>
      </c>
      <c r="J39">
        <v>13.38</v>
      </c>
      <c r="K39">
        <v>1.82</v>
      </c>
      <c r="L39">
        <v>73.47</v>
      </c>
      <c r="M39">
        <v>53.61</v>
      </c>
      <c r="N39">
        <v>0.875</v>
      </c>
      <c r="O39">
        <v>0.64</v>
      </c>
      <c r="P39">
        <v>1.52</v>
      </c>
      <c r="Q39">
        <v>61.87</v>
      </c>
      <c r="R39">
        <v>50.76</v>
      </c>
      <c r="S39">
        <v>988.5</v>
      </c>
      <c r="T39">
        <v>42.55</v>
      </c>
      <c r="U39">
        <v>34.07</v>
      </c>
      <c r="V39">
        <v>129.44</v>
      </c>
      <c r="W39">
        <v>7.55</v>
      </c>
      <c r="X39">
        <v>3</v>
      </c>
      <c r="Y39">
        <v>1</v>
      </c>
      <c r="Z39">
        <v>4</v>
      </c>
      <c r="AA39">
        <v>4</v>
      </c>
      <c r="AB39">
        <v>1</v>
      </c>
      <c r="AC39">
        <v>1</v>
      </c>
      <c r="AD39">
        <v>1</v>
      </c>
      <c r="AE39">
        <v>1</v>
      </c>
      <c r="AF39">
        <v>1</v>
      </c>
      <c r="AG39">
        <v>2</v>
      </c>
      <c r="AH39">
        <v>1</v>
      </c>
      <c r="AI39">
        <v>1</v>
      </c>
      <c r="AJ39">
        <v>6</v>
      </c>
      <c r="AK39">
        <v>1</v>
      </c>
      <c r="AL39">
        <v>2</v>
      </c>
      <c r="AM39">
        <v>2</v>
      </c>
      <c r="AN39">
        <v>1</v>
      </c>
      <c r="AO39">
        <v>4</v>
      </c>
      <c r="AP39">
        <v>1</v>
      </c>
      <c r="AQ39">
        <v>3</v>
      </c>
      <c r="AR39">
        <v>1</v>
      </c>
      <c r="AS39">
        <v>1</v>
      </c>
      <c r="AT39">
        <v>1</v>
      </c>
      <c r="AU39">
        <v>0</v>
      </c>
      <c r="AV39">
        <v>1</v>
      </c>
      <c r="AW39">
        <v>0</v>
      </c>
      <c r="AX39">
        <v>0</v>
      </c>
      <c r="AY39">
        <v>0</v>
      </c>
      <c r="AZ39">
        <v>1</v>
      </c>
      <c r="BA39">
        <v>1</v>
      </c>
      <c r="BB39">
        <v>4</v>
      </c>
      <c r="BC39">
        <v>1</v>
      </c>
      <c r="BD39">
        <v>4</v>
      </c>
      <c r="BE39">
        <v>1</v>
      </c>
      <c r="BF39">
        <v>1</v>
      </c>
      <c r="BG39">
        <v>4</v>
      </c>
      <c r="BH39">
        <v>1</v>
      </c>
      <c r="BI39">
        <v>1</v>
      </c>
      <c r="BJ39">
        <v>1</v>
      </c>
      <c r="BK39">
        <v>1</v>
      </c>
      <c r="BL39">
        <v>2</v>
      </c>
      <c r="BM39">
        <v>1</v>
      </c>
      <c r="BN39">
        <v>3</v>
      </c>
      <c r="BO39">
        <v>1</v>
      </c>
      <c r="BP39">
        <v>2</v>
      </c>
      <c r="BQ39">
        <v>1</v>
      </c>
      <c r="BR39">
        <v>2</v>
      </c>
      <c r="BS39">
        <v>1</v>
      </c>
      <c r="BT39">
        <v>2</v>
      </c>
      <c r="BU39">
        <v>1</v>
      </c>
      <c r="BV39">
        <v>2</v>
      </c>
      <c r="BW39">
        <v>1</v>
      </c>
      <c r="BX39">
        <v>4</v>
      </c>
      <c r="BY39">
        <v>1</v>
      </c>
      <c r="BZ39">
        <v>4</v>
      </c>
      <c r="CA39">
        <v>1</v>
      </c>
      <c r="CB39">
        <v>3</v>
      </c>
      <c r="CC39">
        <v>1</v>
      </c>
      <c r="CD39">
        <v>1</v>
      </c>
      <c r="CE39">
        <v>1</v>
      </c>
      <c r="CF39">
        <v>2</v>
      </c>
      <c r="CG39">
        <v>1</v>
      </c>
      <c r="CH39">
        <v>4</v>
      </c>
      <c r="CI39">
        <v>1</v>
      </c>
      <c r="CJ39">
        <v>5</v>
      </c>
      <c r="CK39">
        <v>2</v>
      </c>
      <c r="CL39">
        <v>4</v>
      </c>
      <c r="CM39">
        <v>1</v>
      </c>
      <c r="CN39">
        <v>1</v>
      </c>
      <c r="CO39">
        <v>3</v>
      </c>
      <c r="CP39">
        <v>1</v>
      </c>
      <c r="CQ39">
        <v>2</v>
      </c>
      <c r="CR39">
        <v>1</v>
      </c>
      <c r="CS39">
        <v>1</v>
      </c>
      <c r="CT39">
        <v>2</v>
      </c>
      <c r="CU39">
        <v>3</v>
      </c>
      <c r="CV39">
        <v>1</v>
      </c>
      <c r="CW39">
        <v>3</v>
      </c>
      <c r="CX39">
        <v>1</v>
      </c>
      <c r="CY39">
        <v>1</v>
      </c>
      <c r="CZ39">
        <v>3</v>
      </c>
      <c r="DA39">
        <v>1</v>
      </c>
      <c r="DB39">
        <v>3</v>
      </c>
      <c r="DC39">
        <v>1</v>
      </c>
      <c r="DD39">
        <v>1</v>
      </c>
      <c r="DE39">
        <v>2</v>
      </c>
      <c r="DF39">
        <v>1</v>
      </c>
      <c r="DG39">
        <v>3</v>
      </c>
      <c r="DH39">
        <v>2</v>
      </c>
      <c r="DI39">
        <v>1</v>
      </c>
      <c r="DJ39">
        <v>2</v>
      </c>
      <c r="DK39">
        <v>1</v>
      </c>
      <c r="DL39">
        <v>1</v>
      </c>
      <c r="DM39">
        <v>2</v>
      </c>
      <c r="DN39">
        <v>2</v>
      </c>
      <c r="DO39">
        <v>1</v>
      </c>
      <c r="DP39">
        <v>1</v>
      </c>
      <c r="DQ39">
        <v>1</v>
      </c>
      <c r="DR39">
        <v>0</v>
      </c>
      <c r="DS39">
        <v>0</v>
      </c>
      <c r="DT39">
        <v>0</v>
      </c>
      <c r="DU39">
        <v>0</v>
      </c>
      <c r="DV39">
        <v>0</v>
      </c>
      <c r="DW39">
        <v>0</v>
      </c>
      <c r="DX39">
        <v>1</v>
      </c>
      <c r="DY39">
        <v>0</v>
      </c>
      <c r="DZ39">
        <v>0</v>
      </c>
      <c r="EA39">
        <v>0</v>
      </c>
      <c r="EB39">
        <v>0</v>
      </c>
      <c r="EC39">
        <v>1</v>
      </c>
      <c r="ED39">
        <v>1</v>
      </c>
      <c r="EE39">
        <v>0</v>
      </c>
      <c r="EF39">
        <v>0</v>
      </c>
      <c r="EG39">
        <v>0</v>
      </c>
      <c r="EH39">
        <v>0</v>
      </c>
      <c r="EI39">
        <v>0</v>
      </c>
      <c r="EJ39">
        <v>17584</v>
      </c>
    </row>
    <row r="40" spans="1:140">
      <c r="A40" t="s">
        <v>79</v>
      </c>
      <c r="B40">
        <v>4232017</v>
      </c>
      <c r="C40">
        <v>2</v>
      </c>
      <c r="D40">
        <v>1</v>
      </c>
      <c r="E40">
        <v>40</v>
      </c>
      <c r="F40">
        <v>155</v>
      </c>
      <c r="G40">
        <v>5</v>
      </c>
      <c r="H40">
        <v>4</v>
      </c>
      <c r="I40">
        <v>26.61</v>
      </c>
      <c r="J40">
        <v>11.41</v>
      </c>
      <c r="K40">
        <v>2.04</v>
      </c>
      <c r="L40">
        <v>22.68</v>
      </c>
      <c r="M40">
        <v>0.999</v>
      </c>
      <c r="N40">
        <v>0</v>
      </c>
      <c r="O40">
        <v>2.84</v>
      </c>
      <c r="P40">
        <v>2.84</v>
      </c>
      <c r="Q40">
        <v>27.87</v>
      </c>
      <c r="R40">
        <v>43.28</v>
      </c>
      <c r="S40">
        <v>788.13</v>
      </c>
      <c r="T40">
        <v>21.59</v>
      </c>
      <c r="U40">
        <v>47.13</v>
      </c>
      <c r="V40">
        <v>76.44</v>
      </c>
      <c r="W40">
        <v>12.05</v>
      </c>
      <c r="X40">
        <v>1</v>
      </c>
      <c r="Y40">
        <v>1</v>
      </c>
      <c r="Z40">
        <v>2</v>
      </c>
      <c r="AA40">
        <v>1</v>
      </c>
      <c r="AB40">
        <v>2</v>
      </c>
      <c r="AC40">
        <v>4</v>
      </c>
      <c r="AD40">
        <v>1</v>
      </c>
      <c r="AE40">
        <v>1</v>
      </c>
      <c r="AF40">
        <v>1</v>
      </c>
      <c r="AG40">
        <v>2</v>
      </c>
      <c r="AH40">
        <v>1</v>
      </c>
      <c r="AI40">
        <v>1</v>
      </c>
      <c r="AJ40">
        <v>1</v>
      </c>
      <c r="AK40">
        <v>1</v>
      </c>
      <c r="AL40">
        <v>2</v>
      </c>
      <c r="AM40">
        <v>1</v>
      </c>
      <c r="AN40">
        <v>1</v>
      </c>
      <c r="AO40">
        <v>4</v>
      </c>
      <c r="AP40">
        <v>1</v>
      </c>
      <c r="AQ40">
        <v>4</v>
      </c>
      <c r="AR40">
        <v>1</v>
      </c>
      <c r="AS40">
        <v>1</v>
      </c>
      <c r="AT40">
        <v>2</v>
      </c>
      <c r="AU40">
        <v>0</v>
      </c>
      <c r="AV40">
        <v>0</v>
      </c>
      <c r="AW40">
        <v>0</v>
      </c>
      <c r="AX40">
        <v>0</v>
      </c>
      <c r="AY40">
        <v>1</v>
      </c>
      <c r="AZ40">
        <v>1</v>
      </c>
      <c r="BA40">
        <v>1</v>
      </c>
      <c r="BB40">
        <v>1</v>
      </c>
      <c r="BC40">
        <v>1</v>
      </c>
      <c r="BD40">
        <v>1</v>
      </c>
      <c r="BE40">
        <v>2</v>
      </c>
      <c r="BF40">
        <v>2</v>
      </c>
      <c r="BG40">
        <v>1</v>
      </c>
      <c r="BH40">
        <v>1</v>
      </c>
      <c r="BI40">
        <v>1</v>
      </c>
      <c r="BJ40">
        <v>1</v>
      </c>
      <c r="BK40">
        <v>2</v>
      </c>
      <c r="BL40">
        <v>1</v>
      </c>
      <c r="BM40">
        <v>1</v>
      </c>
      <c r="BN40">
        <v>1</v>
      </c>
      <c r="BO40">
        <v>2</v>
      </c>
      <c r="BP40">
        <v>2</v>
      </c>
      <c r="BQ40">
        <v>2</v>
      </c>
      <c r="BR40">
        <v>2</v>
      </c>
      <c r="BS40">
        <v>2</v>
      </c>
      <c r="BT40">
        <v>2</v>
      </c>
      <c r="BU40">
        <v>1</v>
      </c>
      <c r="BV40">
        <v>2</v>
      </c>
      <c r="BW40">
        <v>1</v>
      </c>
      <c r="BX40">
        <v>5</v>
      </c>
      <c r="BY40">
        <v>1</v>
      </c>
      <c r="BZ40">
        <v>1</v>
      </c>
      <c r="CA40">
        <v>1</v>
      </c>
      <c r="CB40">
        <v>1</v>
      </c>
      <c r="CC40">
        <v>1</v>
      </c>
      <c r="CD40">
        <v>1</v>
      </c>
      <c r="CE40">
        <v>1</v>
      </c>
      <c r="CF40">
        <v>1</v>
      </c>
      <c r="CG40">
        <v>1</v>
      </c>
      <c r="CH40">
        <v>6</v>
      </c>
      <c r="CI40">
        <v>3</v>
      </c>
      <c r="CJ40">
        <v>1</v>
      </c>
      <c r="CK40">
        <v>2</v>
      </c>
      <c r="CL40">
        <v>5</v>
      </c>
      <c r="CM40">
        <v>1</v>
      </c>
      <c r="CN40">
        <v>1</v>
      </c>
      <c r="CO40">
        <v>3</v>
      </c>
      <c r="CP40">
        <v>2</v>
      </c>
      <c r="CQ40">
        <v>3</v>
      </c>
      <c r="CR40">
        <v>1</v>
      </c>
      <c r="CS40">
        <v>2</v>
      </c>
      <c r="CT40">
        <v>3</v>
      </c>
      <c r="CU40">
        <v>1</v>
      </c>
      <c r="CV40">
        <v>1</v>
      </c>
      <c r="CW40">
        <v>3</v>
      </c>
      <c r="CX40">
        <v>1</v>
      </c>
      <c r="CY40">
        <v>1</v>
      </c>
      <c r="CZ40">
        <v>1</v>
      </c>
      <c r="DA40">
        <v>1</v>
      </c>
      <c r="DB40">
        <v>3</v>
      </c>
      <c r="DC40">
        <v>1</v>
      </c>
      <c r="DD40">
        <v>1</v>
      </c>
      <c r="DE40">
        <v>1</v>
      </c>
      <c r="DF40">
        <v>2</v>
      </c>
      <c r="DG40">
        <v>3</v>
      </c>
      <c r="DH40">
        <v>1</v>
      </c>
      <c r="DI40">
        <v>2</v>
      </c>
      <c r="DJ40">
        <v>2</v>
      </c>
      <c r="DK40">
        <v>1</v>
      </c>
      <c r="DL40">
        <v>1</v>
      </c>
      <c r="DM40">
        <v>2</v>
      </c>
      <c r="DN40">
        <v>6</v>
      </c>
      <c r="DO40">
        <v>2</v>
      </c>
      <c r="DP40">
        <v>6</v>
      </c>
      <c r="DQ40">
        <v>0</v>
      </c>
      <c r="DR40">
        <v>0</v>
      </c>
      <c r="DS40">
        <v>0</v>
      </c>
      <c r="DT40">
        <v>0</v>
      </c>
      <c r="DU40">
        <v>0</v>
      </c>
      <c r="DV40">
        <v>0</v>
      </c>
      <c r="DW40">
        <v>0</v>
      </c>
      <c r="DX40">
        <v>0</v>
      </c>
      <c r="DY40">
        <v>0</v>
      </c>
      <c r="DZ40">
        <v>0</v>
      </c>
      <c r="EA40">
        <v>0</v>
      </c>
      <c r="EB40">
        <v>1</v>
      </c>
      <c r="EC40">
        <v>2</v>
      </c>
      <c r="ED40">
        <v>1</v>
      </c>
      <c r="EE40">
        <v>0</v>
      </c>
      <c r="EF40">
        <v>0</v>
      </c>
      <c r="EG40">
        <v>0</v>
      </c>
      <c r="EH40">
        <v>0</v>
      </c>
      <c r="EI40">
        <v>0</v>
      </c>
      <c r="EJ40">
        <v>17582</v>
      </c>
    </row>
    <row r="41" spans="1:140">
      <c r="A41" t="s">
        <v>80</v>
      </c>
      <c r="B41">
        <v>1082017</v>
      </c>
      <c r="C41">
        <v>2</v>
      </c>
      <c r="D41">
        <v>1</v>
      </c>
      <c r="E41">
        <v>41</v>
      </c>
      <c r="F41">
        <v>140</v>
      </c>
      <c r="G41">
        <v>6</v>
      </c>
      <c r="H41">
        <v>0</v>
      </c>
      <c r="I41">
        <v>18.989999999999998</v>
      </c>
      <c r="J41">
        <v>13.79</v>
      </c>
      <c r="K41">
        <v>4.5199999999999996</v>
      </c>
      <c r="L41">
        <v>58.64</v>
      </c>
      <c r="M41">
        <v>31.17</v>
      </c>
      <c r="N41">
        <v>1.29</v>
      </c>
      <c r="O41">
        <v>0.93</v>
      </c>
      <c r="P41">
        <v>2.2200000000000002</v>
      </c>
      <c r="Q41">
        <v>59.75</v>
      </c>
      <c r="R41">
        <v>47.75</v>
      </c>
      <c r="S41">
        <v>1008.28</v>
      </c>
      <c r="T41">
        <v>25.98</v>
      </c>
      <c r="U41">
        <v>43.38</v>
      </c>
      <c r="V41">
        <v>132.86000000000001</v>
      </c>
      <c r="W41">
        <v>7.72</v>
      </c>
      <c r="X41">
        <v>1</v>
      </c>
      <c r="Y41">
        <v>1</v>
      </c>
      <c r="Z41">
        <v>6</v>
      </c>
      <c r="AA41">
        <v>5</v>
      </c>
      <c r="AB41">
        <v>2</v>
      </c>
      <c r="AC41">
        <v>1</v>
      </c>
      <c r="AD41">
        <v>1</v>
      </c>
      <c r="AE41">
        <v>1</v>
      </c>
      <c r="AF41">
        <v>1</v>
      </c>
      <c r="AG41">
        <v>2</v>
      </c>
      <c r="AH41">
        <v>1</v>
      </c>
      <c r="AI41">
        <v>1</v>
      </c>
      <c r="AJ41">
        <v>1</v>
      </c>
      <c r="AK41">
        <v>1</v>
      </c>
      <c r="AL41">
        <v>2</v>
      </c>
      <c r="AM41">
        <v>1</v>
      </c>
      <c r="AN41">
        <v>1</v>
      </c>
      <c r="AO41">
        <v>3</v>
      </c>
      <c r="AP41">
        <v>2</v>
      </c>
      <c r="AQ41">
        <v>1</v>
      </c>
      <c r="AR41">
        <v>1</v>
      </c>
      <c r="AS41">
        <v>5</v>
      </c>
      <c r="AT41">
        <v>2</v>
      </c>
      <c r="AU41">
        <v>0</v>
      </c>
      <c r="AV41">
        <v>0</v>
      </c>
      <c r="AW41">
        <v>0</v>
      </c>
      <c r="AX41">
        <v>0</v>
      </c>
      <c r="AY41">
        <v>1</v>
      </c>
      <c r="AZ41">
        <v>5</v>
      </c>
      <c r="BA41">
        <v>1</v>
      </c>
      <c r="BB41">
        <v>1</v>
      </c>
      <c r="BC41">
        <v>1</v>
      </c>
      <c r="BD41">
        <v>1</v>
      </c>
      <c r="BE41">
        <v>2</v>
      </c>
      <c r="BF41">
        <v>1</v>
      </c>
      <c r="BG41">
        <v>1</v>
      </c>
      <c r="BH41">
        <v>1</v>
      </c>
      <c r="BI41">
        <v>1</v>
      </c>
      <c r="BJ41">
        <v>1</v>
      </c>
      <c r="BK41">
        <v>1</v>
      </c>
      <c r="BL41">
        <v>1</v>
      </c>
      <c r="BM41">
        <v>1</v>
      </c>
      <c r="BN41">
        <v>2</v>
      </c>
      <c r="BO41">
        <v>1</v>
      </c>
      <c r="BP41">
        <v>3</v>
      </c>
      <c r="BQ41">
        <v>1</v>
      </c>
      <c r="BR41">
        <v>1</v>
      </c>
      <c r="BS41">
        <v>2</v>
      </c>
      <c r="BT41">
        <v>3</v>
      </c>
      <c r="BU41">
        <v>1</v>
      </c>
      <c r="BV41">
        <v>4</v>
      </c>
      <c r="BW41">
        <v>1</v>
      </c>
      <c r="BX41">
        <v>5</v>
      </c>
      <c r="BY41">
        <v>1</v>
      </c>
      <c r="BZ41">
        <v>4</v>
      </c>
      <c r="CA41">
        <v>1</v>
      </c>
      <c r="CB41">
        <v>1</v>
      </c>
      <c r="CC41">
        <v>1</v>
      </c>
      <c r="CD41">
        <v>2</v>
      </c>
      <c r="CE41">
        <v>1</v>
      </c>
      <c r="CF41">
        <v>2</v>
      </c>
      <c r="CG41">
        <v>1</v>
      </c>
      <c r="CH41">
        <v>4</v>
      </c>
      <c r="CI41">
        <v>1</v>
      </c>
      <c r="CJ41">
        <v>1</v>
      </c>
      <c r="CK41">
        <v>1</v>
      </c>
      <c r="CL41">
        <v>4</v>
      </c>
      <c r="CM41">
        <v>1</v>
      </c>
      <c r="CN41">
        <v>1</v>
      </c>
      <c r="CO41">
        <v>3</v>
      </c>
      <c r="CP41">
        <v>2</v>
      </c>
      <c r="CQ41">
        <v>2</v>
      </c>
      <c r="CR41">
        <v>1</v>
      </c>
      <c r="CS41">
        <v>2</v>
      </c>
      <c r="CT41">
        <v>2</v>
      </c>
      <c r="CU41">
        <v>1</v>
      </c>
      <c r="CV41">
        <v>1</v>
      </c>
      <c r="CW41">
        <v>3</v>
      </c>
      <c r="CX41">
        <v>1</v>
      </c>
      <c r="CY41">
        <v>1</v>
      </c>
      <c r="CZ41">
        <v>4</v>
      </c>
      <c r="DA41">
        <v>3</v>
      </c>
      <c r="DB41">
        <v>3</v>
      </c>
      <c r="DC41">
        <v>1</v>
      </c>
      <c r="DD41">
        <v>1</v>
      </c>
      <c r="DE41">
        <v>3</v>
      </c>
      <c r="DF41">
        <v>2</v>
      </c>
      <c r="DG41">
        <v>3</v>
      </c>
      <c r="DH41">
        <v>1</v>
      </c>
      <c r="DI41">
        <v>2</v>
      </c>
      <c r="DJ41">
        <v>2</v>
      </c>
      <c r="DK41">
        <v>1</v>
      </c>
      <c r="DL41">
        <v>1</v>
      </c>
      <c r="DM41">
        <v>2</v>
      </c>
      <c r="DN41">
        <v>5</v>
      </c>
      <c r="DO41">
        <v>2</v>
      </c>
      <c r="DP41">
        <v>5</v>
      </c>
      <c r="DQ41">
        <v>0</v>
      </c>
      <c r="DR41">
        <v>1</v>
      </c>
      <c r="DS41">
        <v>0</v>
      </c>
      <c r="DT41">
        <v>0</v>
      </c>
      <c r="DU41">
        <v>0</v>
      </c>
      <c r="DV41">
        <v>0</v>
      </c>
      <c r="DW41">
        <v>0</v>
      </c>
      <c r="DX41">
        <v>1</v>
      </c>
      <c r="DY41">
        <v>0</v>
      </c>
      <c r="DZ41">
        <v>0</v>
      </c>
      <c r="EA41">
        <v>0</v>
      </c>
      <c r="EB41">
        <v>0</v>
      </c>
      <c r="EC41">
        <v>1</v>
      </c>
      <c r="ED41">
        <v>1</v>
      </c>
      <c r="EE41">
        <v>0</v>
      </c>
      <c r="EF41">
        <v>0</v>
      </c>
      <c r="EG41">
        <v>0</v>
      </c>
      <c r="EH41">
        <v>0</v>
      </c>
      <c r="EI41">
        <v>0</v>
      </c>
      <c r="EJ41">
        <v>17583</v>
      </c>
    </row>
    <row r="42" spans="1:140">
      <c r="A42" t="s">
        <v>81</v>
      </c>
      <c r="B42">
        <v>12212016</v>
      </c>
      <c r="C42">
        <v>2</v>
      </c>
      <c r="D42">
        <v>1</v>
      </c>
      <c r="E42">
        <v>31</v>
      </c>
      <c r="F42">
        <v>170</v>
      </c>
      <c r="G42">
        <v>5</v>
      </c>
      <c r="H42">
        <v>6</v>
      </c>
      <c r="I42">
        <v>27.44</v>
      </c>
      <c r="J42">
        <v>25.77</v>
      </c>
      <c r="K42">
        <v>3.59</v>
      </c>
      <c r="L42">
        <v>36.67</v>
      </c>
      <c r="M42">
        <v>28.8</v>
      </c>
      <c r="N42">
        <v>0.5</v>
      </c>
      <c r="O42">
        <v>0.375</v>
      </c>
      <c r="P42">
        <v>0.875</v>
      </c>
      <c r="Q42">
        <v>75.72</v>
      </c>
      <c r="R42">
        <v>58.16</v>
      </c>
      <c r="S42">
        <v>1528.08</v>
      </c>
      <c r="T42">
        <v>75.92</v>
      </c>
      <c r="U42">
        <v>72.22</v>
      </c>
      <c r="V42">
        <v>141.13999999999999</v>
      </c>
      <c r="W42">
        <v>10.96</v>
      </c>
      <c r="X42">
        <v>1</v>
      </c>
      <c r="Y42">
        <v>1</v>
      </c>
      <c r="Z42">
        <v>2</v>
      </c>
      <c r="AA42">
        <v>1</v>
      </c>
      <c r="AB42">
        <v>2</v>
      </c>
      <c r="AC42">
        <v>1</v>
      </c>
      <c r="AD42">
        <v>1</v>
      </c>
      <c r="AE42">
        <v>1</v>
      </c>
      <c r="AF42">
        <v>1</v>
      </c>
      <c r="AG42">
        <v>2</v>
      </c>
      <c r="AH42">
        <v>1</v>
      </c>
      <c r="AI42">
        <v>1</v>
      </c>
      <c r="AJ42">
        <v>4</v>
      </c>
      <c r="AK42">
        <v>2</v>
      </c>
      <c r="AL42">
        <v>1</v>
      </c>
      <c r="AM42">
        <v>2</v>
      </c>
      <c r="AN42">
        <v>1</v>
      </c>
      <c r="AO42">
        <v>3</v>
      </c>
      <c r="AP42">
        <v>2</v>
      </c>
      <c r="AQ42">
        <v>3</v>
      </c>
      <c r="AR42">
        <v>2</v>
      </c>
      <c r="AS42">
        <v>1</v>
      </c>
      <c r="AT42">
        <v>2</v>
      </c>
      <c r="AU42">
        <v>0</v>
      </c>
      <c r="AV42">
        <v>0</v>
      </c>
      <c r="AW42">
        <v>1</v>
      </c>
      <c r="AX42">
        <v>0</v>
      </c>
      <c r="AY42">
        <v>0</v>
      </c>
      <c r="AZ42">
        <v>5</v>
      </c>
      <c r="BA42">
        <v>1</v>
      </c>
      <c r="BB42">
        <v>6</v>
      </c>
      <c r="BC42">
        <v>2</v>
      </c>
      <c r="BD42">
        <v>3</v>
      </c>
      <c r="BE42">
        <v>2</v>
      </c>
      <c r="BF42">
        <v>1</v>
      </c>
      <c r="BG42">
        <v>1</v>
      </c>
      <c r="BH42">
        <v>1</v>
      </c>
      <c r="BI42">
        <v>1</v>
      </c>
      <c r="BJ42">
        <v>1</v>
      </c>
      <c r="BK42">
        <v>2</v>
      </c>
      <c r="BL42">
        <v>3</v>
      </c>
      <c r="BM42">
        <v>2</v>
      </c>
      <c r="BN42">
        <v>4</v>
      </c>
      <c r="BO42">
        <v>3</v>
      </c>
      <c r="BP42">
        <v>1</v>
      </c>
      <c r="BQ42">
        <v>2</v>
      </c>
      <c r="BR42">
        <v>2</v>
      </c>
      <c r="BS42">
        <v>3</v>
      </c>
      <c r="BT42">
        <v>4</v>
      </c>
      <c r="BU42">
        <v>2</v>
      </c>
      <c r="BV42">
        <v>4</v>
      </c>
      <c r="BW42">
        <v>1</v>
      </c>
      <c r="BX42">
        <v>1</v>
      </c>
      <c r="BY42">
        <v>1</v>
      </c>
      <c r="BZ42">
        <v>4</v>
      </c>
      <c r="CA42">
        <v>1</v>
      </c>
      <c r="CB42">
        <v>4</v>
      </c>
      <c r="CC42">
        <v>3</v>
      </c>
      <c r="CD42">
        <v>1</v>
      </c>
      <c r="CE42">
        <v>1</v>
      </c>
      <c r="CF42">
        <v>1</v>
      </c>
      <c r="CG42">
        <v>1</v>
      </c>
      <c r="CH42">
        <v>1</v>
      </c>
      <c r="CI42">
        <v>1</v>
      </c>
      <c r="CJ42">
        <v>6</v>
      </c>
      <c r="CK42">
        <v>2</v>
      </c>
      <c r="CL42">
        <v>4</v>
      </c>
      <c r="CM42">
        <v>1</v>
      </c>
      <c r="CN42">
        <v>1</v>
      </c>
      <c r="CO42">
        <v>1</v>
      </c>
      <c r="CP42">
        <v>2</v>
      </c>
      <c r="CQ42">
        <v>2</v>
      </c>
      <c r="CR42">
        <v>3</v>
      </c>
      <c r="CS42">
        <v>2</v>
      </c>
      <c r="CT42">
        <v>2</v>
      </c>
      <c r="CU42">
        <v>3</v>
      </c>
      <c r="CV42">
        <v>2</v>
      </c>
      <c r="CW42">
        <v>4</v>
      </c>
      <c r="CX42" t="s">
        <v>756</v>
      </c>
      <c r="CY42">
        <v>1</v>
      </c>
      <c r="CZ42">
        <v>1</v>
      </c>
      <c r="DA42">
        <v>1</v>
      </c>
      <c r="DB42">
        <v>3</v>
      </c>
      <c r="DC42">
        <v>1</v>
      </c>
      <c r="DD42">
        <v>1</v>
      </c>
      <c r="DE42">
        <v>4</v>
      </c>
      <c r="DF42">
        <v>2</v>
      </c>
      <c r="DG42">
        <v>3</v>
      </c>
      <c r="DH42">
        <v>1</v>
      </c>
      <c r="DI42">
        <v>2</v>
      </c>
      <c r="DJ42">
        <v>2</v>
      </c>
      <c r="DK42">
        <v>4</v>
      </c>
      <c r="DL42">
        <v>1</v>
      </c>
      <c r="DM42">
        <v>2</v>
      </c>
      <c r="DN42">
        <v>1</v>
      </c>
      <c r="DO42">
        <v>1</v>
      </c>
      <c r="DP42">
        <v>1</v>
      </c>
      <c r="DQ42">
        <v>0</v>
      </c>
      <c r="DR42">
        <v>0</v>
      </c>
      <c r="DS42">
        <v>0</v>
      </c>
      <c r="DT42">
        <v>0</v>
      </c>
      <c r="DU42">
        <v>0</v>
      </c>
      <c r="DV42">
        <v>0</v>
      </c>
      <c r="DW42">
        <v>0</v>
      </c>
      <c r="DX42">
        <v>0</v>
      </c>
      <c r="DY42">
        <v>0</v>
      </c>
      <c r="DZ42">
        <v>0</v>
      </c>
      <c r="EA42">
        <v>0</v>
      </c>
      <c r="EB42">
        <v>1</v>
      </c>
      <c r="EC42">
        <v>2</v>
      </c>
      <c r="ED42">
        <v>1</v>
      </c>
      <c r="EE42">
        <v>0</v>
      </c>
      <c r="EF42">
        <v>0</v>
      </c>
      <c r="EG42">
        <v>0</v>
      </c>
      <c r="EH42">
        <v>0</v>
      </c>
      <c r="EI42">
        <v>0</v>
      </c>
      <c r="EJ42">
        <v>17580</v>
      </c>
    </row>
    <row r="43" spans="1:140">
      <c r="A43" t="s">
        <v>82</v>
      </c>
      <c r="B43">
        <v>2192017</v>
      </c>
      <c r="C43">
        <v>2</v>
      </c>
      <c r="D43" s="20">
        <v>2</v>
      </c>
      <c r="E43">
        <v>33</v>
      </c>
      <c r="F43">
        <v>187</v>
      </c>
      <c r="G43">
        <v>5</v>
      </c>
      <c r="H43">
        <v>9</v>
      </c>
      <c r="I43">
        <v>27.61</v>
      </c>
      <c r="J43">
        <v>13.44</v>
      </c>
      <c r="K43">
        <v>1</v>
      </c>
      <c r="L43">
        <v>41.57</v>
      </c>
      <c r="M43">
        <v>7.13</v>
      </c>
      <c r="N43">
        <v>0.28999999999999998</v>
      </c>
      <c r="O43">
        <v>0.93500000000000005</v>
      </c>
      <c r="P43">
        <v>1.23</v>
      </c>
      <c r="Q43">
        <v>45.2</v>
      </c>
      <c r="R43">
        <v>49.75</v>
      </c>
      <c r="S43">
        <v>845.25</v>
      </c>
      <c r="T43">
        <v>43.36</v>
      </c>
      <c r="U43">
        <v>32.450000000000003</v>
      </c>
      <c r="V43">
        <v>97.77</v>
      </c>
      <c r="W43">
        <v>6.91</v>
      </c>
      <c r="X43">
        <v>6</v>
      </c>
      <c r="Y43">
        <v>2</v>
      </c>
      <c r="Z43">
        <v>3</v>
      </c>
      <c r="AA43">
        <v>1</v>
      </c>
      <c r="AB43">
        <v>2</v>
      </c>
      <c r="AC43">
        <v>1</v>
      </c>
      <c r="AD43">
        <v>1</v>
      </c>
      <c r="AE43">
        <v>1</v>
      </c>
      <c r="AF43">
        <v>1</v>
      </c>
      <c r="AG43">
        <v>2</v>
      </c>
      <c r="AH43">
        <v>1</v>
      </c>
      <c r="AI43">
        <v>1</v>
      </c>
      <c r="AJ43">
        <v>1</v>
      </c>
      <c r="AK43">
        <v>1</v>
      </c>
      <c r="AL43">
        <v>2</v>
      </c>
      <c r="AM43">
        <v>1</v>
      </c>
      <c r="AN43">
        <v>1</v>
      </c>
      <c r="AO43">
        <v>2</v>
      </c>
      <c r="AP43">
        <v>2</v>
      </c>
      <c r="AQ43">
        <v>3</v>
      </c>
      <c r="AR43">
        <v>2</v>
      </c>
      <c r="AS43">
        <v>4</v>
      </c>
      <c r="AT43">
        <v>1</v>
      </c>
      <c r="AU43">
        <v>0</v>
      </c>
      <c r="AV43">
        <v>1</v>
      </c>
      <c r="AW43">
        <v>0</v>
      </c>
      <c r="AX43">
        <v>0</v>
      </c>
      <c r="AY43">
        <v>0</v>
      </c>
      <c r="AZ43">
        <v>1</v>
      </c>
      <c r="BA43">
        <v>1</v>
      </c>
      <c r="BB43">
        <v>4</v>
      </c>
      <c r="BC43">
        <v>2</v>
      </c>
      <c r="BD43">
        <v>2</v>
      </c>
      <c r="BE43">
        <v>2</v>
      </c>
      <c r="BF43">
        <v>1</v>
      </c>
      <c r="BG43">
        <v>1</v>
      </c>
      <c r="BH43">
        <v>1</v>
      </c>
      <c r="BI43">
        <v>1</v>
      </c>
      <c r="BJ43">
        <v>1</v>
      </c>
      <c r="BK43">
        <v>2</v>
      </c>
      <c r="BL43">
        <v>2</v>
      </c>
      <c r="BM43">
        <v>1</v>
      </c>
      <c r="BN43">
        <v>1</v>
      </c>
      <c r="BO43">
        <v>2</v>
      </c>
      <c r="BP43">
        <v>2</v>
      </c>
      <c r="BQ43">
        <v>2</v>
      </c>
      <c r="BR43">
        <v>1</v>
      </c>
      <c r="BS43">
        <v>2</v>
      </c>
      <c r="BT43">
        <v>3</v>
      </c>
      <c r="BU43">
        <v>1</v>
      </c>
      <c r="BV43">
        <v>4</v>
      </c>
      <c r="BW43">
        <v>1</v>
      </c>
      <c r="BX43">
        <v>1</v>
      </c>
      <c r="BY43">
        <v>1</v>
      </c>
      <c r="BZ43">
        <v>3</v>
      </c>
      <c r="CA43">
        <v>1</v>
      </c>
      <c r="CB43">
        <v>1</v>
      </c>
      <c r="CC43">
        <v>1</v>
      </c>
      <c r="CD43">
        <v>3</v>
      </c>
      <c r="CE43">
        <v>2</v>
      </c>
      <c r="CF43">
        <v>1</v>
      </c>
      <c r="CG43">
        <v>1</v>
      </c>
      <c r="CH43">
        <v>4</v>
      </c>
      <c r="CI43">
        <v>2</v>
      </c>
      <c r="CJ43">
        <v>3</v>
      </c>
      <c r="CK43">
        <v>1</v>
      </c>
      <c r="CL43">
        <v>4</v>
      </c>
      <c r="CM43">
        <v>2</v>
      </c>
      <c r="CN43">
        <v>1</v>
      </c>
      <c r="CO43">
        <v>1</v>
      </c>
      <c r="CP43">
        <v>2</v>
      </c>
      <c r="CQ43">
        <v>2</v>
      </c>
      <c r="CR43">
        <v>2</v>
      </c>
      <c r="CS43">
        <v>2</v>
      </c>
      <c r="CT43">
        <v>3</v>
      </c>
      <c r="CU43">
        <v>2</v>
      </c>
      <c r="CV43">
        <v>1</v>
      </c>
      <c r="CW43">
        <v>3</v>
      </c>
      <c r="CX43">
        <v>1</v>
      </c>
      <c r="CY43">
        <v>1</v>
      </c>
      <c r="CZ43">
        <v>1</v>
      </c>
      <c r="DA43">
        <v>1</v>
      </c>
      <c r="DB43">
        <v>3</v>
      </c>
      <c r="DC43">
        <v>1</v>
      </c>
      <c r="DD43">
        <v>1</v>
      </c>
      <c r="DE43">
        <v>2</v>
      </c>
      <c r="DF43">
        <v>2</v>
      </c>
      <c r="DG43">
        <v>3</v>
      </c>
      <c r="DH43">
        <v>1</v>
      </c>
      <c r="DI43">
        <v>2</v>
      </c>
      <c r="DJ43">
        <v>2</v>
      </c>
      <c r="DK43">
        <v>1</v>
      </c>
      <c r="DL43">
        <v>1</v>
      </c>
      <c r="DM43">
        <v>2</v>
      </c>
      <c r="DN43">
        <v>2</v>
      </c>
      <c r="DO43">
        <v>1</v>
      </c>
      <c r="DP43">
        <v>2</v>
      </c>
      <c r="DQ43">
        <v>0</v>
      </c>
      <c r="DR43">
        <v>1</v>
      </c>
      <c r="DS43">
        <v>0</v>
      </c>
      <c r="DT43">
        <v>0</v>
      </c>
      <c r="DU43">
        <v>0</v>
      </c>
      <c r="DV43">
        <v>0</v>
      </c>
      <c r="DW43">
        <v>0</v>
      </c>
      <c r="DX43">
        <v>1</v>
      </c>
      <c r="DY43">
        <v>0</v>
      </c>
      <c r="DZ43">
        <v>0</v>
      </c>
      <c r="EA43">
        <v>0</v>
      </c>
      <c r="EB43">
        <v>0</v>
      </c>
      <c r="EC43">
        <v>2</v>
      </c>
      <c r="ED43">
        <v>1</v>
      </c>
      <c r="EE43">
        <v>0</v>
      </c>
      <c r="EF43">
        <v>0</v>
      </c>
      <c r="EG43">
        <v>0</v>
      </c>
      <c r="EH43">
        <v>0</v>
      </c>
      <c r="EI43">
        <v>0</v>
      </c>
      <c r="EJ43">
        <v>17579</v>
      </c>
    </row>
    <row r="44" spans="1:140">
      <c r="A44" t="s">
        <v>83</v>
      </c>
      <c r="B44">
        <v>1112017</v>
      </c>
      <c r="C44">
        <v>2</v>
      </c>
      <c r="D44">
        <v>1</v>
      </c>
      <c r="E44">
        <v>28</v>
      </c>
      <c r="F44">
        <v>140</v>
      </c>
      <c r="G44">
        <v>5</v>
      </c>
      <c r="H44">
        <v>7</v>
      </c>
      <c r="I44">
        <v>21.93</v>
      </c>
      <c r="J44">
        <v>21.84</v>
      </c>
      <c r="K44">
        <v>5.83</v>
      </c>
      <c r="L44">
        <v>88.31</v>
      </c>
      <c r="M44">
        <v>54.62</v>
      </c>
      <c r="N44">
        <v>1.79</v>
      </c>
      <c r="O44">
        <v>0.96</v>
      </c>
      <c r="P44">
        <v>2.75</v>
      </c>
      <c r="Q44">
        <v>98.95</v>
      </c>
      <c r="R44">
        <v>51.17</v>
      </c>
      <c r="S44">
        <v>1542.08</v>
      </c>
      <c r="T44">
        <v>48.35</v>
      </c>
      <c r="U44">
        <v>61.55</v>
      </c>
      <c r="V44">
        <v>204.49</v>
      </c>
      <c r="W44">
        <v>11.12</v>
      </c>
      <c r="X44">
        <v>1</v>
      </c>
      <c r="Y44">
        <v>1</v>
      </c>
      <c r="Z44">
        <v>5</v>
      </c>
      <c r="AA44">
        <v>5</v>
      </c>
      <c r="AB44">
        <v>2</v>
      </c>
      <c r="AC44">
        <v>1</v>
      </c>
      <c r="AD44">
        <v>1</v>
      </c>
      <c r="AE44">
        <v>1</v>
      </c>
      <c r="AF44">
        <v>1</v>
      </c>
      <c r="AG44">
        <v>2</v>
      </c>
      <c r="AH44">
        <v>2</v>
      </c>
      <c r="AI44">
        <v>1</v>
      </c>
      <c r="AJ44">
        <v>3</v>
      </c>
      <c r="AK44">
        <v>1</v>
      </c>
      <c r="AL44">
        <v>2</v>
      </c>
      <c r="AM44">
        <v>1</v>
      </c>
      <c r="AN44">
        <v>1</v>
      </c>
      <c r="AO44">
        <v>3</v>
      </c>
      <c r="AP44">
        <v>1</v>
      </c>
      <c r="AQ44">
        <v>5</v>
      </c>
      <c r="AR44">
        <v>2</v>
      </c>
      <c r="AS44">
        <v>2</v>
      </c>
      <c r="AT44">
        <v>1</v>
      </c>
      <c r="AU44">
        <v>0</v>
      </c>
      <c r="AV44">
        <v>0</v>
      </c>
      <c r="AW44">
        <v>1</v>
      </c>
      <c r="AX44">
        <v>0</v>
      </c>
      <c r="AY44">
        <v>0</v>
      </c>
      <c r="AZ44">
        <v>1</v>
      </c>
      <c r="BA44">
        <v>1</v>
      </c>
      <c r="BB44">
        <v>4</v>
      </c>
      <c r="BC44">
        <v>1</v>
      </c>
      <c r="BD44">
        <v>4</v>
      </c>
      <c r="BE44">
        <v>2</v>
      </c>
      <c r="BF44">
        <v>2</v>
      </c>
      <c r="BG44">
        <v>2</v>
      </c>
      <c r="BH44">
        <v>1</v>
      </c>
      <c r="BI44">
        <v>2</v>
      </c>
      <c r="BJ44">
        <v>1</v>
      </c>
      <c r="BK44">
        <v>2</v>
      </c>
      <c r="BL44">
        <v>3</v>
      </c>
      <c r="BM44">
        <v>1</v>
      </c>
      <c r="BN44">
        <v>2</v>
      </c>
      <c r="BO44">
        <v>1</v>
      </c>
      <c r="BP44">
        <v>1</v>
      </c>
      <c r="BQ44">
        <v>2</v>
      </c>
      <c r="BR44">
        <v>3</v>
      </c>
      <c r="BS44">
        <v>2</v>
      </c>
      <c r="BT44">
        <v>2</v>
      </c>
      <c r="BU44">
        <v>1</v>
      </c>
      <c r="BV44">
        <v>3</v>
      </c>
      <c r="BW44">
        <v>1</v>
      </c>
      <c r="BX44">
        <v>3</v>
      </c>
      <c r="BY44">
        <v>1</v>
      </c>
      <c r="BZ44">
        <v>4</v>
      </c>
      <c r="CA44">
        <v>2</v>
      </c>
      <c r="CB44">
        <v>3</v>
      </c>
      <c r="CC44">
        <v>1</v>
      </c>
      <c r="CD44">
        <v>2</v>
      </c>
      <c r="CE44">
        <v>2</v>
      </c>
      <c r="CF44">
        <v>2</v>
      </c>
      <c r="CG44">
        <v>2</v>
      </c>
      <c r="CH44">
        <v>4</v>
      </c>
      <c r="CI44">
        <v>2</v>
      </c>
      <c r="CJ44">
        <v>5</v>
      </c>
      <c r="CK44">
        <v>2</v>
      </c>
      <c r="CL44">
        <v>2</v>
      </c>
      <c r="CM44">
        <v>1</v>
      </c>
      <c r="CN44">
        <v>1</v>
      </c>
      <c r="CO44">
        <v>5</v>
      </c>
      <c r="CP44">
        <v>2</v>
      </c>
      <c r="CQ44">
        <v>2</v>
      </c>
      <c r="CR44">
        <v>3</v>
      </c>
      <c r="CS44">
        <v>2</v>
      </c>
      <c r="CT44">
        <v>3</v>
      </c>
      <c r="CU44">
        <v>1</v>
      </c>
      <c r="CV44">
        <v>1</v>
      </c>
      <c r="CW44">
        <v>3</v>
      </c>
      <c r="CX44">
        <v>2</v>
      </c>
      <c r="CY44">
        <v>1</v>
      </c>
      <c r="CZ44">
        <v>3</v>
      </c>
      <c r="DA44">
        <v>2</v>
      </c>
      <c r="DB44">
        <v>3</v>
      </c>
      <c r="DC44">
        <v>1</v>
      </c>
      <c r="DD44">
        <v>1</v>
      </c>
      <c r="DE44">
        <v>5</v>
      </c>
      <c r="DF44">
        <v>2</v>
      </c>
      <c r="DG44">
        <v>3</v>
      </c>
      <c r="DH44">
        <v>3</v>
      </c>
      <c r="DI44">
        <v>2</v>
      </c>
      <c r="DJ44">
        <v>2</v>
      </c>
      <c r="DK44">
        <v>5</v>
      </c>
      <c r="DL44">
        <v>1</v>
      </c>
      <c r="DM44">
        <v>4</v>
      </c>
      <c r="DN44">
        <v>5</v>
      </c>
      <c r="DO44">
        <v>1</v>
      </c>
      <c r="DP44">
        <v>1</v>
      </c>
      <c r="DQ44">
        <v>0</v>
      </c>
      <c r="DR44">
        <v>0</v>
      </c>
      <c r="DS44">
        <v>1</v>
      </c>
      <c r="DT44">
        <v>0</v>
      </c>
      <c r="DU44">
        <v>0</v>
      </c>
      <c r="DV44">
        <v>0</v>
      </c>
      <c r="DW44">
        <v>0</v>
      </c>
      <c r="DX44">
        <v>0</v>
      </c>
      <c r="DY44">
        <v>0</v>
      </c>
      <c r="DZ44">
        <v>0</v>
      </c>
      <c r="EA44">
        <v>0</v>
      </c>
      <c r="EB44">
        <v>0</v>
      </c>
      <c r="EC44">
        <v>1</v>
      </c>
      <c r="ED44">
        <v>1</v>
      </c>
      <c r="EE44">
        <v>0</v>
      </c>
      <c r="EF44">
        <v>0</v>
      </c>
      <c r="EG44">
        <v>0</v>
      </c>
      <c r="EH44">
        <v>0</v>
      </c>
      <c r="EI44">
        <v>0</v>
      </c>
      <c r="EJ44">
        <v>17578</v>
      </c>
    </row>
    <row r="45" spans="1:140">
      <c r="A45" t="s">
        <v>84</v>
      </c>
      <c r="B45">
        <v>1302017</v>
      </c>
      <c r="C45">
        <v>2</v>
      </c>
      <c r="D45">
        <v>1</v>
      </c>
      <c r="E45">
        <v>36</v>
      </c>
      <c r="F45">
        <v>130</v>
      </c>
      <c r="G45">
        <v>5</v>
      </c>
      <c r="H45">
        <v>7</v>
      </c>
      <c r="I45">
        <v>20.36</v>
      </c>
      <c r="J45">
        <v>14.63</v>
      </c>
      <c r="K45">
        <v>1.91</v>
      </c>
      <c r="L45">
        <v>43.05</v>
      </c>
      <c r="M45">
        <v>10.84</v>
      </c>
      <c r="N45">
        <v>2.14</v>
      </c>
      <c r="O45">
        <v>1.36</v>
      </c>
      <c r="P45">
        <v>3.49</v>
      </c>
      <c r="Q45">
        <v>51.48</v>
      </c>
      <c r="R45">
        <v>47.81</v>
      </c>
      <c r="S45">
        <v>1075.99</v>
      </c>
      <c r="T45">
        <v>46.54</v>
      </c>
      <c r="U45">
        <v>46.27</v>
      </c>
      <c r="V45">
        <v>122.25</v>
      </c>
      <c r="W45">
        <v>14.58</v>
      </c>
      <c r="X45">
        <v>1</v>
      </c>
      <c r="Y45">
        <v>1</v>
      </c>
      <c r="Z45">
        <v>2</v>
      </c>
      <c r="AA45">
        <v>2</v>
      </c>
      <c r="AB45">
        <v>2</v>
      </c>
      <c r="AC45">
        <v>1</v>
      </c>
      <c r="AD45">
        <v>1</v>
      </c>
      <c r="AE45">
        <v>1</v>
      </c>
      <c r="AF45">
        <v>1</v>
      </c>
      <c r="AG45">
        <v>2</v>
      </c>
      <c r="AH45">
        <v>1</v>
      </c>
      <c r="AI45">
        <v>1</v>
      </c>
      <c r="AJ45">
        <v>1</v>
      </c>
      <c r="AK45">
        <v>1</v>
      </c>
      <c r="AL45">
        <v>2</v>
      </c>
      <c r="AM45">
        <v>3</v>
      </c>
      <c r="AN45">
        <v>1</v>
      </c>
      <c r="AO45">
        <v>3</v>
      </c>
      <c r="AP45">
        <v>1</v>
      </c>
      <c r="AQ45">
        <v>4</v>
      </c>
      <c r="AR45">
        <v>2</v>
      </c>
      <c r="AS45">
        <v>4</v>
      </c>
      <c r="AT45">
        <v>2</v>
      </c>
      <c r="AU45">
        <v>1</v>
      </c>
      <c r="AV45">
        <v>1</v>
      </c>
      <c r="AW45">
        <v>0</v>
      </c>
      <c r="AX45">
        <v>0</v>
      </c>
      <c r="AY45">
        <v>0</v>
      </c>
      <c r="AZ45">
        <v>1</v>
      </c>
      <c r="BA45">
        <v>1</v>
      </c>
      <c r="BB45">
        <v>4</v>
      </c>
      <c r="BC45">
        <v>1</v>
      </c>
      <c r="BD45">
        <v>3</v>
      </c>
      <c r="BE45">
        <v>2</v>
      </c>
      <c r="BF45">
        <v>1</v>
      </c>
      <c r="BG45">
        <v>2</v>
      </c>
      <c r="BH45">
        <v>2</v>
      </c>
      <c r="BI45">
        <v>2</v>
      </c>
      <c r="BJ45">
        <v>2</v>
      </c>
      <c r="BK45">
        <v>2</v>
      </c>
      <c r="BL45">
        <v>2</v>
      </c>
      <c r="BM45">
        <v>2</v>
      </c>
      <c r="BN45">
        <v>1</v>
      </c>
      <c r="BO45">
        <v>2</v>
      </c>
      <c r="BP45">
        <v>3</v>
      </c>
      <c r="BQ45">
        <v>2</v>
      </c>
      <c r="BR45">
        <v>2</v>
      </c>
      <c r="BS45">
        <v>2</v>
      </c>
      <c r="BT45">
        <v>2</v>
      </c>
      <c r="BU45">
        <v>1</v>
      </c>
      <c r="BV45">
        <v>2</v>
      </c>
      <c r="BW45">
        <v>1</v>
      </c>
      <c r="BX45">
        <v>3</v>
      </c>
      <c r="BY45">
        <v>1</v>
      </c>
      <c r="BZ45">
        <v>6</v>
      </c>
      <c r="CA45">
        <v>2</v>
      </c>
      <c r="CB45">
        <v>1</v>
      </c>
      <c r="CC45">
        <v>2</v>
      </c>
      <c r="CD45">
        <v>2</v>
      </c>
      <c r="CE45">
        <v>1</v>
      </c>
      <c r="CF45">
        <v>2</v>
      </c>
      <c r="CG45">
        <v>1</v>
      </c>
      <c r="CH45">
        <v>6</v>
      </c>
      <c r="CI45">
        <v>2</v>
      </c>
      <c r="CJ45">
        <v>4</v>
      </c>
      <c r="CK45">
        <v>1</v>
      </c>
      <c r="CL45">
        <v>4</v>
      </c>
      <c r="CM45">
        <v>1</v>
      </c>
      <c r="CN45">
        <v>1</v>
      </c>
      <c r="CO45">
        <v>1</v>
      </c>
      <c r="CP45">
        <v>1</v>
      </c>
      <c r="CQ45">
        <v>1</v>
      </c>
      <c r="CR45">
        <v>1</v>
      </c>
      <c r="CS45">
        <v>2</v>
      </c>
      <c r="CT45">
        <v>2</v>
      </c>
      <c r="CU45">
        <v>3</v>
      </c>
      <c r="CV45">
        <v>1</v>
      </c>
      <c r="CW45">
        <v>1</v>
      </c>
      <c r="CX45">
        <v>1</v>
      </c>
      <c r="CY45">
        <v>2</v>
      </c>
      <c r="CZ45">
        <v>3</v>
      </c>
      <c r="DA45">
        <v>2</v>
      </c>
      <c r="DB45">
        <v>2</v>
      </c>
      <c r="DC45">
        <v>1</v>
      </c>
      <c r="DD45">
        <v>1</v>
      </c>
      <c r="DE45">
        <v>2</v>
      </c>
      <c r="DF45">
        <v>1</v>
      </c>
      <c r="DG45">
        <v>3</v>
      </c>
      <c r="DH45">
        <v>1</v>
      </c>
      <c r="DI45">
        <v>1</v>
      </c>
      <c r="DJ45">
        <v>2</v>
      </c>
      <c r="DK45">
        <v>1</v>
      </c>
      <c r="DL45">
        <v>1</v>
      </c>
      <c r="DM45">
        <v>2</v>
      </c>
      <c r="DN45">
        <v>2</v>
      </c>
      <c r="DO45">
        <v>1</v>
      </c>
      <c r="DP45">
        <v>3</v>
      </c>
      <c r="DQ45">
        <v>0</v>
      </c>
      <c r="DR45">
        <v>0</v>
      </c>
      <c r="DS45">
        <v>0</v>
      </c>
      <c r="DT45">
        <v>0</v>
      </c>
      <c r="DU45">
        <v>0</v>
      </c>
      <c r="DV45">
        <v>0</v>
      </c>
      <c r="DW45">
        <v>0</v>
      </c>
      <c r="DX45">
        <v>1</v>
      </c>
      <c r="DY45">
        <v>0</v>
      </c>
      <c r="DZ45">
        <v>0</v>
      </c>
      <c r="EA45">
        <v>1</v>
      </c>
      <c r="EB45">
        <v>0</v>
      </c>
      <c r="EC45">
        <v>1</v>
      </c>
      <c r="ED45">
        <v>1</v>
      </c>
      <c r="EE45">
        <v>0</v>
      </c>
      <c r="EF45">
        <v>0</v>
      </c>
      <c r="EG45">
        <v>0</v>
      </c>
      <c r="EH45">
        <v>0</v>
      </c>
      <c r="EI45">
        <v>0</v>
      </c>
      <c r="EJ45">
        <v>17577</v>
      </c>
    </row>
    <row r="46" spans="1:140">
      <c r="A46" t="s">
        <v>85</v>
      </c>
      <c r="B46">
        <v>1212017</v>
      </c>
      <c r="C46">
        <v>2</v>
      </c>
      <c r="D46" s="20">
        <v>2</v>
      </c>
      <c r="E46">
        <v>23</v>
      </c>
      <c r="F46">
        <v>125</v>
      </c>
      <c r="G46">
        <v>5</v>
      </c>
      <c r="H46">
        <v>5</v>
      </c>
      <c r="I46">
        <v>20.8</v>
      </c>
      <c r="J46">
        <v>10.84</v>
      </c>
      <c r="K46">
        <v>0.39300000000000002</v>
      </c>
      <c r="L46">
        <v>41.91</v>
      </c>
      <c r="M46">
        <v>3.31</v>
      </c>
      <c r="N46">
        <v>2.14</v>
      </c>
      <c r="O46">
        <v>2.57</v>
      </c>
      <c r="P46">
        <v>4.71</v>
      </c>
      <c r="Q46">
        <v>43.97</v>
      </c>
      <c r="R46">
        <v>44.57</v>
      </c>
      <c r="S46">
        <v>902.53</v>
      </c>
      <c r="T46">
        <v>33.29</v>
      </c>
      <c r="U46">
        <v>36.619999999999997</v>
      </c>
      <c r="V46">
        <v>115.54</v>
      </c>
      <c r="W46">
        <v>16.89</v>
      </c>
      <c r="X46">
        <v>1</v>
      </c>
      <c r="Y46">
        <v>1</v>
      </c>
      <c r="Z46">
        <v>2</v>
      </c>
      <c r="AA46">
        <v>2</v>
      </c>
      <c r="AB46">
        <v>2</v>
      </c>
      <c r="AC46">
        <v>1</v>
      </c>
      <c r="AD46">
        <v>1</v>
      </c>
      <c r="AE46">
        <v>1</v>
      </c>
      <c r="AF46">
        <v>1</v>
      </c>
      <c r="AG46">
        <v>2</v>
      </c>
      <c r="AH46">
        <v>1</v>
      </c>
      <c r="AI46">
        <v>1</v>
      </c>
      <c r="AJ46">
        <v>1</v>
      </c>
      <c r="AK46">
        <v>1</v>
      </c>
      <c r="AL46">
        <v>2</v>
      </c>
      <c r="AM46">
        <v>2</v>
      </c>
      <c r="AN46">
        <v>1</v>
      </c>
      <c r="AO46">
        <v>1</v>
      </c>
      <c r="AP46">
        <v>2</v>
      </c>
      <c r="AQ46">
        <v>2</v>
      </c>
      <c r="AR46">
        <v>1</v>
      </c>
      <c r="AS46">
        <v>2</v>
      </c>
      <c r="AT46">
        <v>2</v>
      </c>
      <c r="AU46">
        <v>0</v>
      </c>
      <c r="AV46">
        <v>1</v>
      </c>
      <c r="AW46">
        <v>0</v>
      </c>
      <c r="AX46">
        <v>0</v>
      </c>
      <c r="AY46">
        <v>0</v>
      </c>
      <c r="AZ46">
        <v>1</v>
      </c>
      <c r="BA46">
        <v>1</v>
      </c>
      <c r="BB46">
        <v>3</v>
      </c>
      <c r="BC46">
        <v>1</v>
      </c>
      <c r="BD46">
        <v>2</v>
      </c>
      <c r="BE46">
        <v>2</v>
      </c>
      <c r="BF46">
        <v>1</v>
      </c>
      <c r="BG46">
        <v>1</v>
      </c>
      <c r="BH46">
        <v>1</v>
      </c>
      <c r="BI46">
        <v>2</v>
      </c>
      <c r="BJ46">
        <v>1</v>
      </c>
      <c r="BK46">
        <v>1</v>
      </c>
      <c r="BL46">
        <v>2</v>
      </c>
      <c r="BM46">
        <v>2</v>
      </c>
      <c r="BN46">
        <v>1</v>
      </c>
      <c r="BO46">
        <v>2</v>
      </c>
      <c r="BP46">
        <v>3</v>
      </c>
      <c r="BQ46">
        <v>2</v>
      </c>
      <c r="BR46">
        <v>2</v>
      </c>
      <c r="BS46">
        <v>1</v>
      </c>
      <c r="BT46">
        <v>2</v>
      </c>
      <c r="BU46">
        <v>1</v>
      </c>
      <c r="BV46">
        <v>2</v>
      </c>
      <c r="BW46">
        <v>1</v>
      </c>
      <c r="BX46">
        <v>4</v>
      </c>
      <c r="BY46">
        <v>2</v>
      </c>
      <c r="BZ46">
        <v>6</v>
      </c>
      <c r="CA46">
        <v>2</v>
      </c>
      <c r="CB46">
        <v>1</v>
      </c>
      <c r="CC46">
        <v>1</v>
      </c>
      <c r="CD46">
        <v>1</v>
      </c>
      <c r="CE46">
        <v>1</v>
      </c>
      <c r="CF46">
        <v>1</v>
      </c>
      <c r="CG46">
        <v>1</v>
      </c>
      <c r="CH46">
        <v>6</v>
      </c>
      <c r="CI46">
        <v>3</v>
      </c>
      <c r="CJ46">
        <v>3</v>
      </c>
      <c r="CK46">
        <v>2</v>
      </c>
      <c r="CL46">
        <v>4</v>
      </c>
      <c r="CM46">
        <v>1</v>
      </c>
      <c r="CN46">
        <v>1</v>
      </c>
      <c r="CO46">
        <v>3</v>
      </c>
      <c r="CP46">
        <v>2</v>
      </c>
      <c r="CQ46">
        <v>1</v>
      </c>
      <c r="CR46">
        <v>1</v>
      </c>
      <c r="CS46">
        <v>2</v>
      </c>
      <c r="CT46">
        <v>3</v>
      </c>
      <c r="CU46">
        <v>2</v>
      </c>
      <c r="CV46">
        <v>2</v>
      </c>
      <c r="CW46">
        <v>1</v>
      </c>
      <c r="CX46">
        <v>1</v>
      </c>
      <c r="CY46">
        <v>1</v>
      </c>
      <c r="CZ46">
        <v>1</v>
      </c>
      <c r="DA46">
        <v>1</v>
      </c>
      <c r="DB46">
        <v>3</v>
      </c>
      <c r="DC46">
        <v>1</v>
      </c>
      <c r="DD46">
        <v>1</v>
      </c>
      <c r="DE46">
        <v>1</v>
      </c>
      <c r="DF46">
        <v>2</v>
      </c>
      <c r="DG46">
        <v>3</v>
      </c>
      <c r="DH46">
        <v>1</v>
      </c>
      <c r="DI46">
        <v>2</v>
      </c>
      <c r="DJ46">
        <v>2</v>
      </c>
      <c r="DK46">
        <v>1</v>
      </c>
      <c r="DL46">
        <v>1</v>
      </c>
      <c r="DM46">
        <v>2</v>
      </c>
      <c r="DN46">
        <v>1</v>
      </c>
      <c r="DO46">
        <v>1</v>
      </c>
      <c r="DP46">
        <v>3</v>
      </c>
      <c r="DQ46">
        <v>1</v>
      </c>
      <c r="DR46">
        <v>1</v>
      </c>
      <c r="DS46">
        <v>0</v>
      </c>
      <c r="DT46">
        <v>0</v>
      </c>
      <c r="DU46">
        <v>0</v>
      </c>
      <c r="DV46">
        <v>0</v>
      </c>
      <c r="DW46">
        <v>0</v>
      </c>
      <c r="DX46">
        <v>0</v>
      </c>
      <c r="DY46">
        <v>0</v>
      </c>
      <c r="DZ46">
        <v>0</v>
      </c>
      <c r="EA46">
        <v>0</v>
      </c>
      <c r="EB46">
        <v>0</v>
      </c>
      <c r="EC46">
        <v>2</v>
      </c>
      <c r="ED46">
        <v>1</v>
      </c>
      <c r="EE46">
        <v>0</v>
      </c>
      <c r="EF46">
        <v>0</v>
      </c>
      <c r="EG46">
        <v>0</v>
      </c>
      <c r="EH46">
        <v>0</v>
      </c>
      <c r="EI46">
        <v>0</v>
      </c>
      <c r="EJ46">
        <v>17576</v>
      </c>
    </row>
    <row r="47" spans="1:140">
      <c r="A47" t="s">
        <v>86</v>
      </c>
      <c r="B47">
        <v>2042017</v>
      </c>
      <c r="C47">
        <v>2</v>
      </c>
      <c r="D47">
        <v>1</v>
      </c>
      <c r="E47">
        <v>26</v>
      </c>
      <c r="F47">
        <v>175</v>
      </c>
      <c r="G47">
        <v>5</v>
      </c>
      <c r="H47">
        <v>3</v>
      </c>
      <c r="I47">
        <v>31</v>
      </c>
      <c r="J47">
        <v>23.3</v>
      </c>
      <c r="K47">
        <v>4.0599999999999996</v>
      </c>
      <c r="L47">
        <v>50.5</v>
      </c>
      <c r="M47">
        <v>22.34</v>
      </c>
      <c r="N47">
        <v>2</v>
      </c>
      <c r="O47">
        <v>1.1100000000000001</v>
      </c>
      <c r="P47">
        <v>3.11</v>
      </c>
      <c r="Q47">
        <v>49.49</v>
      </c>
      <c r="R47">
        <v>46</v>
      </c>
      <c r="S47">
        <v>1308.04</v>
      </c>
      <c r="T47">
        <v>62.15</v>
      </c>
      <c r="U47">
        <v>66.88</v>
      </c>
      <c r="V47">
        <v>116.91</v>
      </c>
      <c r="W47">
        <v>9.33</v>
      </c>
      <c r="X47">
        <v>3</v>
      </c>
      <c r="Y47">
        <v>1</v>
      </c>
      <c r="Z47">
        <v>4</v>
      </c>
      <c r="AA47">
        <v>1</v>
      </c>
      <c r="AB47">
        <v>2</v>
      </c>
      <c r="AC47">
        <v>1</v>
      </c>
      <c r="AD47">
        <v>1</v>
      </c>
      <c r="AE47">
        <v>1</v>
      </c>
      <c r="AF47">
        <v>1</v>
      </c>
      <c r="AG47">
        <v>2</v>
      </c>
      <c r="AH47">
        <v>1</v>
      </c>
      <c r="AI47">
        <v>1</v>
      </c>
      <c r="AJ47">
        <v>3</v>
      </c>
      <c r="AK47">
        <v>2</v>
      </c>
      <c r="AL47">
        <v>1</v>
      </c>
      <c r="AM47">
        <v>1</v>
      </c>
      <c r="AN47">
        <v>1</v>
      </c>
      <c r="AO47">
        <v>6</v>
      </c>
      <c r="AP47">
        <v>2</v>
      </c>
      <c r="AQ47">
        <v>1</v>
      </c>
      <c r="AR47">
        <v>1</v>
      </c>
      <c r="AS47">
        <v>1</v>
      </c>
      <c r="AT47">
        <v>2</v>
      </c>
      <c r="AU47">
        <v>0</v>
      </c>
      <c r="AV47">
        <v>0</v>
      </c>
      <c r="AW47">
        <v>0</v>
      </c>
      <c r="AX47">
        <v>0</v>
      </c>
      <c r="AY47">
        <v>1</v>
      </c>
      <c r="AZ47">
        <v>1</v>
      </c>
      <c r="BA47">
        <v>1</v>
      </c>
      <c r="BB47">
        <v>2</v>
      </c>
      <c r="BC47">
        <v>1</v>
      </c>
      <c r="BD47">
        <v>4</v>
      </c>
      <c r="BE47">
        <v>2</v>
      </c>
      <c r="BF47">
        <v>2</v>
      </c>
      <c r="BG47">
        <v>3</v>
      </c>
      <c r="BH47">
        <v>2</v>
      </c>
      <c r="BI47">
        <v>2</v>
      </c>
      <c r="BJ47">
        <v>1</v>
      </c>
      <c r="BK47">
        <v>2</v>
      </c>
      <c r="BL47">
        <v>2</v>
      </c>
      <c r="BM47">
        <v>2</v>
      </c>
      <c r="BN47">
        <v>2</v>
      </c>
      <c r="BO47">
        <v>1</v>
      </c>
      <c r="BP47">
        <v>2</v>
      </c>
      <c r="BQ47">
        <v>3</v>
      </c>
      <c r="BR47">
        <v>2</v>
      </c>
      <c r="BS47">
        <v>3</v>
      </c>
      <c r="BT47">
        <v>3</v>
      </c>
      <c r="BU47">
        <v>2</v>
      </c>
      <c r="BV47">
        <v>2</v>
      </c>
      <c r="BW47">
        <v>1</v>
      </c>
      <c r="BX47">
        <v>4</v>
      </c>
      <c r="BY47">
        <v>1</v>
      </c>
      <c r="BZ47">
        <v>6</v>
      </c>
      <c r="CA47">
        <v>2</v>
      </c>
      <c r="CB47">
        <v>2</v>
      </c>
      <c r="CC47">
        <v>2</v>
      </c>
      <c r="CD47">
        <v>2</v>
      </c>
      <c r="CE47">
        <v>2</v>
      </c>
      <c r="CF47">
        <v>1</v>
      </c>
      <c r="CG47">
        <v>1</v>
      </c>
      <c r="CH47">
        <v>4</v>
      </c>
      <c r="CI47">
        <v>2</v>
      </c>
      <c r="CJ47">
        <v>4</v>
      </c>
      <c r="CK47">
        <v>1</v>
      </c>
      <c r="CL47">
        <v>4</v>
      </c>
      <c r="CM47">
        <v>1</v>
      </c>
      <c r="CN47">
        <v>1</v>
      </c>
      <c r="CO47">
        <v>3</v>
      </c>
      <c r="CP47">
        <v>2</v>
      </c>
      <c r="CQ47">
        <v>2</v>
      </c>
      <c r="CR47">
        <v>1</v>
      </c>
      <c r="CS47">
        <v>2</v>
      </c>
      <c r="CT47">
        <v>3</v>
      </c>
      <c r="CU47">
        <v>2</v>
      </c>
      <c r="CV47">
        <v>3</v>
      </c>
      <c r="CW47">
        <v>3</v>
      </c>
      <c r="CX47">
        <v>1</v>
      </c>
      <c r="CY47">
        <v>1</v>
      </c>
      <c r="CZ47">
        <v>3</v>
      </c>
      <c r="DA47">
        <v>3</v>
      </c>
      <c r="DB47">
        <v>3</v>
      </c>
      <c r="DC47">
        <v>1</v>
      </c>
      <c r="DD47">
        <v>1</v>
      </c>
      <c r="DE47">
        <v>1</v>
      </c>
      <c r="DF47">
        <v>3</v>
      </c>
      <c r="DG47">
        <v>3</v>
      </c>
      <c r="DH47">
        <v>1</v>
      </c>
      <c r="DI47">
        <v>3</v>
      </c>
      <c r="DJ47">
        <v>2</v>
      </c>
      <c r="DK47">
        <v>1</v>
      </c>
      <c r="DL47">
        <v>1</v>
      </c>
      <c r="DM47">
        <v>2</v>
      </c>
      <c r="DN47">
        <v>3</v>
      </c>
      <c r="DO47">
        <v>2</v>
      </c>
      <c r="DP47">
        <v>4</v>
      </c>
      <c r="DQ47">
        <v>0</v>
      </c>
      <c r="DR47">
        <v>1</v>
      </c>
      <c r="DS47">
        <v>0</v>
      </c>
      <c r="DT47">
        <v>0</v>
      </c>
      <c r="DU47">
        <v>0</v>
      </c>
      <c r="DV47">
        <v>0</v>
      </c>
      <c r="DW47">
        <v>0</v>
      </c>
      <c r="DX47">
        <v>1</v>
      </c>
      <c r="DY47">
        <v>0</v>
      </c>
      <c r="DZ47">
        <v>0</v>
      </c>
      <c r="EA47">
        <v>0</v>
      </c>
      <c r="EB47">
        <v>0</v>
      </c>
      <c r="EC47">
        <v>2</v>
      </c>
      <c r="ED47">
        <v>1</v>
      </c>
      <c r="EE47">
        <v>0</v>
      </c>
      <c r="EF47">
        <v>0</v>
      </c>
      <c r="EG47">
        <v>0</v>
      </c>
      <c r="EH47">
        <v>0</v>
      </c>
      <c r="EI47">
        <v>0</v>
      </c>
      <c r="EJ47">
        <v>17575</v>
      </c>
    </row>
    <row r="48" spans="1:140">
      <c r="A48" t="s">
        <v>87</v>
      </c>
      <c r="B48">
        <v>1292017</v>
      </c>
      <c r="C48">
        <v>2</v>
      </c>
      <c r="D48">
        <v>1</v>
      </c>
      <c r="E48">
        <v>31</v>
      </c>
      <c r="F48">
        <v>140</v>
      </c>
      <c r="G48">
        <v>6</v>
      </c>
      <c r="H48">
        <v>0</v>
      </c>
      <c r="I48">
        <v>18.989999999999998</v>
      </c>
      <c r="J48">
        <v>16.989999999999998</v>
      </c>
      <c r="K48">
        <v>1.02</v>
      </c>
      <c r="L48">
        <v>45.93</v>
      </c>
      <c r="M48">
        <v>14.78</v>
      </c>
      <c r="N48">
        <v>2.14</v>
      </c>
      <c r="O48">
        <v>1.71</v>
      </c>
      <c r="P48">
        <v>3.85</v>
      </c>
      <c r="Q48">
        <v>63.85</v>
      </c>
      <c r="R48">
        <v>52.09</v>
      </c>
      <c r="S48">
        <v>1158.05</v>
      </c>
      <c r="T48">
        <v>42.99</v>
      </c>
      <c r="U48">
        <v>51.07</v>
      </c>
      <c r="V48">
        <v>139.54</v>
      </c>
      <c r="W48">
        <v>16.95</v>
      </c>
      <c r="X48">
        <v>1</v>
      </c>
      <c r="Y48">
        <v>1</v>
      </c>
      <c r="Z48">
        <v>2</v>
      </c>
      <c r="AA48">
        <v>2</v>
      </c>
      <c r="AB48">
        <v>2</v>
      </c>
      <c r="AC48">
        <v>1</v>
      </c>
      <c r="AD48">
        <v>1</v>
      </c>
      <c r="AE48">
        <v>1</v>
      </c>
      <c r="AF48">
        <v>1</v>
      </c>
      <c r="AG48">
        <v>2</v>
      </c>
      <c r="AH48">
        <v>1</v>
      </c>
      <c r="AI48">
        <v>1</v>
      </c>
      <c r="AJ48">
        <v>1</v>
      </c>
      <c r="AK48">
        <v>1</v>
      </c>
      <c r="AL48">
        <v>2</v>
      </c>
      <c r="AM48">
        <v>1</v>
      </c>
      <c r="AN48">
        <v>1</v>
      </c>
      <c r="AO48">
        <v>3</v>
      </c>
      <c r="AP48">
        <v>2</v>
      </c>
      <c r="AQ48">
        <v>2</v>
      </c>
      <c r="AR48">
        <v>2</v>
      </c>
      <c r="AS48">
        <v>2</v>
      </c>
      <c r="AT48">
        <v>1</v>
      </c>
      <c r="AU48">
        <v>0</v>
      </c>
      <c r="AV48">
        <v>0</v>
      </c>
      <c r="AW48">
        <v>1</v>
      </c>
      <c r="AX48">
        <v>0</v>
      </c>
      <c r="AY48">
        <v>0</v>
      </c>
      <c r="AZ48">
        <v>1</v>
      </c>
      <c r="BA48">
        <v>2</v>
      </c>
      <c r="BB48">
        <v>5</v>
      </c>
      <c r="BC48">
        <v>2</v>
      </c>
      <c r="BD48">
        <v>4</v>
      </c>
      <c r="BE48">
        <v>3</v>
      </c>
      <c r="BF48">
        <v>1</v>
      </c>
      <c r="BG48">
        <v>1</v>
      </c>
      <c r="BH48">
        <v>1</v>
      </c>
      <c r="BI48">
        <v>1</v>
      </c>
      <c r="BJ48">
        <v>1</v>
      </c>
      <c r="BK48">
        <v>2</v>
      </c>
      <c r="BL48">
        <v>2</v>
      </c>
      <c r="BM48">
        <v>1</v>
      </c>
      <c r="BN48">
        <v>1</v>
      </c>
      <c r="BO48">
        <v>1</v>
      </c>
      <c r="BP48">
        <v>2</v>
      </c>
      <c r="BQ48">
        <v>1</v>
      </c>
      <c r="BR48">
        <v>1</v>
      </c>
      <c r="BS48">
        <v>2</v>
      </c>
      <c r="BT48">
        <v>2</v>
      </c>
      <c r="BU48">
        <v>1</v>
      </c>
      <c r="BV48">
        <v>2</v>
      </c>
      <c r="BW48">
        <v>1</v>
      </c>
      <c r="BX48">
        <v>4</v>
      </c>
      <c r="BY48">
        <v>2</v>
      </c>
      <c r="BZ48">
        <v>6</v>
      </c>
      <c r="CA48">
        <v>2</v>
      </c>
      <c r="CB48">
        <v>2</v>
      </c>
      <c r="CC48">
        <v>1</v>
      </c>
      <c r="CD48">
        <v>2</v>
      </c>
      <c r="CE48">
        <v>2</v>
      </c>
      <c r="CF48">
        <v>1</v>
      </c>
      <c r="CG48">
        <v>1</v>
      </c>
      <c r="CH48">
        <v>6</v>
      </c>
      <c r="CI48">
        <v>2</v>
      </c>
      <c r="CJ48">
        <v>6</v>
      </c>
      <c r="CK48">
        <v>2</v>
      </c>
      <c r="CL48">
        <v>4</v>
      </c>
      <c r="CM48">
        <v>1</v>
      </c>
      <c r="CN48">
        <v>1</v>
      </c>
      <c r="CO48">
        <v>5</v>
      </c>
      <c r="CP48">
        <v>2</v>
      </c>
      <c r="CQ48">
        <v>1</v>
      </c>
      <c r="CR48">
        <v>5</v>
      </c>
      <c r="CS48">
        <v>2</v>
      </c>
      <c r="CT48">
        <v>2</v>
      </c>
      <c r="CU48">
        <v>2</v>
      </c>
      <c r="CV48">
        <v>1</v>
      </c>
      <c r="CW48">
        <v>3</v>
      </c>
      <c r="CX48">
        <v>1</v>
      </c>
      <c r="CY48">
        <v>1</v>
      </c>
      <c r="CZ48">
        <v>2</v>
      </c>
      <c r="DA48">
        <v>1</v>
      </c>
      <c r="DB48">
        <v>3</v>
      </c>
      <c r="DC48">
        <v>1</v>
      </c>
      <c r="DD48">
        <v>1</v>
      </c>
      <c r="DE48">
        <v>4</v>
      </c>
      <c r="DF48">
        <v>1</v>
      </c>
      <c r="DG48">
        <v>3</v>
      </c>
      <c r="DH48">
        <v>1</v>
      </c>
      <c r="DI48">
        <v>1</v>
      </c>
      <c r="DJ48">
        <v>2</v>
      </c>
      <c r="DK48">
        <v>1</v>
      </c>
      <c r="DL48">
        <v>1</v>
      </c>
      <c r="DM48">
        <v>2</v>
      </c>
      <c r="DN48">
        <v>3</v>
      </c>
      <c r="DO48">
        <v>1</v>
      </c>
      <c r="DP48">
        <v>2</v>
      </c>
      <c r="DQ48">
        <v>0</v>
      </c>
      <c r="DR48">
        <v>1</v>
      </c>
      <c r="DS48">
        <v>0</v>
      </c>
      <c r="DT48">
        <v>0</v>
      </c>
      <c r="DU48">
        <v>0</v>
      </c>
      <c r="DV48">
        <v>0</v>
      </c>
      <c r="DW48">
        <v>0</v>
      </c>
      <c r="DX48">
        <v>1</v>
      </c>
      <c r="DY48">
        <v>0</v>
      </c>
      <c r="DZ48">
        <v>0</v>
      </c>
      <c r="EA48">
        <v>0</v>
      </c>
      <c r="EB48">
        <v>0</v>
      </c>
      <c r="EC48">
        <v>2</v>
      </c>
      <c r="ED48">
        <v>1</v>
      </c>
      <c r="EE48">
        <v>0</v>
      </c>
      <c r="EF48">
        <v>0</v>
      </c>
      <c r="EG48">
        <v>0</v>
      </c>
      <c r="EH48">
        <v>0</v>
      </c>
      <c r="EI48">
        <v>0</v>
      </c>
      <c r="EJ48">
        <v>17574</v>
      </c>
    </row>
    <row r="49" spans="1:140">
      <c r="A49" t="s">
        <v>88</v>
      </c>
      <c r="B49">
        <v>1262017</v>
      </c>
      <c r="C49">
        <v>2</v>
      </c>
      <c r="D49" s="20">
        <v>2</v>
      </c>
      <c r="E49">
        <v>33</v>
      </c>
      <c r="F49">
        <v>130</v>
      </c>
      <c r="G49">
        <v>5</v>
      </c>
      <c r="H49">
        <v>2</v>
      </c>
      <c r="I49">
        <v>23.78</v>
      </c>
      <c r="J49">
        <v>18.11</v>
      </c>
      <c r="K49">
        <v>1.08</v>
      </c>
      <c r="L49">
        <v>23.3</v>
      </c>
      <c r="M49">
        <v>2.7</v>
      </c>
      <c r="N49">
        <v>1.58</v>
      </c>
      <c r="O49">
        <v>0.67500000000000004</v>
      </c>
      <c r="P49">
        <v>2.25</v>
      </c>
      <c r="Q49">
        <v>35.119999999999997</v>
      </c>
      <c r="R49">
        <v>47.66</v>
      </c>
      <c r="S49">
        <v>1021.32</v>
      </c>
      <c r="T49">
        <v>50.19</v>
      </c>
      <c r="U49">
        <v>50.37</v>
      </c>
      <c r="V49">
        <v>81.5</v>
      </c>
      <c r="W49">
        <v>7.81</v>
      </c>
      <c r="X49">
        <v>1</v>
      </c>
      <c r="Y49">
        <v>1</v>
      </c>
      <c r="Z49">
        <v>1</v>
      </c>
      <c r="AA49">
        <v>1</v>
      </c>
      <c r="AB49">
        <v>1</v>
      </c>
      <c r="AC49">
        <v>1</v>
      </c>
      <c r="AD49">
        <v>1</v>
      </c>
      <c r="AE49">
        <v>1</v>
      </c>
      <c r="AF49">
        <v>1</v>
      </c>
      <c r="AG49">
        <v>2</v>
      </c>
      <c r="AH49">
        <v>1</v>
      </c>
      <c r="AI49">
        <v>1</v>
      </c>
      <c r="AJ49">
        <v>2</v>
      </c>
      <c r="AK49">
        <v>1</v>
      </c>
      <c r="AL49">
        <v>1</v>
      </c>
      <c r="AM49">
        <v>3</v>
      </c>
      <c r="AN49">
        <v>2</v>
      </c>
      <c r="AO49">
        <v>4</v>
      </c>
      <c r="AP49">
        <v>2</v>
      </c>
      <c r="AQ49">
        <v>1</v>
      </c>
      <c r="AR49">
        <v>1</v>
      </c>
      <c r="AS49">
        <v>2</v>
      </c>
      <c r="AT49">
        <v>1</v>
      </c>
      <c r="AU49">
        <v>0</v>
      </c>
      <c r="AV49">
        <v>0</v>
      </c>
      <c r="AW49">
        <v>0</v>
      </c>
      <c r="AX49">
        <v>0</v>
      </c>
      <c r="AY49">
        <v>1</v>
      </c>
      <c r="AZ49">
        <v>1</v>
      </c>
      <c r="BA49">
        <v>1</v>
      </c>
      <c r="BB49">
        <v>4</v>
      </c>
      <c r="BC49">
        <v>2</v>
      </c>
      <c r="BD49">
        <v>1</v>
      </c>
      <c r="BE49">
        <v>1</v>
      </c>
      <c r="BF49">
        <v>2</v>
      </c>
      <c r="BG49">
        <v>1</v>
      </c>
      <c r="BH49">
        <v>2</v>
      </c>
      <c r="BI49">
        <v>2</v>
      </c>
      <c r="BJ49">
        <v>1</v>
      </c>
      <c r="BK49">
        <v>2</v>
      </c>
      <c r="BL49">
        <v>4</v>
      </c>
      <c r="BM49">
        <v>2</v>
      </c>
      <c r="BN49">
        <v>1</v>
      </c>
      <c r="BO49">
        <v>1</v>
      </c>
      <c r="BP49">
        <v>2</v>
      </c>
      <c r="BQ49">
        <v>2</v>
      </c>
      <c r="BR49">
        <v>2</v>
      </c>
      <c r="BS49">
        <v>2</v>
      </c>
      <c r="BT49">
        <v>2</v>
      </c>
      <c r="BU49">
        <v>1</v>
      </c>
      <c r="BV49">
        <v>3</v>
      </c>
      <c r="BW49">
        <v>1</v>
      </c>
      <c r="BX49">
        <v>1</v>
      </c>
      <c r="BY49">
        <v>2</v>
      </c>
      <c r="BZ49">
        <v>5</v>
      </c>
      <c r="CA49">
        <v>2</v>
      </c>
      <c r="CB49">
        <v>2</v>
      </c>
      <c r="CC49">
        <v>2</v>
      </c>
      <c r="CD49">
        <v>1</v>
      </c>
      <c r="CE49">
        <v>2</v>
      </c>
      <c r="CF49">
        <v>2</v>
      </c>
      <c r="CG49">
        <v>2</v>
      </c>
      <c r="CH49">
        <v>4</v>
      </c>
      <c r="CI49">
        <v>2</v>
      </c>
      <c r="CJ49">
        <v>4</v>
      </c>
      <c r="CK49">
        <v>2</v>
      </c>
      <c r="CL49">
        <v>4</v>
      </c>
      <c r="CM49">
        <v>1</v>
      </c>
      <c r="CN49">
        <v>1</v>
      </c>
      <c r="CO49">
        <v>2</v>
      </c>
      <c r="CP49">
        <v>1</v>
      </c>
      <c r="CQ49">
        <v>2</v>
      </c>
      <c r="CR49">
        <v>1</v>
      </c>
      <c r="CS49">
        <v>1</v>
      </c>
      <c r="CT49">
        <v>2</v>
      </c>
      <c r="CU49">
        <v>1</v>
      </c>
      <c r="CV49">
        <v>2</v>
      </c>
      <c r="CW49">
        <v>3</v>
      </c>
      <c r="CX49">
        <v>1</v>
      </c>
      <c r="CY49">
        <v>1</v>
      </c>
      <c r="CZ49">
        <v>1</v>
      </c>
      <c r="DA49">
        <v>1</v>
      </c>
      <c r="DB49">
        <v>3</v>
      </c>
      <c r="DC49">
        <v>1</v>
      </c>
      <c r="DD49">
        <v>1</v>
      </c>
      <c r="DE49">
        <v>1</v>
      </c>
      <c r="DF49">
        <v>1</v>
      </c>
      <c r="DG49">
        <v>3</v>
      </c>
      <c r="DH49">
        <v>1</v>
      </c>
      <c r="DI49">
        <v>1</v>
      </c>
      <c r="DJ49">
        <v>2</v>
      </c>
      <c r="DK49">
        <v>1</v>
      </c>
      <c r="DL49">
        <v>1</v>
      </c>
      <c r="DM49">
        <v>2</v>
      </c>
      <c r="DN49">
        <v>4</v>
      </c>
      <c r="DO49">
        <v>2</v>
      </c>
      <c r="DP49">
        <v>5</v>
      </c>
      <c r="DQ49">
        <v>0</v>
      </c>
      <c r="DR49">
        <v>1</v>
      </c>
      <c r="DS49">
        <v>0</v>
      </c>
      <c r="DT49">
        <v>0</v>
      </c>
      <c r="DU49">
        <v>0</v>
      </c>
      <c r="DV49">
        <v>0</v>
      </c>
      <c r="DW49">
        <v>0</v>
      </c>
      <c r="DX49">
        <v>1</v>
      </c>
      <c r="DY49">
        <v>0</v>
      </c>
      <c r="DZ49">
        <v>0</v>
      </c>
      <c r="EA49">
        <v>0</v>
      </c>
      <c r="EB49">
        <v>0</v>
      </c>
      <c r="EC49">
        <v>2</v>
      </c>
      <c r="ED49">
        <v>1</v>
      </c>
      <c r="EE49">
        <v>0</v>
      </c>
      <c r="EF49">
        <v>0</v>
      </c>
      <c r="EG49">
        <v>0</v>
      </c>
      <c r="EH49">
        <v>0</v>
      </c>
      <c r="EI49">
        <v>0</v>
      </c>
      <c r="EJ49">
        <v>17599</v>
      </c>
    </row>
    <row r="50" spans="1:140" s="123" customFormat="1">
      <c r="A50" s="125" t="s">
        <v>768</v>
      </c>
      <c r="B50" s="123">
        <v>2062017</v>
      </c>
      <c r="C50" s="123">
        <v>2</v>
      </c>
      <c r="D50" s="123">
        <v>1</v>
      </c>
      <c r="E50" s="123">
        <v>41</v>
      </c>
      <c r="F50" s="123">
        <v>175</v>
      </c>
      <c r="G50" s="123">
        <v>5</v>
      </c>
      <c r="H50" s="123">
        <v>5</v>
      </c>
      <c r="I50" s="123">
        <v>29.12</v>
      </c>
      <c r="J50" s="123">
        <v>14.7</v>
      </c>
      <c r="K50" s="123">
        <v>3.43</v>
      </c>
      <c r="L50" s="123">
        <v>98.94</v>
      </c>
      <c r="M50" s="123">
        <v>93.18</v>
      </c>
      <c r="N50" s="123">
        <v>0.28999999999999998</v>
      </c>
      <c r="O50" s="123">
        <v>0.38500000000000001</v>
      </c>
      <c r="P50" s="123">
        <v>0.67500000000000004</v>
      </c>
      <c r="Q50" s="123">
        <v>74.55</v>
      </c>
      <c r="R50" s="123">
        <v>50.56</v>
      </c>
      <c r="S50" s="123">
        <v>1198.8599999999999</v>
      </c>
      <c r="T50" s="123">
        <v>43.72</v>
      </c>
      <c r="U50" s="123">
        <v>45.85</v>
      </c>
      <c r="V50" s="123">
        <v>152.53</v>
      </c>
      <c r="W50" s="123">
        <v>5.07</v>
      </c>
      <c r="X50" s="123">
        <v>1</v>
      </c>
      <c r="Y50" s="123">
        <v>1</v>
      </c>
      <c r="Z50" s="123">
        <v>2</v>
      </c>
      <c r="AA50" s="123">
        <v>1</v>
      </c>
      <c r="AB50" s="123">
        <v>2</v>
      </c>
      <c r="AC50" s="123">
        <v>1</v>
      </c>
      <c r="AD50" s="123">
        <v>1</v>
      </c>
      <c r="AE50" s="123">
        <v>1</v>
      </c>
      <c r="AF50" s="123">
        <v>1</v>
      </c>
      <c r="AG50" s="123">
        <v>2</v>
      </c>
      <c r="AH50" s="123">
        <v>1</v>
      </c>
      <c r="AI50" s="123">
        <v>1</v>
      </c>
      <c r="AJ50" s="123">
        <v>6</v>
      </c>
      <c r="AK50" s="123">
        <v>2</v>
      </c>
      <c r="AL50" s="123">
        <v>2</v>
      </c>
      <c r="AM50" s="123">
        <v>2</v>
      </c>
      <c r="AN50" s="123">
        <v>1</v>
      </c>
      <c r="AO50" s="123">
        <v>2</v>
      </c>
      <c r="AP50" s="123">
        <v>2</v>
      </c>
      <c r="AQ50" s="123">
        <v>2</v>
      </c>
      <c r="AR50" s="123">
        <v>2</v>
      </c>
      <c r="AS50" s="123">
        <v>1</v>
      </c>
      <c r="AT50" s="123">
        <v>2</v>
      </c>
      <c r="AU50" s="123">
        <v>0</v>
      </c>
      <c r="AV50" s="123">
        <v>0</v>
      </c>
      <c r="AW50" s="123">
        <v>1</v>
      </c>
      <c r="AX50" s="123">
        <v>0</v>
      </c>
      <c r="AY50" s="123">
        <v>0</v>
      </c>
      <c r="AZ50" s="123">
        <v>1</v>
      </c>
      <c r="BA50" s="123">
        <v>1</v>
      </c>
      <c r="BB50" s="123">
        <v>4</v>
      </c>
      <c r="BC50" s="123">
        <v>2</v>
      </c>
      <c r="BD50" s="123">
        <v>1</v>
      </c>
      <c r="BE50" s="123">
        <v>2</v>
      </c>
      <c r="BF50" s="123">
        <v>1</v>
      </c>
      <c r="BG50" s="123">
        <v>2</v>
      </c>
      <c r="BH50" s="123">
        <v>2</v>
      </c>
      <c r="BI50" s="123">
        <v>1</v>
      </c>
      <c r="BJ50" s="123">
        <v>1</v>
      </c>
      <c r="BK50" s="123">
        <v>2</v>
      </c>
      <c r="BL50" s="123">
        <v>3</v>
      </c>
      <c r="BM50" s="123">
        <v>2</v>
      </c>
      <c r="BN50" s="123">
        <v>2</v>
      </c>
      <c r="BO50" s="123">
        <v>2</v>
      </c>
      <c r="BP50" s="123">
        <v>2</v>
      </c>
      <c r="BQ50" s="123">
        <v>3</v>
      </c>
      <c r="BR50" s="123">
        <v>2</v>
      </c>
      <c r="BS50" s="123">
        <v>2</v>
      </c>
      <c r="BT50" s="123">
        <v>2</v>
      </c>
      <c r="BU50" s="123">
        <v>2</v>
      </c>
      <c r="BV50" s="123">
        <v>2</v>
      </c>
      <c r="BW50" s="123">
        <v>1</v>
      </c>
      <c r="BX50" s="123">
        <v>2</v>
      </c>
      <c r="BY50" s="123">
        <v>2</v>
      </c>
      <c r="BZ50" s="123">
        <v>3</v>
      </c>
      <c r="CA50" s="123">
        <v>1</v>
      </c>
      <c r="CB50" s="123">
        <v>2</v>
      </c>
      <c r="CC50" s="123">
        <v>1</v>
      </c>
      <c r="CD50" s="123">
        <v>1</v>
      </c>
      <c r="CE50" s="123">
        <v>1</v>
      </c>
      <c r="CF50" s="123">
        <v>1</v>
      </c>
      <c r="CG50" s="123">
        <v>1</v>
      </c>
      <c r="CH50" s="123">
        <v>2</v>
      </c>
      <c r="CI50" s="123">
        <v>2</v>
      </c>
      <c r="CJ50" s="123">
        <v>3</v>
      </c>
      <c r="CK50" s="123">
        <v>2</v>
      </c>
      <c r="CL50" s="123">
        <v>4</v>
      </c>
      <c r="CM50" s="123">
        <v>1</v>
      </c>
      <c r="CN50" s="123">
        <v>1</v>
      </c>
      <c r="CO50" s="123">
        <v>3</v>
      </c>
      <c r="CP50" s="123">
        <v>2</v>
      </c>
      <c r="CQ50" s="123">
        <v>3</v>
      </c>
      <c r="CR50" s="123">
        <v>4</v>
      </c>
      <c r="CS50" s="123">
        <v>2</v>
      </c>
      <c r="CT50" s="123">
        <v>3</v>
      </c>
      <c r="CU50" s="123">
        <v>1</v>
      </c>
      <c r="CV50" s="123">
        <v>1</v>
      </c>
      <c r="CW50" s="123">
        <v>3</v>
      </c>
      <c r="CX50" s="123">
        <v>1</v>
      </c>
      <c r="CY50" s="123">
        <v>1</v>
      </c>
      <c r="CZ50" s="123">
        <v>4</v>
      </c>
      <c r="DA50" s="123">
        <v>1</v>
      </c>
      <c r="DB50" s="123">
        <v>3</v>
      </c>
      <c r="DC50" s="123">
        <v>1</v>
      </c>
      <c r="DD50" s="123">
        <v>1</v>
      </c>
      <c r="DE50" s="123">
        <v>2</v>
      </c>
      <c r="DF50" s="123">
        <v>2</v>
      </c>
      <c r="DG50" s="123">
        <v>3</v>
      </c>
      <c r="DH50" s="123">
        <v>2</v>
      </c>
      <c r="DI50" s="123">
        <v>1</v>
      </c>
      <c r="DJ50" s="123">
        <v>2</v>
      </c>
      <c r="DK50" s="123">
        <v>2</v>
      </c>
      <c r="DL50" s="123">
        <v>1</v>
      </c>
      <c r="DM50" s="123">
        <v>5</v>
      </c>
      <c r="DN50" s="123">
        <v>2</v>
      </c>
      <c r="DO50" s="123">
        <v>1</v>
      </c>
      <c r="DP50" s="123">
        <v>4</v>
      </c>
      <c r="DQ50" s="123">
        <v>0</v>
      </c>
      <c r="DR50" s="123">
        <v>0</v>
      </c>
      <c r="DS50" s="123">
        <v>0</v>
      </c>
      <c r="DT50" s="123">
        <v>0</v>
      </c>
      <c r="DU50" s="123">
        <v>0</v>
      </c>
      <c r="DV50" s="123">
        <v>0</v>
      </c>
      <c r="DW50" s="123">
        <v>0</v>
      </c>
      <c r="DX50" s="123">
        <v>1</v>
      </c>
      <c r="DY50" s="123">
        <v>0</v>
      </c>
      <c r="DZ50" s="123">
        <v>0</v>
      </c>
      <c r="EA50" s="123">
        <v>0</v>
      </c>
      <c r="EB50" s="123">
        <v>0</v>
      </c>
      <c r="EC50" s="123">
        <v>1</v>
      </c>
      <c r="ED50" s="123">
        <v>1</v>
      </c>
      <c r="EE50" s="123">
        <v>0</v>
      </c>
      <c r="EF50" s="123">
        <v>0</v>
      </c>
      <c r="EG50" s="123">
        <v>0</v>
      </c>
      <c r="EH50" s="123">
        <v>0</v>
      </c>
      <c r="EI50" s="123">
        <v>0</v>
      </c>
      <c r="EJ50" s="123">
        <v>17601</v>
      </c>
    </row>
    <row r="51" spans="1:140">
      <c r="A51" t="s">
        <v>90</v>
      </c>
      <c r="B51">
        <v>1302017</v>
      </c>
      <c r="C51">
        <v>2</v>
      </c>
      <c r="D51">
        <v>1</v>
      </c>
      <c r="E51">
        <v>35</v>
      </c>
      <c r="F51">
        <v>106</v>
      </c>
      <c r="G51">
        <v>5</v>
      </c>
      <c r="H51">
        <v>1</v>
      </c>
      <c r="I51">
        <v>20.03</v>
      </c>
      <c r="J51">
        <v>19.36</v>
      </c>
      <c r="K51">
        <v>1.1200000000000001</v>
      </c>
      <c r="L51">
        <v>25.32</v>
      </c>
      <c r="M51">
        <v>10.64</v>
      </c>
      <c r="N51">
        <v>0.57999999999999996</v>
      </c>
      <c r="O51">
        <v>1.61</v>
      </c>
      <c r="P51">
        <v>2.19</v>
      </c>
      <c r="Q51">
        <v>56.1</v>
      </c>
      <c r="R51">
        <v>53.18</v>
      </c>
      <c r="S51">
        <v>1143.95</v>
      </c>
      <c r="T51">
        <v>51.73</v>
      </c>
      <c r="U51">
        <v>48.29</v>
      </c>
      <c r="V51">
        <v>118.03</v>
      </c>
      <c r="W51">
        <v>12.54</v>
      </c>
      <c r="X51">
        <v>1</v>
      </c>
      <c r="Y51">
        <v>1</v>
      </c>
      <c r="Z51">
        <v>2</v>
      </c>
      <c r="AA51">
        <v>1</v>
      </c>
      <c r="AB51">
        <v>1</v>
      </c>
      <c r="AC51">
        <v>1</v>
      </c>
      <c r="AD51">
        <v>1</v>
      </c>
      <c r="AE51">
        <v>1</v>
      </c>
      <c r="AF51">
        <v>1</v>
      </c>
      <c r="AG51">
        <v>2</v>
      </c>
      <c r="AH51">
        <v>1</v>
      </c>
      <c r="AI51">
        <v>1</v>
      </c>
      <c r="AJ51">
        <v>1</v>
      </c>
      <c r="AK51">
        <v>1</v>
      </c>
      <c r="AL51">
        <v>2</v>
      </c>
      <c r="AM51">
        <v>3</v>
      </c>
      <c r="AN51">
        <v>2</v>
      </c>
      <c r="AO51">
        <v>1</v>
      </c>
      <c r="AP51">
        <v>2</v>
      </c>
      <c r="AQ51">
        <v>4</v>
      </c>
      <c r="AR51">
        <v>2</v>
      </c>
      <c r="AS51">
        <v>4</v>
      </c>
      <c r="AT51">
        <v>2</v>
      </c>
      <c r="AU51">
        <v>0</v>
      </c>
      <c r="AV51">
        <v>1</v>
      </c>
      <c r="AW51">
        <v>0</v>
      </c>
      <c r="AX51">
        <v>0</v>
      </c>
      <c r="AY51">
        <v>0</v>
      </c>
      <c r="AZ51">
        <v>1</v>
      </c>
      <c r="BA51">
        <v>1</v>
      </c>
      <c r="BB51">
        <v>3</v>
      </c>
      <c r="BC51">
        <v>2</v>
      </c>
      <c r="BD51">
        <v>3</v>
      </c>
      <c r="BE51">
        <v>3</v>
      </c>
      <c r="BF51">
        <v>2</v>
      </c>
      <c r="BG51">
        <v>3</v>
      </c>
      <c r="BH51">
        <v>2</v>
      </c>
      <c r="BI51">
        <v>2</v>
      </c>
      <c r="BJ51">
        <v>2</v>
      </c>
      <c r="BK51">
        <v>2</v>
      </c>
      <c r="BL51">
        <v>2</v>
      </c>
      <c r="BM51">
        <v>2</v>
      </c>
      <c r="BN51">
        <v>1</v>
      </c>
      <c r="BO51">
        <v>2</v>
      </c>
      <c r="BP51">
        <v>2</v>
      </c>
      <c r="BQ51">
        <v>2</v>
      </c>
      <c r="BR51">
        <v>2</v>
      </c>
      <c r="BS51">
        <v>3</v>
      </c>
      <c r="BT51">
        <v>3</v>
      </c>
      <c r="BU51">
        <v>2</v>
      </c>
      <c r="BV51">
        <v>2</v>
      </c>
      <c r="BW51">
        <v>2</v>
      </c>
      <c r="BX51">
        <v>4</v>
      </c>
      <c r="BY51">
        <v>2</v>
      </c>
      <c r="BZ51">
        <v>3</v>
      </c>
      <c r="CA51">
        <v>2</v>
      </c>
      <c r="CB51">
        <v>1</v>
      </c>
      <c r="CC51">
        <v>1</v>
      </c>
      <c r="CD51">
        <v>3</v>
      </c>
      <c r="CE51">
        <v>2</v>
      </c>
      <c r="CF51">
        <v>2</v>
      </c>
      <c r="CG51">
        <v>2</v>
      </c>
      <c r="CH51">
        <v>4</v>
      </c>
      <c r="CI51">
        <v>2</v>
      </c>
      <c r="CJ51">
        <v>4</v>
      </c>
      <c r="CK51">
        <v>2</v>
      </c>
      <c r="CL51">
        <v>4</v>
      </c>
      <c r="CM51">
        <v>1</v>
      </c>
      <c r="CN51">
        <v>1</v>
      </c>
      <c r="CO51">
        <v>2</v>
      </c>
      <c r="CP51">
        <v>2</v>
      </c>
      <c r="CQ51">
        <v>1</v>
      </c>
      <c r="CR51">
        <v>1</v>
      </c>
      <c r="CS51">
        <v>2</v>
      </c>
      <c r="CT51">
        <v>2</v>
      </c>
      <c r="CU51">
        <v>2</v>
      </c>
      <c r="CV51">
        <v>2</v>
      </c>
      <c r="CW51">
        <v>3</v>
      </c>
      <c r="CX51">
        <v>1</v>
      </c>
      <c r="CY51">
        <v>1</v>
      </c>
      <c r="CZ51">
        <v>1</v>
      </c>
      <c r="DA51">
        <v>1</v>
      </c>
      <c r="DB51">
        <v>3</v>
      </c>
      <c r="DC51">
        <v>1</v>
      </c>
      <c r="DD51">
        <v>1</v>
      </c>
      <c r="DE51">
        <v>2</v>
      </c>
      <c r="DF51">
        <v>2</v>
      </c>
      <c r="DG51">
        <v>3</v>
      </c>
      <c r="DH51">
        <v>1</v>
      </c>
      <c r="DI51">
        <v>2</v>
      </c>
      <c r="DJ51">
        <v>2</v>
      </c>
      <c r="DK51">
        <v>1</v>
      </c>
      <c r="DL51">
        <v>1</v>
      </c>
      <c r="DM51">
        <v>2</v>
      </c>
      <c r="DN51">
        <v>4</v>
      </c>
      <c r="DO51">
        <v>1</v>
      </c>
      <c r="DP51">
        <v>3</v>
      </c>
      <c r="DQ51">
        <v>0</v>
      </c>
      <c r="DR51">
        <v>1</v>
      </c>
      <c r="DS51">
        <v>0</v>
      </c>
      <c r="DT51">
        <v>0</v>
      </c>
      <c r="DU51">
        <v>0</v>
      </c>
      <c r="DV51">
        <v>0</v>
      </c>
      <c r="DW51">
        <v>0</v>
      </c>
      <c r="DX51">
        <v>1</v>
      </c>
      <c r="DY51">
        <v>0</v>
      </c>
      <c r="DZ51">
        <v>0</v>
      </c>
      <c r="EA51">
        <v>0</v>
      </c>
      <c r="EB51">
        <v>0</v>
      </c>
      <c r="EC51">
        <v>1</v>
      </c>
      <c r="ED51">
        <v>0</v>
      </c>
      <c r="EE51">
        <v>0</v>
      </c>
      <c r="EF51">
        <v>0</v>
      </c>
      <c r="EG51">
        <v>0</v>
      </c>
      <c r="EH51">
        <v>0</v>
      </c>
      <c r="EI51">
        <v>0</v>
      </c>
      <c r="EJ51">
        <v>17602</v>
      </c>
    </row>
    <row r="52" spans="1:140">
      <c r="A52" t="s">
        <v>91</v>
      </c>
      <c r="B52">
        <v>2112017</v>
      </c>
      <c r="C52">
        <v>2</v>
      </c>
      <c r="D52">
        <v>1</v>
      </c>
      <c r="E52">
        <v>36</v>
      </c>
      <c r="F52">
        <v>150</v>
      </c>
      <c r="G52">
        <v>5</v>
      </c>
      <c r="H52">
        <v>3</v>
      </c>
      <c r="I52">
        <v>26.57</v>
      </c>
      <c r="J52">
        <v>15.65</v>
      </c>
      <c r="K52">
        <v>0.72199999999999998</v>
      </c>
      <c r="L52">
        <v>57.21</v>
      </c>
      <c r="M52">
        <v>1.72</v>
      </c>
      <c r="N52">
        <v>3</v>
      </c>
      <c r="O52">
        <v>3.71</v>
      </c>
      <c r="P52">
        <v>6.71</v>
      </c>
      <c r="Q52">
        <v>48.5</v>
      </c>
      <c r="R52">
        <v>42.05</v>
      </c>
      <c r="S52">
        <v>1161.01</v>
      </c>
      <c r="T52">
        <v>41.45</v>
      </c>
      <c r="U52">
        <v>55.5</v>
      </c>
      <c r="V52">
        <v>135.94</v>
      </c>
      <c r="W52">
        <v>20.6</v>
      </c>
      <c r="X52">
        <v>1</v>
      </c>
      <c r="Y52">
        <v>1</v>
      </c>
      <c r="Z52">
        <v>2</v>
      </c>
      <c r="AA52">
        <v>1</v>
      </c>
      <c r="AB52">
        <v>2</v>
      </c>
      <c r="AC52">
        <v>1</v>
      </c>
      <c r="AD52">
        <v>1</v>
      </c>
      <c r="AE52">
        <v>1</v>
      </c>
      <c r="AF52">
        <v>1</v>
      </c>
      <c r="AG52">
        <v>2</v>
      </c>
      <c r="AH52">
        <v>1</v>
      </c>
      <c r="AI52">
        <v>1</v>
      </c>
      <c r="AJ52">
        <v>1</v>
      </c>
      <c r="AK52">
        <v>1</v>
      </c>
      <c r="AL52">
        <v>2</v>
      </c>
      <c r="AM52">
        <v>1</v>
      </c>
      <c r="AN52">
        <v>1</v>
      </c>
      <c r="AO52">
        <v>6</v>
      </c>
      <c r="AP52">
        <v>2</v>
      </c>
      <c r="AQ52">
        <v>1</v>
      </c>
      <c r="AR52">
        <v>2</v>
      </c>
      <c r="AS52">
        <v>1</v>
      </c>
      <c r="AT52">
        <v>2</v>
      </c>
      <c r="AU52">
        <v>0</v>
      </c>
      <c r="AV52">
        <v>0</v>
      </c>
      <c r="AW52">
        <v>0</v>
      </c>
      <c r="AX52">
        <v>0</v>
      </c>
      <c r="AY52">
        <v>1</v>
      </c>
      <c r="AZ52">
        <v>1</v>
      </c>
      <c r="BA52">
        <v>1</v>
      </c>
      <c r="BB52">
        <v>3</v>
      </c>
      <c r="BC52">
        <v>1</v>
      </c>
      <c r="BD52">
        <v>2</v>
      </c>
      <c r="BE52">
        <v>2</v>
      </c>
      <c r="BF52">
        <v>2</v>
      </c>
      <c r="BG52">
        <v>1</v>
      </c>
      <c r="BH52">
        <v>1</v>
      </c>
      <c r="BI52">
        <v>3</v>
      </c>
      <c r="BJ52">
        <v>1</v>
      </c>
      <c r="BK52">
        <v>1</v>
      </c>
      <c r="BL52">
        <v>2</v>
      </c>
      <c r="BM52">
        <v>1</v>
      </c>
      <c r="BN52">
        <v>1</v>
      </c>
      <c r="BO52">
        <v>2</v>
      </c>
      <c r="BP52">
        <v>1</v>
      </c>
      <c r="BQ52">
        <v>2</v>
      </c>
      <c r="BR52">
        <v>2</v>
      </c>
      <c r="BS52">
        <v>1</v>
      </c>
      <c r="BT52">
        <v>1</v>
      </c>
      <c r="BU52">
        <v>1</v>
      </c>
      <c r="BV52">
        <v>4</v>
      </c>
      <c r="BW52">
        <v>1</v>
      </c>
      <c r="BX52">
        <v>6</v>
      </c>
      <c r="BY52">
        <v>3</v>
      </c>
      <c r="BZ52">
        <v>6</v>
      </c>
      <c r="CA52">
        <v>3</v>
      </c>
      <c r="CB52">
        <v>1</v>
      </c>
      <c r="CC52">
        <v>1</v>
      </c>
      <c r="CD52">
        <v>3</v>
      </c>
      <c r="CE52">
        <v>1</v>
      </c>
      <c r="CF52">
        <v>2</v>
      </c>
      <c r="CG52">
        <v>1</v>
      </c>
      <c r="CH52">
        <v>6</v>
      </c>
      <c r="CI52">
        <v>3</v>
      </c>
      <c r="CJ52">
        <v>5</v>
      </c>
      <c r="CK52">
        <v>1</v>
      </c>
      <c r="CL52">
        <v>4</v>
      </c>
      <c r="CM52">
        <v>1</v>
      </c>
      <c r="CN52">
        <v>1</v>
      </c>
      <c r="CO52">
        <v>3</v>
      </c>
      <c r="CP52">
        <v>1</v>
      </c>
      <c r="CQ52">
        <v>2</v>
      </c>
      <c r="CR52">
        <v>1</v>
      </c>
      <c r="CS52">
        <v>2</v>
      </c>
      <c r="CT52">
        <v>3</v>
      </c>
      <c r="CU52">
        <v>1</v>
      </c>
      <c r="CV52">
        <v>1</v>
      </c>
      <c r="CW52">
        <v>3</v>
      </c>
      <c r="CX52">
        <v>1</v>
      </c>
      <c r="CY52">
        <v>1</v>
      </c>
      <c r="CZ52">
        <v>1</v>
      </c>
      <c r="DA52">
        <v>1</v>
      </c>
      <c r="DB52">
        <v>3</v>
      </c>
      <c r="DC52">
        <v>1</v>
      </c>
      <c r="DD52">
        <v>1</v>
      </c>
      <c r="DE52">
        <v>1</v>
      </c>
      <c r="DF52">
        <v>2</v>
      </c>
      <c r="DG52">
        <v>3</v>
      </c>
      <c r="DH52">
        <v>1</v>
      </c>
      <c r="DI52">
        <v>2</v>
      </c>
      <c r="DJ52">
        <v>2</v>
      </c>
      <c r="DK52">
        <v>1</v>
      </c>
      <c r="DL52">
        <v>1</v>
      </c>
      <c r="DM52">
        <v>2</v>
      </c>
      <c r="DN52">
        <v>6</v>
      </c>
      <c r="DO52">
        <v>1</v>
      </c>
      <c r="DP52">
        <v>6</v>
      </c>
      <c r="DQ52">
        <v>1</v>
      </c>
      <c r="DR52">
        <v>0</v>
      </c>
      <c r="DS52">
        <v>0</v>
      </c>
      <c r="DT52">
        <v>0</v>
      </c>
      <c r="DU52">
        <v>0</v>
      </c>
      <c r="DV52">
        <v>0</v>
      </c>
      <c r="DW52">
        <v>0</v>
      </c>
      <c r="DX52">
        <v>1</v>
      </c>
      <c r="DY52">
        <v>0</v>
      </c>
      <c r="DZ52">
        <v>0</v>
      </c>
      <c r="EA52">
        <v>0</v>
      </c>
      <c r="EB52">
        <v>0</v>
      </c>
      <c r="EC52">
        <v>2</v>
      </c>
      <c r="ED52">
        <v>1</v>
      </c>
      <c r="EE52">
        <v>0</v>
      </c>
      <c r="EF52">
        <v>0</v>
      </c>
      <c r="EG52">
        <v>0</v>
      </c>
      <c r="EH52">
        <v>0</v>
      </c>
      <c r="EI52">
        <v>0</v>
      </c>
      <c r="EJ52">
        <v>17603</v>
      </c>
    </row>
    <row r="53" spans="1:140">
      <c r="A53" t="s">
        <v>92</v>
      </c>
      <c r="B53">
        <v>2032017</v>
      </c>
      <c r="C53">
        <v>2</v>
      </c>
      <c r="D53" s="20">
        <v>2</v>
      </c>
      <c r="E53">
        <v>32</v>
      </c>
      <c r="F53">
        <v>108</v>
      </c>
      <c r="G53">
        <v>5</v>
      </c>
      <c r="H53">
        <v>5</v>
      </c>
      <c r="I53">
        <v>17.97</v>
      </c>
      <c r="J53">
        <v>33.31</v>
      </c>
      <c r="K53">
        <v>3.01</v>
      </c>
      <c r="L53">
        <v>84.18</v>
      </c>
      <c r="M53">
        <v>60.3</v>
      </c>
      <c r="N53">
        <v>1.69</v>
      </c>
      <c r="O53">
        <v>1.01</v>
      </c>
      <c r="P53">
        <v>2.69</v>
      </c>
      <c r="Q53">
        <v>92.48</v>
      </c>
      <c r="R53">
        <v>51.3</v>
      </c>
      <c r="S53">
        <v>1581.05</v>
      </c>
      <c r="T53">
        <v>54.68</v>
      </c>
      <c r="U53">
        <v>69.83</v>
      </c>
      <c r="V53">
        <v>191.41</v>
      </c>
      <c r="W53">
        <v>11.15</v>
      </c>
      <c r="X53">
        <v>2</v>
      </c>
      <c r="Y53">
        <v>1</v>
      </c>
      <c r="Z53">
        <v>1</v>
      </c>
      <c r="AA53">
        <v>2</v>
      </c>
      <c r="AB53">
        <v>1</v>
      </c>
      <c r="AC53">
        <v>1</v>
      </c>
      <c r="AD53">
        <v>1</v>
      </c>
      <c r="AE53">
        <v>1</v>
      </c>
      <c r="AF53">
        <v>1</v>
      </c>
      <c r="AG53">
        <v>2</v>
      </c>
      <c r="AH53">
        <v>1</v>
      </c>
      <c r="AI53">
        <v>1</v>
      </c>
      <c r="AJ53">
        <v>1</v>
      </c>
      <c r="AK53">
        <v>1</v>
      </c>
      <c r="AL53">
        <v>2</v>
      </c>
      <c r="AM53">
        <v>1</v>
      </c>
      <c r="AN53">
        <v>1</v>
      </c>
      <c r="AO53">
        <v>2</v>
      </c>
      <c r="AP53">
        <v>2</v>
      </c>
      <c r="AQ53">
        <v>6</v>
      </c>
      <c r="AR53">
        <v>3</v>
      </c>
      <c r="AS53">
        <v>1</v>
      </c>
      <c r="AT53">
        <v>2</v>
      </c>
      <c r="AU53">
        <v>0</v>
      </c>
      <c r="AV53">
        <v>0</v>
      </c>
      <c r="AW53">
        <v>1</v>
      </c>
      <c r="AX53">
        <v>1</v>
      </c>
      <c r="AY53">
        <v>0</v>
      </c>
      <c r="AZ53">
        <v>1</v>
      </c>
      <c r="BA53">
        <v>1</v>
      </c>
      <c r="BB53">
        <v>5</v>
      </c>
      <c r="BC53">
        <v>3</v>
      </c>
      <c r="BD53">
        <v>3</v>
      </c>
      <c r="BE53">
        <v>2</v>
      </c>
      <c r="BF53">
        <v>2</v>
      </c>
      <c r="BG53">
        <v>3</v>
      </c>
      <c r="BH53">
        <v>1</v>
      </c>
      <c r="BI53">
        <v>1</v>
      </c>
      <c r="BJ53">
        <v>1</v>
      </c>
      <c r="BK53">
        <v>2</v>
      </c>
      <c r="BL53">
        <v>3</v>
      </c>
      <c r="BM53">
        <v>1</v>
      </c>
      <c r="BN53">
        <v>1</v>
      </c>
      <c r="BO53">
        <v>2</v>
      </c>
      <c r="BP53">
        <v>1</v>
      </c>
      <c r="BQ53">
        <v>2</v>
      </c>
      <c r="BR53">
        <v>2</v>
      </c>
      <c r="BS53">
        <v>2</v>
      </c>
      <c r="BT53">
        <v>3</v>
      </c>
      <c r="BU53">
        <v>2</v>
      </c>
      <c r="BV53">
        <v>4</v>
      </c>
      <c r="BW53">
        <v>2</v>
      </c>
      <c r="BX53">
        <v>3</v>
      </c>
      <c r="BY53">
        <v>1</v>
      </c>
      <c r="BZ53">
        <v>5</v>
      </c>
      <c r="CA53">
        <v>2</v>
      </c>
      <c r="CB53">
        <v>1</v>
      </c>
      <c r="CC53">
        <v>1</v>
      </c>
      <c r="CD53">
        <v>3</v>
      </c>
      <c r="CE53">
        <v>1</v>
      </c>
      <c r="CF53">
        <v>1</v>
      </c>
      <c r="CG53">
        <v>1</v>
      </c>
      <c r="CH53">
        <v>6</v>
      </c>
      <c r="CI53">
        <v>1</v>
      </c>
      <c r="CJ53">
        <v>4</v>
      </c>
      <c r="CK53">
        <v>1</v>
      </c>
      <c r="CL53">
        <v>4</v>
      </c>
      <c r="CM53">
        <v>1</v>
      </c>
      <c r="CN53">
        <v>1</v>
      </c>
      <c r="CO53">
        <v>4</v>
      </c>
      <c r="CP53">
        <v>2</v>
      </c>
      <c r="CQ53">
        <v>2</v>
      </c>
      <c r="CR53">
        <v>2</v>
      </c>
      <c r="CS53">
        <v>1</v>
      </c>
      <c r="CT53">
        <v>3</v>
      </c>
      <c r="CU53">
        <v>5</v>
      </c>
      <c r="CV53">
        <v>2</v>
      </c>
      <c r="CW53">
        <v>3</v>
      </c>
      <c r="CX53">
        <v>1</v>
      </c>
      <c r="CY53">
        <v>1</v>
      </c>
      <c r="CZ53">
        <v>3</v>
      </c>
      <c r="DA53">
        <v>2</v>
      </c>
      <c r="DB53">
        <v>3</v>
      </c>
      <c r="DC53">
        <v>1</v>
      </c>
      <c r="DD53">
        <v>1</v>
      </c>
      <c r="DE53">
        <v>4</v>
      </c>
      <c r="DF53">
        <v>2</v>
      </c>
      <c r="DG53">
        <v>3</v>
      </c>
      <c r="DH53">
        <v>2</v>
      </c>
      <c r="DI53">
        <v>2</v>
      </c>
      <c r="DJ53">
        <v>2</v>
      </c>
      <c r="DK53">
        <v>1</v>
      </c>
      <c r="DL53">
        <v>1</v>
      </c>
      <c r="DM53">
        <v>1</v>
      </c>
      <c r="DN53">
        <v>3</v>
      </c>
      <c r="DO53">
        <v>1</v>
      </c>
      <c r="DP53">
        <v>5</v>
      </c>
      <c r="DQ53">
        <v>1</v>
      </c>
      <c r="DR53">
        <v>1</v>
      </c>
      <c r="DS53">
        <v>0</v>
      </c>
      <c r="DT53">
        <v>0</v>
      </c>
      <c r="DU53">
        <v>0</v>
      </c>
      <c r="DV53">
        <v>0</v>
      </c>
      <c r="DW53">
        <v>0</v>
      </c>
      <c r="DX53">
        <v>0</v>
      </c>
      <c r="DY53">
        <v>0</v>
      </c>
      <c r="DZ53">
        <v>0</v>
      </c>
      <c r="EA53">
        <v>0</v>
      </c>
      <c r="EB53">
        <v>0</v>
      </c>
      <c r="EC53">
        <v>2</v>
      </c>
      <c r="ED53">
        <v>1</v>
      </c>
      <c r="EE53">
        <v>0</v>
      </c>
      <c r="EF53">
        <v>0</v>
      </c>
      <c r="EG53">
        <v>0</v>
      </c>
      <c r="EH53">
        <v>0</v>
      </c>
      <c r="EI53">
        <v>0</v>
      </c>
      <c r="EJ53">
        <v>17604</v>
      </c>
    </row>
    <row r="54" spans="1:140">
      <c r="A54" t="s">
        <v>118</v>
      </c>
      <c r="B54">
        <v>3242017</v>
      </c>
      <c r="C54">
        <v>2</v>
      </c>
      <c r="D54">
        <v>1</v>
      </c>
      <c r="E54">
        <v>41</v>
      </c>
      <c r="F54">
        <v>201</v>
      </c>
      <c r="G54">
        <v>5</v>
      </c>
      <c r="H54">
        <v>5</v>
      </c>
      <c r="I54">
        <v>33.450000000000003</v>
      </c>
      <c r="J54">
        <v>15.79</v>
      </c>
      <c r="K54">
        <v>1.75</v>
      </c>
      <c r="L54">
        <v>90.9</v>
      </c>
      <c r="M54">
        <v>52.2</v>
      </c>
      <c r="N54">
        <v>2.58</v>
      </c>
      <c r="O54">
        <v>0.85499999999999998</v>
      </c>
      <c r="P54">
        <v>3.44</v>
      </c>
      <c r="Q54">
        <v>62.5</v>
      </c>
      <c r="R54">
        <v>45.95</v>
      </c>
      <c r="S54">
        <v>1010.96</v>
      </c>
      <c r="T54">
        <v>27.17</v>
      </c>
      <c r="U54">
        <v>39.25</v>
      </c>
      <c r="V54">
        <v>142.65</v>
      </c>
      <c r="W54">
        <v>6.63</v>
      </c>
      <c r="X54">
        <v>1</v>
      </c>
      <c r="Y54">
        <v>1</v>
      </c>
      <c r="Z54">
        <v>2</v>
      </c>
      <c r="AA54">
        <v>4</v>
      </c>
      <c r="AB54">
        <v>3</v>
      </c>
      <c r="AC54">
        <v>1</v>
      </c>
      <c r="AD54">
        <v>1</v>
      </c>
      <c r="AE54">
        <v>1</v>
      </c>
      <c r="AF54">
        <v>1</v>
      </c>
      <c r="AG54">
        <v>2</v>
      </c>
      <c r="AH54">
        <v>1</v>
      </c>
      <c r="AI54">
        <v>1</v>
      </c>
      <c r="AJ54">
        <v>4</v>
      </c>
      <c r="AK54">
        <v>2</v>
      </c>
      <c r="AL54">
        <v>2</v>
      </c>
      <c r="AM54">
        <v>1</v>
      </c>
      <c r="AN54">
        <v>1</v>
      </c>
      <c r="AO54">
        <v>4</v>
      </c>
      <c r="AP54">
        <v>2</v>
      </c>
      <c r="AQ54">
        <v>3</v>
      </c>
      <c r="AR54">
        <v>2</v>
      </c>
      <c r="AS54">
        <v>2</v>
      </c>
      <c r="AT54">
        <v>2</v>
      </c>
      <c r="AU54">
        <v>0</v>
      </c>
      <c r="AV54">
        <v>0</v>
      </c>
      <c r="AW54">
        <v>1</v>
      </c>
      <c r="AX54">
        <v>0</v>
      </c>
      <c r="AY54">
        <v>0</v>
      </c>
      <c r="AZ54">
        <v>2</v>
      </c>
      <c r="BA54">
        <v>2</v>
      </c>
      <c r="BB54">
        <v>4</v>
      </c>
      <c r="BC54">
        <v>2</v>
      </c>
      <c r="BD54">
        <v>2</v>
      </c>
      <c r="BE54">
        <v>1</v>
      </c>
      <c r="BF54">
        <v>2</v>
      </c>
      <c r="BG54">
        <v>1</v>
      </c>
      <c r="BH54">
        <v>1</v>
      </c>
      <c r="BI54">
        <v>1</v>
      </c>
      <c r="BJ54">
        <v>1</v>
      </c>
      <c r="BK54">
        <v>2</v>
      </c>
      <c r="BL54">
        <v>2</v>
      </c>
      <c r="BM54">
        <v>1</v>
      </c>
      <c r="BN54">
        <v>1</v>
      </c>
      <c r="BO54">
        <v>1</v>
      </c>
      <c r="BP54">
        <v>1</v>
      </c>
      <c r="BQ54">
        <v>1</v>
      </c>
      <c r="BR54">
        <v>2</v>
      </c>
      <c r="BS54">
        <v>2</v>
      </c>
      <c r="BT54">
        <v>2</v>
      </c>
      <c r="BU54">
        <v>2</v>
      </c>
      <c r="BV54">
        <v>2</v>
      </c>
      <c r="BW54">
        <v>1</v>
      </c>
      <c r="BX54">
        <v>4</v>
      </c>
      <c r="BY54">
        <v>2</v>
      </c>
      <c r="BZ54">
        <v>5</v>
      </c>
      <c r="CA54">
        <v>2</v>
      </c>
      <c r="CB54">
        <v>1</v>
      </c>
      <c r="CC54">
        <v>1</v>
      </c>
      <c r="CD54">
        <v>1</v>
      </c>
      <c r="CE54">
        <v>1</v>
      </c>
      <c r="CF54">
        <v>1</v>
      </c>
      <c r="CG54">
        <v>2</v>
      </c>
      <c r="CH54">
        <v>4</v>
      </c>
      <c r="CI54">
        <v>1</v>
      </c>
      <c r="CJ54">
        <v>3</v>
      </c>
      <c r="CK54">
        <v>1</v>
      </c>
      <c r="CL54">
        <v>2</v>
      </c>
      <c r="CM54">
        <v>1</v>
      </c>
      <c r="CN54">
        <v>1</v>
      </c>
      <c r="CO54">
        <v>4</v>
      </c>
      <c r="CP54">
        <v>1</v>
      </c>
      <c r="CQ54">
        <v>2</v>
      </c>
      <c r="CR54">
        <v>1</v>
      </c>
      <c r="CS54">
        <v>2</v>
      </c>
      <c r="CT54">
        <v>3</v>
      </c>
      <c r="CU54">
        <v>1</v>
      </c>
      <c r="CV54">
        <v>1</v>
      </c>
      <c r="CW54">
        <v>3</v>
      </c>
      <c r="CX54">
        <v>1</v>
      </c>
      <c r="CY54">
        <v>1</v>
      </c>
      <c r="CZ54">
        <v>2</v>
      </c>
      <c r="DA54">
        <v>2</v>
      </c>
      <c r="DB54">
        <v>3</v>
      </c>
      <c r="DC54">
        <v>1</v>
      </c>
      <c r="DD54">
        <v>1</v>
      </c>
      <c r="DE54">
        <v>3</v>
      </c>
      <c r="DF54">
        <v>2</v>
      </c>
      <c r="DG54">
        <v>3</v>
      </c>
      <c r="DH54">
        <v>1</v>
      </c>
      <c r="DI54">
        <v>2</v>
      </c>
      <c r="DJ54">
        <v>2</v>
      </c>
      <c r="DK54">
        <v>1</v>
      </c>
      <c r="DL54">
        <v>1</v>
      </c>
      <c r="DM54">
        <v>2</v>
      </c>
      <c r="DN54">
        <v>5</v>
      </c>
      <c r="DO54">
        <v>1</v>
      </c>
      <c r="DP54">
        <v>4</v>
      </c>
      <c r="DQ54">
        <v>0</v>
      </c>
      <c r="DR54">
        <v>1</v>
      </c>
      <c r="DS54">
        <v>0</v>
      </c>
      <c r="DT54">
        <v>0</v>
      </c>
      <c r="DU54">
        <v>0</v>
      </c>
      <c r="DV54">
        <v>0</v>
      </c>
      <c r="DW54">
        <v>0</v>
      </c>
      <c r="DX54">
        <v>1</v>
      </c>
      <c r="DY54">
        <v>0</v>
      </c>
      <c r="DZ54">
        <v>0</v>
      </c>
      <c r="EA54">
        <v>0</v>
      </c>
      <c r="EB54">
        <v>0</v>
      </c>
      <c r="EC54">
        <v>1</v>
      </c>
      <c r="ED54">
        <v>1</v>
      </c>
      <c r="EE54">
        <v>0</v>
      </c>
      <c r="EF54">
        <v>0</v>
      </c>
      <c r="EG54">
        <v>0</v>
      </c>
      <c r="EH54">
        <v>0</v>
      </c>
      <c r="EI54">
        <v>0</v>
      </c>
      <c r="EJ54">
        <v>17581</v>
      </c>
    </row>
    <row r="55" spans="1:140">
      <c r="A55" t="s">
        <v>94</v>
      </c>
      <c r="B55">
        <v>2222017</v>
      </c>
      <c r="C55">
        <v>2</v>
      </c>
      <c r="D55">
        <v>1</v>
      </c>
      <c r="E55">
        <v>20</v>
      </c>
      <c r="F55">
        <v>147</v>
      </c>
      <c r="G55">
        <v>5</v>
      </c>
      <c r="H55">
        <v>4</v>
      </c>
      <c r="I55">
        <v>25.23</v>
      </c>
      <c r="J55">
        <v>12.12</v>
      </c>
      <c r="K55">
        <v>1.1299999999999999</v>
      </c>
      <c r="L55">
        <v>96.51</v>
      </c>
      <c r="M55">
        <v>45.5</v>
      </c>
      <c r="N55">
        <v>2.16</v>
      </c>
      <c r="O55">
        <v>2.44</v>
      </c>
      <c r="P55">
        <v>4.5999999999999996</v>
      </c>
      <c r="Q55">
        <v>79.19</v>
      </c>
      <c r="R55">
        <v>49.25</v>
      </c>
      <c r="S55">
        <v>1213.81</v>
      </c>
      <c r="T55">
        <v>50.09</v>
      </c>
      <c r="U55">
        <v>39.54</v>
      </c>
      <c r="V55">
        <v>170.92</v>
      </c>
      <c r="W55">
        <v>10.14</v>
      </c>
      <c r="X55">
        <v>1</v>
      </c>
      <c r="Y55">
        <v>1</v>
      </c>
      <c r="Z55">
        <v>1</v>
      </c>
      <c r="AA55">
        <v>5</v>
      </c>
      <c r="AB55">
        <v>3</v>
      </c>
      <c r="AC55">
        <v>4</v>
      </c>
      <c r="AD55">
        <v>3</v>
      </c>
      <c r="AE55">
        <v>4</v>
      </c>
      <c r="AF55">
        <v>2</v>
      </c>
      <c r="AG55">
        <v>2</v>
      </c>
      <c r="AH55">
        <v>2</v>
      </c>
      <c r="AI55">
        <v>1</v>
      </c>
      <c r="AJ55">
        <v>2</v>
      </c>
      <c r="AK55">
        <v>1</v>
      </c>
      <c r="AL55">
        <v>2</v>
      </c>
      <c r="AM55">
        <v>1</v>
      </c>
      <c r="AN55">
        <v>1</v>
      </c>
      <c r="AO55">
        <v>2</v>
      </c>
      <c r="AP55">
        <v>2</v>
      </c>
      <c r="AQ55">
        <v>1</v>
      </c>
      <c r="AR55">
        <v>2</v>
      </c>
      <c r="AS55">
        <v>1</v>
      </c>
      <c r="AT55">
        <v>2</v>
      </c>
      <c r="AU55">
        <v>0</v>
      </c>
      <c r="AV55">
        <v>1</v>
      </c>
      <c r="AW55">
        <v>0</v>
      </c>
      <c r="AX55">
        <v>0</v>
      </c>
      <c r="AY55">
        <v>0</v>
      </c>
      <c r="AZ55">
        <v>1</v>
      </c>
      <c r="BA55">
        <v>1</v>
      </c>
      <c r="BB55">
        <v>3</v>
      </c>
      <c r="BC55">
        <v>1</v>
      </c>
      <c r="BD55">
        <v>1</v>
      </c>
      <c r="BE55">
        <v>2</v>
      </c>
      <c r="BF55">
        <v>2</v>
      </c>
      <c r="BG55">
        <v>1</v>
      </c>
      <c r="BH55">
        <v>1</v>
      </c>
      <c r="BI55">
        <v>2</v>
      </c>
      <c r="BJ55">
        <v>1</v>
      </c>
      <c r="BK55">
        <v>1</v>
      </c>
      <c r="BL55">
        <v>2</v>
      </c>
      <c r="BM55">
        <v>1</v>
      </c>
      <c r="BN55">
        <v>2</v>
      </c>
      <c r="BO55">
        <v>1</v>
      </c>
      <c r="BP55">
        <v>4</v>
      </c>
      <c r="BQ55">
        <v>3</v>
      </c>
      <c r="BR55">
        <v>2</v>
      </c>
      <c r="BS55">
        <v>3</v>
      </c>
      <c r="BT55">
        <v>3</v>
      </c>
      <c r="BU55">
        <v>2</v>
      </c>
      <c r="BV55">
        <v>2</v>
      </c>
      <c r="BW55">
        <v>1</v>
      </c>
      <c r="BX55">
        <v>5</v>
      </c>
      <c r="BY55">
        <v>2</v>
      </c>
      <c r="BZ55">
        <v>3</v>
      </c>
      <c r="CA55">
        <v>2</v>
      </c>
      <c r="CB55">
        <v>1</v>
      </c>
      <c r="CC55">
        <v>1</v>
      </c>
      <c r="CD55">
        <v>3</v>
      </c>
      <c r="CE55">
        <v>1</v>
      </c>
      <c r="CF55">
        <v>1</v>
      </c>
      <c r="CG55">
        <v>1</v>
      </c>
      <c r="CH55">
        <v>3</v>
      </c>
      <c r="CI55">
        <v>2</v>
      </c>
      <c r="CJ55">
        <v>4</v>
      </c>
      <c r="CK55">
        <v>2</v>
      </c>
      <c r="CL55">
        <v>4</v>
      </c>
      <c r="CM55">
        <v>1</v>
      </c>
      <c r="CN55">
        <v>1</v>
      </c>
      <c r="CO55" t="s">
        <v>756</v>
      </c>
      <c r="CP55">
        <v>2</v>
      </c>
      <c r="CQ55">
        <v>2</v>
      </c>
      <c r="CR55">
        <v>2</v>
      </c>
      <c r="CS55">
        <v>2</v>
      </c>
      <c r="CT55">
        <v>3</v>
      </c>
      <c r="CU55">
        <v>1</v>
      </c>
      <c r="CV55">
        <v>1</v>
      </c>
      <c r="CW55">
        <v>4</v>
      </c>
      <c r="CX55">
        <v>1</v>
      </c>
      <c r="CY55">
        <v>1</v>
      </c>
      <c r="CZ55">
        <v>1</v>
      </c>
      <c r="DA55">
        <v>1</v>
      </c>
      <c r="DB55">
        <v>3</v>
      </c>
      <c r="DC55">
        <v>1</v>
      </c>
      <c r="DD55">
        <v>1</v>
      </c>
      <c r="DE55">
        <v>1</v>
      </c>
      <c r="DF55">
        <v>2</v>
      </c>
      <c r="DG55">
        <v>3</v>
      </c>
      <c r="DH55">
        <v>2</v>
      </c>
      <c r="DI55">
        <v>1</v>
      </c>
      <c r="DJ55">
        <v>2</v>
      </c>
      <c r="DK55">
        <v>1</v>
      </c>
      <c r="DL55">
        <v>1</v>
      </c>
      <c r="DM55">
        <v>2</v>
      </c>
      <c r="DN55">
        <v>4</v>
      </c>
      <c r="DO55">
        <v>1</v>
      </c>
      <c r="DP55">
        <v>3</v>
      </c>
      <c r="DQ55">
        <v>0</v>
      </c>
      <c r="DR55">
        <v>1</v>
      </c>
      <c r="DS55">
        <v>0</v>
      </c>
      <c r="DT55">
        <v>0</v>
      </c>
      <c r="DU55">
        <v>0</v>
      </c>
      <c r="DV55">
        <v>0</v>
      </c>
      <c r="DW55">
        <v>0</v>
      </c>
      <c r="DX55">
        <v>1</v>
      </c>
      <c r="DY55">
        <v>0</v>
      </c>
      <c r="DZ55">
        <v>0</v>
      </c>
      <c r="EA55">
        <v>0</v>
      </c>
      <c r="EB55">
        <v>0</v>
      </c>
      <c r="EC55">
        <v>1</v>
      </c>
      <c r="ED55">
        <v>1</v>
      </c>
      <c r="EE55">
        <v>0</v>
      </c>
      <c r="EF55">
        <v>0</v>
      </c>
      <c r="EG55">
        <v>0</v>
      </c>
      <c r="EH55">
        <v>0</v>
      </c>
      <c r="EI55">
        <v>0</v>
      </c>
      <c r="EJ55">
        <v>17591</v>
      </c>
    </row>
    <row r="56" spans="1:140">
      <c r="A56" t="s">
        <v>95</v>
      </c>
      <c r="B56">
        <v>3152017</v>
      </c>
      <c r="C56">
        <v>2</v>
      </c>
      <c r="D56">
        <v>1</v>
      </c>
      <c r="E56">
        <v>37</v>
      </c>
      <c r="F56">
        <v>150</v>
      </c>
      <c r="G56">
        <v>5</v>
      </c>
      <c r="H56">
        <v>5</v>
      </c>
      <c r="I56">
        <v>24.96</v>
      </c>
      <c r="J56">
        <v>12.51</v>
      </c>
      <c r="K56">
        <v>0.89</v>
      </c>
      <c r="L56">
        <v>28.92</v>
      </c>
      <c r="M56">
        <v>5.0199999999999996</v>
      </c>
      <c r="N56">
        <v>2</v>
      </c>
      <c r="O56">
        <v>1.5</v>
      </c>
      <c r="P56">
        <v>3.5</v>
      </c>
      <c r="Q56">
        <v>39.049999999999997</v>
      </c>
      <c r="R56">
        <v>50.4</v>
      </c>
      <c r="S56">
        <v>793.69</v>
      </c>
      <c r="T56">
        <v>39.18</v>
      </c>
      <c r="U56">
        <v>34.01</v>
      </c>
      <c r="V56">
        <v>88.92</v>
      </c>
      <c r="W56">
        <v>11.44</v>
      </c>
      <c r="X56">
        <v>2</v>
      </c>
      <c r="Y56">
        <v>1</v>
      </c>
      <c r="Z56">
        <v>2</v>
      </c>
      <c r="AA56">
        <v>1</v>
      </c>
      <c r="AB56">
        <v>2</v>
      </c>
      <c r="AC56">
        <v>1</v>
      </c>
      <c r="AD56">
        <v>1</v>
      </c>
      <c r="AE56">
        <v>1</v>
      </c>
      <c r="AF56">
        <v>1</v>
      </c>
      <c r="AG56">
        <v>2</v>
      </c>
      <c r="AH56">
        <v>1</v>
      </c>
      <c r="AI56">
        <v>1</v>
      </c>
      <c r="AJ56">
        <v>2</v>
      </c>
      <c r="AK56">
        <v>1</v>
      </c>
      <c r="AL56">
        <v>1</v>
      </c>
      <c r="AM56">
        <v>1</v>
      </c>
      <c r="AN56">
        <v>1</v>
      </c>
      <c r="AO56">
        <v>2</v>
      </c>
      <c r="AP56">
        <v>2</v>
      </c>
      <c r="AQ56">
        <v>3</v>
      </c>
      <c r="AR56">
        <v>2</v>
      </c>
      <c r="AS56">
        <v>1</v>
      </c>
      <c r="AT56">
        <v>1</v>
      </c>
      <c r="AU56">
        <v>0</v>
      </c>
      <c r="AV56">
        <v>1</v>
      </c>
      <c r="AW56">
        <v>0</v>
      </c>
      <c r="AX56">
        <v>1</v>
      </c>
      <c r="AY56">
        <v>0</v>
      </c>
      <c r="AZ56">
        <v>1</v>
      </c>
      <c r="BA56">
        <v>1</v>
      </c>
      <c r="BB56">
        <v>2</v>
      </c>
      <c r="BC56">
        <v>2</v>
      </c>
      <c r="BD56">
        <v>2</v>
      </c>
      <c r="BE56">
        <v>2</v>
      </c>
      <c r="BF56">
        <v>1</v>
      </c>
      <c r="BG56">
        <v>2</v>
      </c>
      <c r="BH56">
        <v>2</v>
      </c>
      <c r="BI56">
        <v>1</v>
      </c>
      <c r="BJ56">
        <v>1</v>
      </c>
      <c r="BK56">
        <v>1</v>
      </c>
      <c r="BL56">
        <v>4</v>
      </c>
      <c r="BM56">
        <v>1</v>
      </c>
      <c r="BN56">
        <v>1</v>
      </c>
      <c r="BO56">
        <v>2</v>
      </c>
      <c r="BP56">
        <v>1</v>
      </c>
      <c r="BQ56">
        <v>1</v>
      </c>
      <c r="BR56">
        <v>2</v>
      </c>
      <c r="BS56">
        <v>1</v>
      </c>
      <c r="BT56">
        <v>2</v>
      </c>
      <c r="BU56">
        <v>2</v>
      </c>
      <c r="BV56">
        <v>3</v>
      </c>
      <c r="BW56">
        <v>1</v>
      </c>
      <c r="BX56">
        <v>6</v>
      </c>
      <c r="BY56">
        <v>2</v>
      </c>
      <c r="BZ56">
        <v>6</v>
      </c>
      <c r="CA56">
        <v>2</v>
      </c>
      <c r="CB56">
        <v>1</v>
      </c>
      <c r="CC56">
        <v>1</v>
      </c>
      <c r="CD56">
        <v>1</v>
      </c>
      <c r="CE56">
        <v>2</v>
      </c>
      <c r="CF56">
        <v>2</v>
      </c>
      <c r="CG56">
        <v>2</v>
      </c>
      <c r="CH56">
        <v>3</v>
      </c>
      <c r="CI56">
        <v>2</v>
      </c>
      <c r="CJ56">
        <v>5</v>
      </c>
      <c r="CK56">
        <v>2</v>
      </c>
      <c r="CL56">
        <v>4</v>
      </c>
      <c r="CM56">
        <v>1</v>
      </c>
      <c r="CN56">
        <v>1</v>
      </c>
      <c r="CO56">
        <v>2</v>
      </c>
      <c r="CP56">
        <v>3</v>
      </c>
      <c r="CQ56">
        <v>3</v>
      </c>
      <c r="CR56">
        <v>2</v>
      </c>
      <c r="CS56">
        <v>2</v>
      </c>
      <c r="CT56">
        <v>2</v>
      </c>
      <c r="CU56">
        <v>1</v>
      </c>
      <c r="CV56">
        <v>2</v>
      </c>
      <c r="CW56">
        <v>3</v>
      </c>
      <c r="CX56">
        <v>1</v>
      </c>
      <c r="CY56">
        <v>1</v>
      </c>
      <c r="CZ56">
        <v>1</v>
      </c>
      <c r="DA56">
        <v>2</v>
      </c>
      <c r="DB56">
        <v>3</v>
      </c>
      <c r="DC56">
        <v>1</v>
      </c>
      <c r="DD56">
        <v>1</v>
      </c>
      <c r="DE56">
        <v>1</v>
      </c>
      <c r="DF56">
        <v>2</v>
      </c>
      <c r="DG56">
        <v>3</v>
      </c>
      <c r="DH56">
        <v>1</v>
      </c>
      <c r="DI56">
        <v>2</v>
      </c>
      <c r="DJ56">
        <v>2</v>
      </c>
      <c r="DK56">
        <v>1</v>
      </c>
      <c r="DL56">
        <v>1</v>
      </c>
      <c r="DM56">
        <v>2</v>
      </c>
      <c r="DN56">
        <v>4</v>
      </c>
      <c r="DO56">
        <v>2</v>
      </c>
      <c r="DP56">
        <v>4</v>
      </c>
      <c r="DQ56">
        <v>0</v>
      </c>
      <c r="DR56">
        <v>1</v>
      </c>
      <c r="DS56">
        <v>0</v>
      </c>
      <c r="DT56">
        <v>0</v>
      </c>
      <c r="DU56">
        <v>0</v>
      </c>
      <c r="DV56">
        <v>0</v>
      </c>
      <c r="DW56">
        <v>0</v>
      </c>
      <c r="DX56">
        <v>1</v>
      </c>
      <c r="DY56">
        <v>0</v>
      </c>
      <c r="DZ56">
        <v>0</v>
      </c>
      <c r="EA56">
        <v>0</v>
      </c>
      <c r="EB56">
        <v>0</v>
      </c>
      <c r="EC56">
        <v>2</v>
      </c>
      <c r="ED56">
        <v>1</v>
      </c>
      <c r="EE56">
        <v>0</v>
      </c>
      <c r="EF56">
        <v>0</v>
      </c>
      <c r="EG56">
        <v>0</v>
      </c>
      <c r="EH56">
        <v>0</v>
      </c>
      <c r="EI56">
        <v>0</v>
      </c>
      <c r="EJ56">
        <v>17590</v>
      </c>
    </row>
    <row r="57" spans="1:140">
      <c r="A57" t="s">
        <v>96</v>
      </c>
      <c r="B57">
        <v>2092017</v>
      </c>
      <c r="C57">
        <v>2</v>
      </c>
      <c r="D57">
        <v>1</v>
      </c>
      <c r="E57">
        <v>39</v>
      </c>
      <c r="F57">
        <v>152</v>
      </c>
      <c r="G57">
        <v>5</v>
      </c>
      <c r="H57">
        <v>0</v>
      </c>
      <c r="I57">
        <v>29.69</v>
      </c>
      <c r="J57">
        <v>14.31</v>
      </c>
      <c r="K57">
        <v>3.1</v>
      </c>
      <c r="L57">
        <v>38.299999999999997</v>
      </c>
      <c r="M57">
        <v>19.600000000000001</v>
      </c>
      <c r="N57">
        <v>1.58</v>
      </c>
      <c r="O57">
        <v>0.65</v>
      </c>
      <c r="P57">
        <v>2.23</v>
      </c>
      <c r="Q57">
        <v>76.680000000000007</v>
      </c>
      <c r="R57">
        <v>56.58</v>
      </c>
      <c r="S57">
        <v>1043.06</v>
      </c>
      <c r="T57">
        <v>34.67</v>
      </c>
      <c r="U57">
        <v>37.56</v>
      </c>
      <c r="V57">
        <v>147.06</v>
      </c>
      <c r="W57">
        <v>11.54</v>
      </c>
      <c r="X57">
        <v>1</v>
      </c>
      <c r="Y57">
        <v>1</v>
      </c>
      <c r="Z57">
        <v>2</v>
      </c>
      <c r="AA57">
        <v>1</v>
      </c>
      <c r="AB57">
        <v>2</v>
      </c>
      <c r="AC57">
        <v>1</v>
      </c>
      <c r="AD57">
        <v>1</v>
      </c>
      <c r="AE57">
        <v>1</v>
      </c>
      <c r="AF57">
        <v>1</v>
      </c>
      <c r="AG57">
        <v>2</v>
      </c>
      <c r="AH57">
        <v>1</v>
      </c>
      <c r="AI57">
        <v>1</v>
      </c>
      <c r="AJ57">
        <v>2</v>
      </c>
      <c r="AK57">
        <v>1</v>
      </c>
      <c r="AL57">
        <v>2</v>
      </c>
      <c r="AM57">
        <v>1</v>
      </c>
      <c r="AN57">
        <v>1</v>
      </c>
      <c r="AO57">
        <v>2</v>
      </c>
      <c r="AP57">
        <v>1</v>
      </c>
      <c r="AQ57">
        <v>4</v>
      </c>
      <c r="AR57">
        <v>3</v>
      </c>
      <c r="AS57">
        <v>2</v>
      </c>
      <c r="AT57">
        <v>1</v>
      </c>
      <c r="AU57">
        <v>0</v>
      </c>
      <c r="AV57">
        <v>1</v>
      </c>
      <c r="AW57">
        <v>0</v>
      </c>
      <c r="AX57">
        <v>0</v>
      </c>
      <c r="AY57">
        <v>0</v>
      </c>
      <c r="AZ57">
        <v>1</v>
      </c>
      <c r="BA57">
        <v>1</v>
      </c>
      <c r="BB57">
        <v>3</v>
      </c>
      <c r="BC57">
        <v>1</v>
      </c>
      <c r="BD57">
        <v>2</v>
      </c>
      <c r="BE57">
        <v>2</v>
      </c>
      <c r="BF57">
        <v>2</v>
      </c>
      <c r="BG57">
        <v>2</v>
      </c>
      <c r="BH57">
        <v>1</v>
      </c>
      <c r="BI57">
        <v>2</v>
      </c>
      <c r="BJ57">
        <v>1</v>
      </c>
      <c r="BK57">
        <v>2</v>
      </c>
      <c r="BL57">
        <v>1</v>
      </c>
      <c r="BM57">
        <v>1</v>
      </c>
      <c r="BN57">
        <v>1</v>
      </c>
      <c r="BO57">
        <v>2</v>
      </c>
      <c r="BP57">
        <v>1</v>
      </c>
      <c r="BQ57">
        <v>2</v>
      </c>
      <c r="BR57">
        <v>3</v>
      </c>
      <c r="BS57">
        <v>3</v>
      </c>
      <c r="BT57">
        <v>3</v>
      </c>
      <c r="BU57">
        <v>1</v>
      </c>
      <c r="BV57">
        <v>3</v>
      </c>
      <c r="BW57">
        <v>1</v>
      </c>
      <c r="BX57">
        <v>3</v>
      </c>
      <c r="BY57">
        <v>1</v>
      </c>
      <c r="BZ57">
        <v>5</v>
      </c>
      <c r="CA57">
        <v>2</v>
      </c>
      <c r="CB57">
        <v>2</v>
      </c>
      <c r="CC57">
        <v>1</v>
      </c>
      <c r="CD57">
        <v>1</v>
      </c>
      <c r="CE57">
        <v>1</v>
      </c>
      <c r="CF57">
        <v>2</v>
      </c>
      <c r="CG57">
        <v>1</v>
      </c>
      <c r="CH57">
        <v>3</v>
      </c>
      <c r="CI57">
        <v>2</v>
      </c>
      <c r="CJ57">
        <v>6</v>
      </c>
      <c r="CK57">
        <v>2</v>
      </c>
      <c r="CL57">
        <v>1</v>
      </c>
      <c r="CM57">
        <v>2</v>
      </c>
      <c r="CN57">
        <v>1</v>
      </c>
      <c r="CO57">
        <v>3</v>
      </c>
      <c r="CP57">
        <v>1</v>
      </c>
      <c r="CQ57">
        <v>2</v>
      </c>
      <c r="CR57">
        <v>1</v>
      </c>
      <c r="CS57">
        <v>2</v>
      </c>
      <c r="CT57">
        <v>3</v>
      </c>
      <c r="CU57">
        <v>2</v>
      </c>
      <c r="CV57">
        <v>1</v>
      </c>
      <c r="CW57">
        <v>4</v>
      </c>
      <c r="CX57">
        <v>2</v>
      </c>
      <c r="CY57">
        <v>1</v>
      </c>
      <c r="CZ57">
        <v>1</v>
      </c>
      <c r="DA57">
        <v>1</v>
      </c>
      <c r="DB57">
        <v>3</v>
      </c>
      <c r="DC57">
        <v>1</v>
      </c>
      <c r="DD57">
        <v>1</v>
      </c>
      <c r="DE57">
        <v>2</v>
      </c>
      <c r="DF57">
        <v>1</v>
      </c>
      <c r="DG57">
        <v>3</v>
      </c>
      <c r="DH57">
        <v>2</v>
      </c>
      <c r="DI57">
        <v>3</v>
      </c>
      <c r="DJ57">
        <v>2</v>
      </c>
      <c r="DK57">
        <v>1</v>
      </c>
      <c r="DL57">
        <v>1</v>
      </c>
      <c r="DM57">
        <v>2</v>
      </c>
      <c r="DN57">
        <v>3</v>
      </c>
      <c r="DO57">
        <v>1</v>
      </c>
      <c r="DP57">
        <v>4</v>
      </c>
      <c r="DQ57">
        <v>1</v>
      </c>
      <c r="DR57">
        <v>1</v>
      </c>
      <c r="DS57">
        <v>0</v>
      </c>
      <c r="DT57">
        <v>0</v>
      </c>
      <c r="DU57">
        <v>0</v>
      </c>
      <c r="DV57">
        <v>0</v>
      </c>
      <c r="DW57">
        <v>0</v>
      </c>
      <c r="DX57">
        <v>0</v>
      </c>
      <c r="DY57">
        <v>0</v>
      </c>
      <c r="DZ57">
        <v>0</v>
      </c>
      <c r="EA57">
        <v>0</v>
      </c>
      <c r="EB57">
        <v>0</v>
      </c>
      <c r="EC57">
        <v>2</v>
      </c>
      <c r="ED57">
        <v>1</v>
      </c>
      <c r="EE57">
        <v>0</v>
      </c>
      <c r="EF57">
        <v>0</v>
      </c>
      <c r="EG57">
        <v>0</v>
      </c>
      <c r="EH57">
        <v>0</v>
      </c>
      <c r="EI57">
        <v>0</v>
      </c>
      <c r="EJ57">
        <v>17589</v>
      </c>
    </row>
    <row r="58" spans="1:140">
      <c r="A58" t="s">
        <v>119</v>
      </c>
      <c r="B58">
        <v>3022017</v>
      </c>
      <c r="C58">
        <v>2</v>
      </c>
      <c r="D58" t="s">
        <v>756</v>
      </c>
      <c r="E58" t="s">
        <v>757</v>
      </c>
      <c r="F58" t="s">
        <v>760</v>
      </c>
      <c r="G58" t="s">
        <v>756</v>
      </c>
      <c r="H58" t="s">
        <v>757</v>
      </c>
      <c r="I58" t="s">
        <v>758</v>
      </c>
      <c r="J58">
        <v>7.77</v>
      </c>
      <c r="K58">
        <v>1.92</v>
      </c>
      <c r="L58">
        <v>129.12</v>
      </c>
      <c r="M58">
        <v>122.65</v>
      </c>
      <c r="N58">
        <v>0.39500000000000002</v>
      </c>
      <c r="O58">
        <v>0.39</v>
      </c>
      <c r="P58">
        <v>0.78500000000000003</v>
      </c>
      <c r="Q58">
        <v>83.56</v>
      </c>
      <c r="R58">
        <v>49.34</v>
      </c>
      <c r="S58">
        <v>943.22</v>
      </c>
      <c r="T58">
        <v>22.33</v>
      </c>
      <c r="U58">
        <v>19.579999999999998</v>
      </c>
      <c r="V58">
        <v>173.7</v>
      </c>
      <c r="W58">
        <v>4.33</v>
      </c>
      <c r="X58">
        <v>1</v>
      </c>
      <c r="Y58">
        <v>1</v>
      </c>
      <c r="Z58">
        <v>2</v>
      </c>
      <c r="AA58">
        <v>2</v>
      </c>
      <c r="AB58">
        <v>1</v>
      </c>
      <c r="AC58">
        <v>1</v>
      </c>
      <c r="AD58">
        <v>1</v>
      </c>
      <c r="AE58">
        <v>1</v>
      </c>
      <c r="AF58">
        <v>1</v>
      </c>
      <c r="AG58">
        <v>2</v>
      </c>
      <c r="AH58">
        <v>1</v>
      </c>
      <c r="AI58">
        <v>1</v>
      </c>
      <c r="AJ58">
        <v>6</v>
      </c>
      <c r="AK58">
        <v>3</v>
      </c>
      <c r="AL58">
        <v>2</v>
      </c>
      <c r="AM58">
        <v>1</v>
      </c>
      <c r="AN58">
        <v>1</v>
      </c>
      <c r="AO58">
        <v>1</v>
      </c>
      <c r="AP58">
        <v>1</v>
      </c>
      <c r="AQ58">
        <v>1</v>
      </c>
      <c r="AR58">
        <v>1</v>
      </c>
      <c r="AS58">
        <v>1</v>
      </c>
      <c r="AT58">
        <v>1</v>
      </c>
      <c r="AU58">
        <v>0</v>
      </c>
      <c r="AV58">
        <v>1</v>
      </c>
      <c r="AW58">
        <v>0</v>
      </c>
      <c r="AX58">
        <v>0</v>
      </c>
      <c r="AY58">
        <v>0</v>
      </c>
      <c r="AZ58">
        <v>1</v>
      </c>
      <c r="BA58">
        <v>1</v>
      </c>
      <c r="BB58">
        <v>3</v>
      </c>
      <c r="BC58">
        <v>1</v>
      </c>
      <c r="BD58">
        <v>1</v>
      </c>
      <c r="BE58">
        <v>1</v>
      </c>
      <c r="BF58">
        <v>2</v>
      </c>
      <c r="BG58">
        <v>2</v>
      </c>
      <c r="BH58">
        <v>1</v>
      </c>
      <c r="BI58">
        <v>1</v>
      </c>
      <c r="BJ58">
        <v>1</v>
      </c>
      <c r="BK58">
        <v>2</v>
      </c>
      <c r="BL58">
        <v>2</v>
      </c>
      <c r="BM58">
        <v>1</v>
      </c>
      <c r="BN58">
        <v>1</v>
      </c>
      <c r="BO58">
        <v>1</v>
      </c>
      <c r="BP58">
        <v>1</v>
      </c>
      <c r="BQ58">
        <v>1</v>
      </c>
      <c r="BR58">
        <v>3</v>
      </c>
      <c r="BS58">
        <v>2</v>
      </c>
      <c r="BT58">
        <v>4</v>
      </c>
      <c r="BU58">
        <v>1</v>
      </c>
      <c r="BV58">
        <v>1</v>
      </c>
      <c r="BW58">
        <v>1</v>
      </c>
      <c r="BX58">
        <v>2</v>
      </c>
      <c r="BY58">
        <v>1</v>
      </c>
      <c r="BZ58">
        <v>3</v>
      </c>
      <c r="CA58">
        <v>1</v>
      </c>
      <c r="CB58">
        <v>2</v>
      </c>
      <c r="CC58">
        <v>1</v>
      </c>
      <c r="CD58">
        <v>2</v>
      </c>
      <c r="CE58">
        <v>1</v>
      </c>
      <c r="CF58">
        <v>1</v>
      </c>
      <c r="CG58">
        <v>1</v>
      </c>
      <c r="CH58">
        <v>1</v>
      </c>
      <c r="CI58">
        <v>1</v>
      </c>
      <c r="CJ58">
        <v>4</v>
      </c>
      <c r="CK58">
        <v>1</v>
      </c>
      <c r="CL58">
        <v>4</v>
      </c>
      <c r="CM58">
        <v>2</v>
      </c>
      <c r="CN58">
        <v>1</v>
      </c>
      <c r="CO58">
        <v>2</v>
      </c>
      <c r="CP58">
        <v>1</v>
      </c>
      <c r="CQ58">
        <v>2</v>
      </c>
      <c r="CR58">
        <v>2</v>
      </c>
      <c r="CS58">
        <v>1</v>
      </c>
      <c r="CT58">
        <v>2</v>
      </c>
      <c r="CU58">
        <v>1</v>
      </c>
      <c r="CV58">
        <v>1</v>
      </c>
      <c r="CW58">
        <v>3</v>
      </c>
      <c r="CX58">
        <v>1</v>
      </c>
      <c r="CY58">
        <v>1</v>
      </c>
      <c r="CZ58">
        <v>1</v>
      </c>
      <c r="DA58">
        <v>1</v>
      </c>
      <c r="DB58">
        <v>3</v>
      </c>
      <c r="DC58">
        <v>1</v>
      </c>
      <c r="DD58">
        <v>1</v>
      </c>
      <c r="DE58">
        <v>2</v>
      </c>
      <c r="DF58">
        <v>1</v>
      </c>
      <c r="DG58">
        <v>3</v>
      </c>
      <c r="DH58">
        <v>1</v>
      </c>
      <c r="DI58">
        <v>1</v>
      </c>
      <c r="DJ58">
        <v>2</v>
      </c>
      <c r="DK58">
        <v>1</v>
      </c>
      <c r="DL58">
        <v>1</v>
      </c>
      <c r="DM58">
        <v>2</v>
      </c>
      <c r="DN58">
        <v>1</v>
      </c>
      <c r="DO58">
        <v>1</v>
      </c>
      <c r="DP58">
        <v>1</v>
      </c>
      <c r="DQ58">
        <v>0</v>
      </c>
      <c r="DR58">
        <v>0</v>
      </c>
      <c r="DS58">
        <v>0</v>
      </c>
      <c r="DT58">
        <v>0</v>
      </c>
      <c r="DU58">
        <v>0</v>
      </c>
      <c r="DV58">
        <v>0</v>
      </c>
      <c r="DW58">
        <v>0</v>
      </c>
      <c r="DX58">
        <v>0</v>
      </c>
      <c r="DY58">
        <v>0</v>
      </c>
      <c r="DZ58">
        <v>1</v>
      </c>
      <c r="EA58">
        <v>0</v>
      </c>
      <c r="EB58">
        <v>0</v>
      </c>
      <c r="EC58">
        <v>2</v>
      </c>
      <c r="ED58">
        <v>1</v>
      </c>
      <c r="EE58">
        <v>0</v>
      </c>
      <c r="EF58">
        <v>0</v>
      </c>
      <c r="EG58">
        <v>0</v>
      </c>
      <c r="EH58">
        <v>0</v>
      </c>
      <c r="EI58">
        <v>0</v>
      </c>
      <c r="EJ58">
        <v>17593</v>
      </c>
    </row>
    <row r="59" spans="1:140">
      <c r="A59" t="s">
        <v>98</v>
      </c>
      <c r="B59" t="s">
        <v>761</v>
      </c>
      <c r="C59">
        <v>2</v>
      </c>
      <c r="D59">
        <v>1</v>
      </c>
      <c r="E59">
        <v>38</v>
      </c>
      <c r="F59">
        <v>165</v>
      </c>
      <c r="G59">
        <v>5</v>
      </c>
      <c r="H59">
        <v>4</v>
      </c>
      <c r="I59">
        <v>28.32</v>
      </c>
      <c r="J59">
        <v>11.27</v>
      </c>
      <c r="K59">
        <v>2.56</v>
      </c>
      <c r="L59">
        <v>26.05</v>
      </c>
      <c r="M59">
        <v>8.92</v>
      </c>
      <c r="N59">
        <v>1.69</v>
      </c>
      <c r="O59">
        <v>0.217</v>
      </c>
      <c r="P59">
        <v>1.9</v>
      </c>
      <c r="Q59">
        <v>36.89</v>
      </c>
      <c r="R59">
        <v>51.55</v>
      </c>
      <c r="S59">
        <v>639.55999999999995</v>
      </c>
      <c r="T59">
        <v>21.94</v>
      </c>
      <c r="U59">
        <v>28.18</v>
      </c>
      <c r="V59">
        <v>76.459999999999994</v>
      </c>
      <c r="W59">
        <v>4.9000000000000004</v>
      </c>
      <c r="X59">
        <v>1</v>
      </c>
      <c r="Y59">
        <v>1</v>
      </c>
      <c r="Z59">
        <v>2</v>
      </c>
      <c r="AA59">
        <v>2</v>
      </c>
      <c r="AB59">
        <v>1</v>
      </c>
      <c r="AC59">
        <v>1</v>
      </c>
      <c r="AD59">
        <v>1</v>
      </c>
      <c r="AE59">
        <v>3</v>
      </c>
      <c r="AF59">
        <v>1</v>
      </c>
      <c r="AG59">
        <v>1</v>
      </c>
      <c r="AH59">
        <v>1</v>
      </c>
      <c r="AI59">
        <v>1</v>
      </c>
      <c r="AJ59">
        <v>6</v>
      </c>
      <c r="AK59">
        <v>3</v>
      </c>
      <c r="AL59">
        <v>1</v>
      </c>
      <c r="AM59">
        <v>1</v>
      </c>
      <c r="AN59">
        <v>1</v>
      </c>
      <c r="AO59">
        <v>3</v>
      </c>
      <c r="AP59">
        <v>1</v>
      </c>
      <c r="AQ59">
        <v>2</v>
      </c>
      <c r="AR59">
        <v>2</v>
      </c>
      <c r="AS59">
        <v>1</v>
      </c>
      <c r="AT59">
        <v>1</v>
      </c>
      <c r="AU59">
        <v>0</v>
      </c>
      <c r="AV59">
        <v>0</v>
      </c>
      <c r="AW59">
        <v>1</v>
      </c>
      <c r="AX59">
        <v>0</v>
      </c>
      <c r="AY59">
        <v>0</v>
      </c>
      <c r="AZ59">
        <v>1</v>
      </c>
      <c r="BA59">
        <v>1</v>
      </c>
      <c r="BB59">
        <v>4</v>
      </c>
      <c r="BC59">
        <v>2</v>
      </c>
      <c r="BD59">
        <v>1</v>
      </c>
      <c r="BE59">
        <v>1</v>
      </c>
      <c r="BF59">
        <v>2</v>
      </c>
      <c r="BG59">
        <v>1</v>
      </c>
      <c r="BH59">
        <v>1</v>
      </c>
      <c r="BI59">
        <v>1</v>
      </c>
      <c r="BJ59">
        <v>1</v>
      </c>
      <c r="BK59">
        <v>1</v>
      </c>
      <c r="BL59">
        <v>1</v>
      </c>
      <c r="BM59">
        <v>1</v>
      </c>
      <c r="BN59">
        <v>2</v>
      </c>
      <c r="BO59">
        <v>1</v>
      </c>
      <c r="BP59">
        <v>1</v>
      </c>
      <c r="BQ59">
        <v>1</v>
      </c>
      <c r="BR59">
        <v>2</v>
      </c>
      <c r="BS59">
        <v>2</v>
      </c>
      <c r="BT59">
        <v>3</v>
      </c>
      <c r="BU59">
        <v>2</v>
      </c>
      <c r="BV59">
        <v>3</v>
      </c>
      <c r="BW59">
        <v>1</v>
      </c>
      <c r="BX59">
        <v>1</v>
      </c>
      <c r="BY59">
        <v>1</v>
      </c>
      <c r="BZ59">
        <v>5</v>
      </c>
      <c r="CA59">
        <v>2</v>
      </c>
      <c r="CB59">
        <v>2</v>
      </c>
      <c r="CC59">
        <v>2</v>
      </c>
      <c r="CD59">
        <v>1</v>
      </c>
      <c r="CE59">
        <v>1</v>
      </c>
      <c r="CF59">
        <v>1</v>
      </c>
      <c r="CG59">
        <v>1</v>
      </c>
      <c r="CH59" t="s">
        <v>756</v>
      </c>
      <c r="CI59">
        <v>1</v>
      </c>
      <c r="CJ59">
        <v>4</v>
      </c>
      <c r="CK59">
        <v>1</v>
      </c>
      <c r="CL59">
        <v>4</v>
      </c>
      <c r="CM59">
        <v>3</v>
      </c>
      <c r="CN59">
        <v>1</v>
      </c>
      <c r="CO59">
        <v>1</v>
      </c>
      <c r="CP59">
        <v>1</v>
      </c>
      <c r="CQ59">
        <v>1</v>
      </c>
      <c r="CR59">
        <v>1</v>
      </c>
      <c r="CS59">
        <v>2</v>
      </c>
      <c r="CT59">
        <v>2</v>
      </c>
      <c r="CU59">
        <v>1</v>
      </c>
      <c r="CV59">
        <v>1</v>
      </c>
      <c r="CW59">
        <v>4</v>
      </c>
      <c r="CX59">
        <v>1</v>
      </c>
      <c r="CY59">
        <v>1</v>
      </c>
      <c r="CZ59">
        <v>2</v>
      </c>
      <c r="DA59">
        <v>2</v>
      </c>
      <c r="DB59">
        <v>3</v>
      </c>
      <c r="DC59">
        <v>1</v>
      </c>
      <c r="DD59">
        <v>1</v>
      </c>
      <c r="DE59">
        <v>1</v>
      </c>
      <c r="DF59">
        <v>1</v>
      </c>
      <c r="DG59">
        <v>3</v>
      </c>
      <c r="DH59">
        <v>1</v>
      </c>
      <c r="DI59">
        <v>1</v>
      </c>
      <c r="DJ59">
        <v>2</v>
      </c>
      <c r="DK59">
        <v>1</v>
      </c>
      <c r="DL59">
        <v>1</v>
      </c>
      <c r="DM59">
        <v>2</v>
      </c>
      <c r="DN59">
        <v>3</v>
      </c>
      <c r="DO59">
        <v>1</v>
      </c>
      <c r="DP59">
        <v>3</v>
      </c>
      <c r="DQ59">
        <v>0</v>
      </c>
      <c r="DR59">
        <v>1</v>
      </c>
      <c r="DS59">
        <v>0</v>
      </c>
      <c r="DT59">
        <v>0</v>
      </c>
      <c r="DU59">
        <v>0</v>
      </c>
      <c r="DV59">
        <v>0</v>
      </c>
      <c r="DW59">
        <v>0</v>
      </c>
      <c r="DX59">
        <v>1</v>
      </c>
      <c r="DY59">
        <v>0</v>
      </c>
      <c r="DZ59">
        <v>0</v>
      </c>
      <c r="EA59">
        <v>0</v>
      </c>
      <c r="EB59">
        <v>0</v>
      </c>
      <c r="EC59">
        <v>2</v>
      </c>
      <c r="ED59">
        <v>1</v>
      </c>
      <c r="EE59">
        <v>0</v>
      </c>
      <c r="EF59">
        <v>0</v>
      </c>
      <c r="EG59">
        <v>0</v>
      </c>
      <c r="EH59">
        <v>0</v>
      </c>
      <c r="EI59">
        <v>0</v>
      </c>
      <c r="EJ59">
        <v>17619</v>
      </c>
    </row>
    <row r="60" spans="1:140">
      <c r="A60" t="s">
        <v>99</v>
      </c>
      <c r="B60">
        <v>4282017</v>
      </c>
      <c r="C60">
        <v>2</v>
      </c>
      <c r="D60">
        <v>1</v>
      </c>
      <c r="E60">
        <v>36</v>
      </c>
      <c r="F60">
        <v>190</v>
      </c>
      <c r="G60">
        <v>5</v>
      </c>
      <c r="H60">
        <v>5</v>
      </c>
      <c r="I60">
        <v>31.62</v>
      </c>
      <c r="J60">
        <v>8.8000000000000007</v>
      </c>
      <c r="K60">
        <v>0.90400000000000003</v>
      </c>
      <c r="L60">
        <v>17.27</v>
      </c>
      <c r="M60">
        <v>9.2100000000000009</v>
      </c>
      <c r="N60">
        <v>0.39500000000000002</v>
      </c>
      <c r="O60">
        <v>0.75</v>
      </c>
      <c r="P60">
        <v>1.1499999999999999</v>
      </c>
      <c r="Q60">
        <v>20.64</v>
      </c>
      <c r="R60">
        <v>47.29</v>
      </c>
      <c r="S60">
        <v>482.44</v>
      </c>
      <c r="T60">
        <v>19.29</v>
      </c>
      <c r="U60">
        <v>23.6</v>
      </c>
      <c r="V60">
        <v>48.31</v>
      </c>
      <c r="W60">
        <v>4.66</v>
      </c>
      <c r="X60">
        <v>1</v>
      </c>
      <c r="Y60">
        <v>1</v>
      </c>
      <c r="Z60">
        <v>2</v>
      </c>
      <c r="AA60">
        <v>2</v>
      </c>
      <c r="AB60">
        <v>1</v>
      </c>
      <c r="AC60">
        <v>1</v>
      </c>
      <c r="AD60">
        <v>1</v>
      </c>
      <c r="AE60">
        <v>1</v>
      </c>
      <c r="AF60">
        <v>1</v>
      </c>
      <c r="AG60">
        <v>2</v>
      </c>
      <c r="AH60">
        <v>1</v>
      </c>
      <c r="AI60">
        <v>1</v>
      </c>
      <c r="AJ60">
        <v>1</v>
      </c>
      <c r="AK60">
        <v>1</v>
      </c>
      <c r="AL60">
        <v>2</v>
      </c>
      <c r="AM60">
        <v>2</v>
      </c>
      <c r="AN60">
        <v>1</v>
      </c>
      <c r="AO60">
        <v>3</v>
      </c>
      <c r="AP60">
        <v>1</v>
      </c>
      <c r="AQ60">
        <v>2</v>
      </c>
      <c r="AR60">
        <v>1</v>
      </c>
      <c r="AS60">
        <v>2</v>
      </c>
      <c r="AT60">
        <v>1</v>
      </c>
      <c r="AU60">
        <v>0</v>
      </c>
      <c r="AV60">
        <v>0</v>
      </c>
      <c r="AW60">
        <v>0</v>
      </c>
      <c r="AX60">
        <v>1</v>
      </c>
      <c r="AY60">
        <v>0</v>
      </c>
      <c r="AZ60">
        <v>1</v>
      </c>
      <c r="BA60">
        <v>1</v>
      </c>
      <c r="BB60">
        <v>4</v>
      </c>
      <c r="BC60">
        <v>1</v>
      </c>
      <c r="BD60">
        <v>2</v>
      </c>
      <c r="BE60">
        <v>2</v>
      </c>
      <c r="BF60">
        <v>1</v>
      </c>
      <c r="BG60">
        <v>1</v>
      </c>
      <c r="BH60">
        <v>1</v>
      </c>
      <c r="BI60">
        <v>1</v>
      </c>
      <c r="BJ60">
        <v>1</v>
      </c>
      <c r="BK60">
        <v>1</v>
      </c>
      <c r="BL60">
        <v>1</v>
      </c>
      <c r="BM60">
        <v>1</v>
      </c>
      <c r="BN60">
        <v>1</v>
      </c>
      <c r="BO60">
        <v>1</v>
      </c>
      <c r="BP60">
        <v>2</v>
      </c>
      <c r="BQ60">
        <v>2</v>
      </c>
      <c r="BR60">
        <v>2</v>
      </c>
      <c r="BS60">
        <v>1</v>
      </c>
      <c r="BT60">
        <v>1</v>
      </c>
      <c r="BU60">
        <v>1</v>
      </c>
      <c r="BV60">
        <v>3</v>
      </c>
      <c r="BW60">
        <v>1</v>
      </c>
      <c r="BX60">
        <v>4</v>
      </c>
      <c r="BY60">
        <v>2</v>
      </c>
      <c r="BZ60">
        <v>3</v>
      </c>
      <c r="CA60">
        <v>1</v>
      </c>
      <c r="CB60">
        <v>2</v>
      </c>
      <c r="CC60">
        <v>1</v>
      </c>
      <c r="CD60">
        <v>1</v>
      </c>
      <c r="CE60">
        <v>2</v>
      </c>
      <c r="CF60">
        <v>2</v>
      </c>
      <c r="CG60">
        <v>2</v>
      </c>
      <c r="CH60">
        <v>3</v>
      </c>
      <c r="CI60">
        <v>1</v>
      </c>
      <c r="CJ60">
        <v>4</v>
      </c>
      <c r="CK60">
        <v>1</v>
      </c>
      <c r="CL60">
        <v>4</v>
      </c>
      <c r="CM60">
        <v>1</v>
      </c>
      <c r="CN60">
        <v>1</v>
      </c>
      <c r="CO60">
        <v>1</v>
      </c>
      <c r="CP60">
        <v>1</v>
      </c>
      <c r="CQ60">
        <v>1</v>
      </c>
      <c r="CR60">
        <v>1</v>
      </c>
      <c r="CS60">
        <v>2</v>
      </c>
      <c r="CT60">
        <v>1</v>
      </c>
      <c r="CU60">
        <v>1</v>
      </c>
      <c r="CV60">
        <v>1</v>
      </c>
      <c r="CW60">
        <v>4</v>
      </c>
      <c r="CX60">
        <v>1</v>
      </c>
      <c r="CY60">
        <v>1</v>
      </c>
      <c r="CZ60">
        <v>1</v>
      </c>
      <c r="DA60">
        <v>1</v>
      </c>
      <c r="DB60">
        <v>3</v>
      </c>
      <c r="DC60">
        <v>1</v>
      </c>
      <c r="DD60">
        <v>1</v>
      </c>
      <c r="DE60">
        <v>4</v>
      </c>
      <c r="DF60">
        <v>2</v>
      </c>
      <c r="DG60">
        <v>3</v>
      </c>
      <c r="DH60">
        <v>1</v>
      </c>
      <c r="DI60">
        <v>2</v>
      </c>
      <c r="DJ60">
        <v>2</v>
      </c>
      <c r="DK60">
        <v>1</v>
      </c>
      <c r="DL60">
        <v>1</v>
      </c>
      <c r="DM60">
        <v>2</v>
      </c>
      <c r="DN60">
        <v>2</v>
      </c>
      <c r="DO60">
        <v>1</v>
      </c>
      <c r="DP60">
        <v>4</v>
      </c>
      <c r="DQ60">
        <v>0</v>
      </c>
      <c r="DR60">
        <v>1</v>
      </c>
      <c r="DS60">
        <v>0</v>
      </c>
      <c r="DT60">
        <v>0</v>
      </c>
      <c r="DU60">
        <v>0</v>
      </c>
      <c r="DV60">
        <v>0</v>
      </c>
      <c r="DW60">
        <v>0</v>
      </c>
      <c r="DX60">
        <v>1</v>
      </c>
      <c r="DY60">
        <v>0</v>
      </c>
      <c r="DZ60">
        <v>0</v>
      </c>
      <c r="EA60">
        <v>0</v>
      </c>
      <c r="EB60">
        <v>0</v>
      </c>
      <c r="EC60">
        <v>1</v>
      </c>
      <c r="ED60">
        <v>1</v>
      </c>
      <c r="EE60">
        <v>0</v>
      </c>
      <c r="EF60">
        <v>0</v>
      </c>
      <c r="EG60">
        <v>0</v>
      </c>
      <c r="EH60">
        <v>0</v>
      </c>
      <c r="EI60">
        <v>0</v>
      </c>
      <c r="EJ60">
        <v>17618</v>
      </c>
    </row>
    <row r="61" spans="1:140">
      <c r="A61" t="s">
        <v>100</v>
      </c>
      <c r="B61">
        <v>4112017</v>
      </c>
      <c r="C61">
        <v>2</v>
      </c>
      <c r="D61" s="20">
        <v>2</v>
      </c>
      <c r="E61">
        <v>29</v>
      </c>
      <c r="F61">
        <v>165</v>
      </c>
      <c r="G61">
        <v>5</v>
      </c>
      <c r="H61">
        <v>7</v>
      </c>
      <c r="I61">
        <v>25.84</v>
      </c>
      <c r="J61">
        <v>31.54</v>
      </c>
      <c r="K61">
        <v>1.79</v>
      </c>
      <c r="L61">
        <v>46.29</v>
      </c>
      <c r="M61">
        <v>21.54</v>
      </c>
      <c r="N61">
        <v>1.1399999999999999</v>
      </c>
      <c r="O61">
        <v>1.89</v>
      </c>
      <c r="P61">
        <v>3.04</v>
      </c>
      <c r="Q61">
        <v>49.32</v>
      </c>
      <c r="R61">
        <v>49.56</v>
      </c>
      <c r="S61">
        <v>1491.87</v>
      </c>
      <c r="T61">
        <v>80.58</v>
      </c>
      <c r="U61">
        <v>82.08</v>
      </c>
      <c r="V61">
        <v>109.72</v>
      </c>
      <c r="W61">
        <v>10.210000000000001</v>
      </c>
      <c r="X61">
        <v>1</v>
      </c>
      <c r="Y61">
        <v>1</v>
      </c>
      <c r="Z61">
        <v>2</v>
      </c>
      <c r="AA61">
        <v>2</v>
      </c>
      <c r="AB61">
        <v>2</v>
      </c>
      <c r="AC61">
        <v>1</v>
      </c>
      <c r="AD61">
        <v>1</v>
      </c>
      <c r="AE61">
        <v>1</v>
      </c>
      <c r="AF61">
        <v>1</v>
      </c>
      <c r="AG61">
        <v>2</v>
      </c>
      <c r="AH61">
        <v>1</v>
      </c>
      <c r="AI61">
        <v>1</v>
      </c>
      <c r="AJ61">
        <v>2</v>
      </c>
      <c r="AK61">
        <v>2</v>
      </c>
      <c r="AL61">
        <v>2</v>
      </c>
      <c r="AM61">
        <v>1</v>
      </c>
      <c r="AN61">
        <v>1</v>
      </c>
      <c r="AO61">
        <v>3</v>
      </c>
      <c r="AP61">
        <v>2</v>
      </c>
      <c r="AQ61">
        <v>1</v>
      </c>
      <c r="AR61">
        <v>2</v>
      </c>
      <c r="AS61">
        <v>1</v>
      </c>
      <c r="AT61">
        <v>2</v>
      </c>
      <c r="AU61">
        <v>0</v>
      </c>
      <c r="AV61">
        <v>0</v>
      </c>
      <c r="AW61">
        <v>0</v>
      </c>
      <c r="AX61">
        <v>0</v>
      </c>
      <c r="AY61">
        <v>1</v>
      </c>
      <c r="AZ61">
        <v>6</v>
      </c>
      <c r="BA61">
        <v>2</v>
      </c>
      <c r="BB61">
        <v>4</v>
      </c>
      <c r="BC61">
        <v>2</v>
      </c>
      <c r="BD61">
        <v>4</v>
      </c>
      <c r="BE61">
        <v>3</v>
      </c>
      <c r="BF61">
        <v>2</v>
      </c>
      <c r="BG61">
        <v>4</v>
      </c>
      <c r="BH61">
        <v>2</v>
      </c>
      <c r="BI61">
        <v>2</v>
      </c>
      <c r="BJ61">
        <v>2</v>
      </c>
      <c r="BK61">
        <v>2</v>
      </c>
      <c r="BL61">
        <v>4</v>
      </c>
      <c r="BM61">
        <v>2</v>
      </c>
      <c r="BN61">
        <v>2</v>
      </c>
      <c r="BO61">
        <v>3</v>
      </c>
      <c r="BP61">
        <v>2</v>
      </c>
      <c r="BQ61">
        <v>3</v>
      </c>
      <c r="BR61">
        <v>3</v>
      </c>
      <c r="BS61">
        <v>2</v>
      </c>
      <c r="BT61">
        <v>2</v>
      </c>
      <c r="BU61">
        <v>2</v>
      </c>
      <c r="BV61">
        <v>2</v>
      </c>
      <c r="BW61">
        <v>1</v>
      </c>
      <c r="BX61">
        <v>6</v>
      </c>
      <c r="BY61">
        <v>1</v>
      </c>
      <c r="BZ61">
        <v>6</v>
      </c>
      <c r="CA61">
        <v>1</v>
      </c>
      <c r="CB61">
        <v>2</v>
      </c>
      <c r="CC61">
        <v>2</v>
      </c>
      <c r="CD61">
        <v>3</v>
      </c>
      <c r="CE61">
        <v>2</v>
      </c>
      <c r="CF61">
        <v>1</v>
      </c>
      <c r="CG61">
        <v>1</v>
      </c>
      <c r="CH61">
        <v>6</v>
      </c>
      <c r="CI61">
        <v>2</v>
      </c>
      <c r="CJ61">
        <v>2</v>
      </c>
      <c r="CK61">
        <v>2</v>
      </c>
      <c r="CL61">
        <v>4</v>
      </c>
      <c r="CM61">
        <v>1</v>
      </c>
      <c r="CN61">
        <v>1</v>
      </c>
      <c r="CO61">
        <v>2</v>
      </c>
      <c r="CP61">
        <v>2</v>
      </c>
      <c r="CQ61">
        <v>1</v>
      </c>
      <c r="CR61">
        <v>1</v>
      </c>
      <c r="CS61">
        <v>2</v>
      </c>
      <c r="CT61">
        <v>1</v>
      </c>
      <c r="CU61">
        <v>1</v>
      </c>
      <c r="CV61">
        <v>1</v>
      </c>
      <c r="CW61">
        <v>3</v>
      </c>
      <c r="CX61">
        <v>1</v>
      </c>
      <c r="CY61">
        <v>1</v>
      </c>
      <c r="CZ61">
        <v>1</v>
      </c>
      <c r="DA61">
        <v>1</v>
      </c>
      <c r="DB61">
        <v>3</v>
      </c>
      <c r="DC61">
        <v>1</v>
      </c>
      <c r="DD61">
        <v>1</v>
      </c>
      <c r="DE61">
        <v>1</v>
      </c>
      <c r="DF61">
        <v>2</v>
      </c>
      <c r="DG61">
        <v>3</v>
      </c>
      <c r="DH61">
        <v>1</v>
      </c>
      <c r="DI61">
        <v>2</v>
      </c>
      <c r="DJ61">
        <v>2</v>
      </c>
      <c r="DK61">
        <v>1</v>
      </c>
      <c r="DL61">
        <v>1</v>
      </c>
      <c r="DM61">
        <v>2</v>
      </c>
      <c r="DN61">
        <v>6</v>
      </c>
      <c r="DO61">
        <v>2</v>
      </c>
      <c r="DP61">
        <v>6</v>
      </c>
      <c r="DQ61">
        <v>0</v>
      </c>
      <c r="DR61">
        <v>1</v>
      </c>
      <c r="DS61">
        <v>0</v>
      </c>
      <c r="DT61">
        <v>0</v>
      </c>
      <c r="DU61">
        <v>0</v>
      </c>
      <c r="DV61">
        <v>0</v>
      </c>
      <c r="DW61">
        <v>0</v>
      </c>
      <c r="DX61">
        <v>1</v>
      </c>
      <c r="DY61">
        <v>0</v>
      </c>
      <c r="DZ61">
        <v>0</v>
      </c>
      <c r="EA61">
        <v>0</v>
      </c>
      <c r="EB61">
        <v>0</v>
      </c>
      <c r="EC61">
        <v>2</v>
      </c>
      <c r="ED61">
        <v>1</v>
      </c>
      <c r="EE61">
        <v>0</v>
      </c>
      <c r="EF61">
        <v>0</v>
      </c>
      <c r="EG61">
        <v>0</v>
      </c>
      <c r="EH61">
        <v>0</v>
      </c>
      <c r="EI61">
        <v>0</v>
      </c>
      <c r="EJ61">
        <v>17617</v>
      </c>
    </row>
    <row r="62" spans="1:140">
      <c r="A62" t="s">
        <v>101</v>
      </c>
      <c r="B62">
        <v>4182017</v>
      </c>
      <c r="C62">
        <v>2</v>
      </c>
      <c r="D62">
        <v>1</v>
      </c>
      <c r="E62">
        <v>44</v>
      </c>
      <c r="F62">
        <v>175</v>
      </c>
      <c r="G62">
        <v>5</v>
      </c>
      <c r="H62">
        <v>4</v>
      </c>
      <c r="I62">
        <v>30.04</v>
      </c>
      <c r="J62">
        <v>17.77</v>
      </c>
      <c r="K62">
        <v>1.86</v>
      </c>
      <c r="L62">
        <v>68.02</v>
      </c>
      <c r="M62">
        <v>37.43</v>
      </c>
      <c r="N62">
        <v>1.8</v>
      </c>
      <c r="O62">
        <v>2.04</v>
      </c>
      <c r="P62">
        <v>3.84</v>
      </c>
      <c r="Q62">
        <v>70.67</v>
      </c>
      <c r="R62">
        <v>48.66</v>
      </c>
      <c r="S62">
        <v>1205.6199999999999</v>
      </c>
      <c r="T62">
        <v>42.62</v>
      </c>
      <c r="U62">
        <v>47.72</v>
      </c>
      <c r="V62">
        <v>158.22999999999999</v>
      </c>
      <c r="W62">
        <v>12.98</v>
      </c>
      <c r="X62">
        <v>1</v>
      </c>
      <c r="Y62">
        <v>1</v>
      </c>
      <c r="Z62">
        <v>3</v>
      </c>
      <c r="AA62">
        <v>3</v>
      </c>
      <c r="AB62">
        <v>1</v>
      </c>
      <c r="AC62">
        <v>1</v>
      </c>
      <c r="AD62">
        <v>1</v>
      </c>
      <c r="AE62">
        <v>5</v>
      </c>
      <c r="AF62">
        <v>2</v>
      </c>
      <c r="AG62">
        <v>1</v>
      </c>
      <c r="AH62">
        <v>1</v>
      </c>
      <c r="AI62">
        <v>1</v>
      </c>
      <c r="AJ62">
        <v>3</v>
      </c>
      <c r="AK62">
        <v>2</v>
      </c>
      <c r="AL62">
        <v>2</v>
      </c>
      <c r="AM62">
        <v>1</v>
      </c>
      <c r="AN62">
        <v>1</v>
      </c>
      <c r="AO62">
        <v>3</v>
      </c>
      <c r="AP62">
        <v>2</v>
      </c>
      <c r="AQ62">
        <v>2</v>
      </c>
      <c r="AR62">
        <v>1</v>
      </c>
      <c r="AS62">
        <v>4</v>
      </c>
      <c r="AT62">
        <v>1</v>
      </c>
      <c r="AU62">
        <v>0</v>
      </c>
      <c r="AV62">
        <v>1</v>
      </c>
      <c r="AW62">
        <v>0</v>
      </c>
      <c r="AX62">
        <v>0</v>
      </c>
      <c r="AY62">
        <v>0</v>
      </c>
      <c r="AZ62">
        <v>1</v>
      </c>
      <c r="BA62">
        <v>1</v>
      </c>
      <c r="BB62">
        <v>4</v>
      </c>
      <c r="BC62">
        <v>2</v>
      </c>
      <c r="BD62">
        <v>2</v>
      </c>
      <c r="BE62">
        <v>3</v>
      </c>
      <c r="BF62">
        <v>2</v>
      </c>
      <c r="BG62">
        <v>2</v>
      </c>
      <c r="BH62">
        <v>2</v>
      </c>
      <c r="BI62">
        <v>1</v>
      </c>
      <c r="BJ62">
        <v>1</v>
      </c>
      <c r="BK62">
        <v>2</v>
      </c>
      <c r="BL62">
        <v>2</v>
      </c>
      <c r="BM62">
        <v>2</v>
      </c>
      <c r="BN62">
        <v>1</v>
      </c>
      <c r="BO62">
        <v>1</v>
      </c>
      <c r="BP62">
        <v>1</v>
      </c>
      <c r="BQ62">
        <v>1</v>
      </c>
      <c r="BR62">
        <v>2</v>
      </c>
      <c r="BS62">
        <v>2</v>
      </c>
      <c r="BT62">
        <v>4</v>
      </c>
      <c r="BU62">
        <v>1</v>
      </c>
      <c r="BV62">
        <v>4</v>
      </c>
      <c r="BW62">
        <v>1</v>
      </c>
      <c r="BX62">
        <v>3</v>
      </c>
      <c r="BY62">
        <v>2</v>
      </c>
      <c r="BZ62">
        <v>5</v>
      </c>
      <c r="CA62">
        <v>2</v>
      </c>
      <c r="CB62">
        <v>1</v>
      </c>
      <c r="CC62">
        <v>2</v>
      </c>
      <c r="CD62">
        <v>4</v>
      </c>
      <c r="CE62">
        <v>2</v>
      </c>
      <c r="CF62">
        <v>1</v>
      </c>
      <c r="CG62">
        <v>1</v>
      </c>
      <c r="CH62">
        <v>6</v>
      </c>
      <c r="CI62">
        <v>2</v>
      </c>
      <c r="CJ62">
        <v>4</v>
      </c>
      <c r="CK62">
        <v>2</v>
      </c>
      <c r="CL62">
        <v>4</v>
      </c>
      <c r="CM62">
        <v>1</v>
      </c>
      <c r="CN62">
        <v>1</v>
      </c>
      <c r="CO62">
        <v>1</v>
      </c>
      <c r="CP62">
        <v>1</v>
      </c>
      <c r="CQ62">
        <v>2</v>
      </c>
      <c r="CR62">
        <v>1</v>
      </c>
      <c r="CS62">
        <v>1</v>
      </c>
      <c r="CT62">
        <v>3</v>
      </c>
      <c r="CU62">
        <v>2</v>
      </c>
      <c r="CV62">
        <v>1</v>
      </c>
      <c r="CW62">
        <v>3</v>
      </c>
      <c r="CX62">
        <v>1</v>
      </c>
      <c r="CY62">
        <v>1</v>
      </c>
      <c r="CZ62">
        <v>4</v>
      </c>
      <c r="DA62">
        <v>1</v>
      </c>
      <c r="DB62">
        <v>3</v>
      </c>
      <c r="DC62">
        <v>1</v>
      </c>
      <c r="DD62">
        <v>1</v>
      </c>
      <c r="DE62">
        <v>2</v>
      </c>
      <c r="DF62">
        <v>1</v>
      </c>
      <c r="DG62">
        <v>3</v>
      </c>
      <c r="DH62">
        <v>1</v>
      </c>
      <c r="DI62">
        <v>1</v>
      </c>
      <c r="DJ62">
        <v>2</v>
      </c>
      <c r="DK62">
        <v>1</v>
      </c>
      <c r="DL62">
        <v>1</v>
      </c>
      <c r="DM62">
        <v>2</v>
      </c>
      <c r="DN62">
        <v>5</v>
      </c>
      <c r="DO62">
        <v>1</v>
      </c>
      <c r="DP62">
        <v>3</v>
      </c>
      <c r="DQ62">
        <v>1</v>
      </c>
      <c r="DR62">
        <v>0</v>
      </c>
      <c r="DS62">
        <v>0</v>
      </c>
      <c r="DT62">
        <v>0</v>
      </c>
      <c r="DU62">
        <v>0</v>
      </c>
      <c r="DV62">
        <v>0</v>
      </c>
      <c r="DW62">
        <v>0</v>
      </c>
      <c r="DX62">
        <v>1</v>
      </c>
      <c r="DY62">
        <v>0</v>
      </c>
      <c r="DZ62">
        <v>0</v>
      </c>
      <c r="EA62">
        <v>0</v>
      </c>
      <c r="EB62">
        <v>0</v>
      </c>
      <c r="EC62">
        <v>2</v>
      </c>
      <c r="ED62">
        <v>1</v>
      </c>
      <c r="EE62">
        <v>0</v>
      </c>
      <c r="EF62">
        <v>0</v>
      </c>
      <c r="EG62">
        <v>0</v>
      </c>
      <c r="EH62">
        <v>0</v>
      </c>
      <c r="EI62">
        <v>0</v>
      </c>
      <c r="EJ62">
        <v>17568</v>
      </c>
    </row>
    <row r="63" spans="1:140">
      <c r="A63" t="s">
        <v>102</v>
      </c>
      <c r="B63">
        <v>7252017</v>
      </c>
      <c r="C63">
        <v>2</v>
      </c>
      <c r="D63">
        <v>1</v>
      </c>
      <c r="E63">
        <v>39</v>
      </c>
      <c r="F63">
        <v>195</v>
      </c>
      <c r="G63">
        <v>5</v>
      </c>
      <c r="H63">
        <v>4</v>
      </c>
      <c r="I63">
        <v>33.47</v>
      </c>
      <c r="J63">
        <v>18.11</v>
      </c>
      <c r="K63">
        <v>1.62</v>
      </c>
      <c r="L63">
        <v>71.87</v>
      </c>
      <c r="M63">
        <v>44.14</v>
      </c>
      <c r="N63">
        <v>1</v>
      </c>
      <c r="O63">
        <v>2.96</v>
      </c>
      <c r="P63">
        <v>3.96</v>
      </c>
      <c r="Q63">
        <v>78.94</v>
      </c>
      <c r="R63">
        <v>49.03</v>
      </c>
      <c r="S63">
        <v>1586.82</v>
      </c>
      <c r="T63">
        <v>64.61</v>
      </c>
      <c r="U63">
        <v>56.06</v>
      </c>
      <c r="V63">
        <v>176.12</v>
      </c>
      <c r="W63">
        <v>15.1</v>
      </c>
      <c r="X63">
        <v>1</v>
      </c>
      <c r="Y63">
        <v>1</v>
      </c>
      <c r="Z63">
        <v>2</v>
      </c>
      <c r="AA63">
        <v>1</v>
      </c>
      <c r="AB63">
        <v>1</v>
      </c>
      <c r="AC63">
        <v>1</v>
      </c>
      <c r="AD63">
        <v>1</v>
      </c>
      <c r="AE63">
        <v>4</v>
      </c>
      <c r="AF63">
        <v>2</v>
      </c>
      <c r="AG63">
        <v>2</v>
      </c>
      <c r="AH63">
        <v>1</v>
      </c>
      <c r="AI63">
        <v>1</v>
      </c>
      <c r="AJ63">
        <v>1</v>
      </c>
      <c r="AK63">
        <v>1</v>
      </c>
      <c r="AL63">
        <v>2</v>
      </c>
      <c r="AM63">
        <v>4</v>
      </c>
      <c r="AN63">
        <v>3</v>
      </c>
      <c r="AO63">
        <v>2</v>
      </c>
      <c r="AP63">
        <v>1</v>
      </c>
      <c r="AQ63">
        <v>1</v>
      </c>
      <c r="AR63">
        <v>1</v>
      </c>
      <c r="AS63">
        <v>1</v>
      </c>
      <c r="AT63">
        <v>1</v>
      </c>
      <c r="AU63">
        <v>0</v>
      </c>
      <c r="AV63">
        <v>0</v>
      </c>
      <c r="AW63">
        <v>0</v>
      </c>
      <c r="AX63">
        <v>0</v>
      </c>
      <c r="AY63">
        <v>1</v>
      </c>
      <c r="AZ63">
        <v>4</v>
      </c>
      <c r="BA63">
        <v>2</v>
      </c>
      <c r="BB63">
        <v>3</v>
      </c>
      <c r="BC63">
        <v>1</v>
      </c>
      <c r="BD63">
        <v>3</v>
      </c>
      <c r="BE63">
        <v>2</v>
      </c>
      <c r="BF63">
        <v>1</v>
      </c>
      <c r="BG63">
        <v>3</v>
      </c>
      <c r="BH63">
        <v>2</v>
      </c>
      <c r="BI63">
        <v>2</v>
      </c>
      <c r="BJ63">
        <v>1</v>
      </c>
      <c r="BK63">
        <v>2</v>
      </c>
      <c r="BL63">
        <v>3</v>
      </c>
      <c r="BM63">
        <v>2</v>
      </c>
      <c r="BN63">
        <v>2</v>
      </c>
      <c r="BO63">
        <v>2</v>
      </c>
      <c r="BP63">
        <v>2</v>
      </c>
      <c r="BQ63">
        <v>2</v>
      </c>
      <c r="BR63">
        <v>2</v>
      </c>
      <c r="BS63">
        <v>2</v>
      </c>
      <c r="BT63">
        <v>2</v>
      </c>
      <c r="BU63">
        <v>2</v>
      </c>
      <c r="BV63">
        <v>3</v>
      </c>
      <c r="BW63">
        <v>1</v>
      </c>
      <c r="BX63">
        <v>4</v>
      </c>
      <c r="BY63">
        <v>3</v>
      </c>
      <c r="BZ63">
        <v>4</v>
      </c>
      <c r="CA63">
        <v>2</v>
      </c>
      <c r="CB63">
        <v>2</v>
      </c>
      <c r="CC63">
        <v>2</v>
      </c>
      <c r="CD63">
        <v>3</v>
      </c>
      <c r="CE63">
        <v>1</v>
      </c>
      <c r="CF63">
        <v>4</v>
      </c>
      <c r="CG63">
        <v>2</v>
      </c>
      <c r="CH63">
        <v>5</v>
      </c>
      <c r="CI63">
        <v>3</v>
      </c>
      <c r="CJ63">
        <v>3</v>
      </c>
      <c r="CK63">
        <v>2</v>
      </c>
      <c r="CL63">
        <v>1</v>
      </c>
      <c r="CM63">
        <v>1</v>
      </c>
      <c r="CN63">
        <v>1</v>
      </c>
      <c r="CO63">
        <v>2</v>
      </c>
      <c r="CP63">
        <v>2</v>
      </c>
      <c r="CQ63">
        <v>3</v>
      </c>
      <c r="CR63">
        <v>2</v>
      </c>
      <c r="CS63">
        <v>1</v>
      </c>
      <c r="CT63">
        <v>3</v>
      </c>
      <c r="CU63">
        <v>1</v>
      </c>
      <c r="CV63">
        <v>1</v>
      </c>
      <c r="CW63">
        <v>3</v>
      </c>
      <c r="CX63">
        <v>1</v>
      </c>
      <c r="CY63">
        <v>1</v>
      </c>
      <c r="CZ63">
        <v>1</v>
      </c>
      <c r="DA63">
        <v>1</v>
      </c>
      <c r="DB63">
        <v>3</v>
      </c>
      <c r="DC63">
        <v>1</v>
      </c>
      <c r="DD63">
        <v>1</v>
      </c>
      <c r="DE63">
        <v>3</v>
      </c>
      <c r="DF63">
        <v>2</v>
      </c>
      <c r="DG63">
        <v>3</v>
      </c>
      <c r="DH63">
        <v>3</v>
      </c>
      <c r="DI63">
        <v>2</v>
      </c>
      <c r="DJ63">
        <v>2</v>
      </c>
      <c r="DK63">
        <v>1</v>
      </c>
      <c r="DL63">
        <v>1</v>
      </c>
      <c r="DM63">
        <v>2</v>
      </c>
      <c r="DN63">
        <v>3</v>
      </c>
      <c r="DO63">
        <v>1</v>
      </c>
      <c r="DP63">
        <v>4</v>
      </c>
      <c r="DQ63">
        <v>0</v>
      </c>
      <c r="DR63">
        <v>1</v>
      </c>
      <c r="DS63">
        <v>0</v>
      </c>
      <c r="DT63">
        <v>0</v>
      </c>
      <c r="DU63">
        <v>0</v>
      </c>
      <c r="DV63">
        <v>0</v>
      </c>
      <c r="DW63">
        <v>0</v>
      </c>
      <c r="DX63">
        <v>1</v>
      </c>
      <c r="DY63">
        <v>0</v>
      </c>
      <c r="DZ63">
        <v>0</v>
      </c>
      <c r="EA63">
        <v>0</v>
      </c>
      <c r="EB63">
        <v>0</v>
      </c>
      <c r="EC63">
        <v>2</v>
      </c>
      <c r="ED63">
        <v>1</v>
      </c>
      <c r="EE63">
        <v>0</v>
      </c>
      <c r="EF63">
        <v>0</v>
      </c>
      <c r="EG63">
        <v>0</v>
      </c>
      <c r="EH63">
        <v>0</v>
      </c>
      <c r="EI63">
        <v>0</v>
      </c>
      <c r="EJ63">
        <v>12098</v>
      </c>
    </row>
    <row r="66" spans="1:140">
      <c r="A66" t="s">
        <v>762</v>
      </c>
      <c r="C66">
        <f t="shared" ref="C66:BN66" si="0">AVERAGE(C3:C33)</f>
        <v>2</v>
      </c>
      <c r="D66" s="1">
        <f t="shared" si="0"/>
        <v>1</v>
      </c>
      <c r="E66" s="1">
        <f t="shared" si="0"/>
        <v>34.321428571428569</v>
      </c>
      <c r="F66" s="1">
        <f t="shared" si="0"/>
        <v>160.60714285714286</v>
      </c>
      <c r="G66" s="1">
        <f t="shared" si="0"/>
        <v>5.0370370370370372</v>
      </c>
      <c r="H66" s="1">
        <f t="shared" si="0"/>
        <v>5</v>
      </c>
      <c r="I66" s="1">
        <f t="shared" si="0"/>
        <v>26.464074074074073</v>
      </c>
      <c r="J66" s="1">
        <f t="shared" si="0"/>
        <v>16.700000000000003</v>
      </c>
      <c r="K66" s="1">
        <f t="shared" si="0"/>
        <v>2.2020282142857144</v>
      </c>
      <c r="L66" s="1">
        <f t="shared" si="0"/>
        <v>43.367142857142866</v>
      </c>
      <c r="M66" s="1">
        <f t="shared" si="0"/>
        <v>22.727499999999999</v>
      </c>
      <c r="N66" s="1">
        <f t="shared" si="0"/>
        <v>1.1301785714285713</v>
      </c>
      <c r="O66" s="1">
        <f t="shared" si="0"/>
        <v>1.2523214285714286</v>
      </c>
      <c r="P66" s="1">
        <f t="shared" si="0"/>
        <v>2.382678571428571</v>
      </c>
      <c r="Q66" s="1">
        <f t="shared" si="0"/>
        <v>49.604999999999997</v>
      </c>
      <c r="R66" s="1">
        <f t="shared" si="0"/>
        <v>50.311071428571431</v>
      </c>
      <c r="S66" s="1">
        <f t="shared" si="0"/>
        <v>1026.2007142857142</v>
      </c>
      <c r="T66" s="1">
        <f t="shared" si="0"/>
        <v>44.347500000000004</v>
      </c>
      <c r="U66" s="1">
        <f t="shared" si="0"/>
        <v>47.463928571428575</v>
      </c>
      <c r="V66" s="1">
        <f t="shared" si="0"/>
        <v>107.92535714285715</v>
      </c>
      <c r="W66" s="1">
        <f t="shared" si="0"/>
        <v>9.0864285714285717</v>
      </c>
      <c r="X66" s="1">
        <f t="shared" si="0"/>
        <v>1.5357142857142858</v>
      </c>
      <c r="Y66" s="1">
        <f t="shared" si="0"/>
        <v>1</v>
      </c>
      <c r="Z66" s="1">
        <f t="shared" si="0"/>
        <v>2.5357142857142856</v>
      </c>
      <c r="AA66" s="1">
        <f t="shared" si="0"/>
        <v>2.1071428571428572</v>
      </c>
      <c r="AB66" s="1">
        <f t="shared" si="0"/>
        <v>1.9285714285714286</v>
      </c>
      <c r="AC66" s="1">
        <f t="shared" si="0"/>
        <v>1.0714285714285714</v>
      </c>
      <c r="AD66" s="1">
        <f t="shared" si="0"/>
        <v>1.0357142857142858</v>
      </c>
      <c r="AE66" s="1">
        <f t="shared" si="0"/>
        <v>1.3928571428571428</v>
      </c>
      <c r="AF66" s="1">
        <f t="shared" si="0"/>
        <v>1.0357142857142858</v>
      </c>
      <c r="AG66" s="1">
        <f t="shared" si="0"/>
        <v>1.8928571428571428</v>
      </c>
      <c r="AH66" s="1">
        <f t="shared" si="0"/>
        <v>1.2142857142857142</v>
      </c>
      <c r="AI66" s="1">
        <f t="shared" si="0"/>
        <v>1</v>
      </c>
      <c r="AJ66" s="1">
        <f t="shared" si="0"/>
        <v>2.7142857142857144</v>
      </c>
      <c r="AK66" s="1">
        <f t="shared" si="0"/>
        <v>1.1071428571428572</v>
      </c>
      <c r="AL66" s="1">
        <f t="shared" si="0"/>
        <v>1.6785714285714286</v>
      </c>
      <c r="AM66" s="1">
        <f t="shared" si="0"/>
        <v>1.3214285714285714</v>
      </c>
      <c r="AN66" s="1">
        <f t="shared" si="0"/>
        <v>1.0714285714285714</v>
      </c>
      <c r="AO66" s="1">
        <f t="shared" si="0"/>
        <v>2.6785714285714284</v>
      </c>
      <c r="AP66" s="1">
        <f t="shared" si="0"/>
        <v>1.75</v>
      </c>
      <c r="AQ66" s="1">
        <f t="shared" si="0"/>
        <v>1.5714285714285714</v>
      </c>
      <c r="AR66" s="1">
        <f t="shared" si="0"/>
        <v>1.75</v>
      </c>
      <c r="AS66" s="1">
        <f t="shared" si="0"/>
        <v>1.4642857142857142</v>
      </c>
      <c r="AT66" s="1">
        <f t="shared" si="0"/>
        <v>1.7857142857142858</v>
      </c>
      <c r="AU66" s="1">
        <f t="shared" si="0"/>
        <v>3.5714285714285712E-2</v>
      </c>
      <c r="AV66" s="1">
        <f t="shared" si="0"/>
        <v>0.32142857142857145</v>
      </c>
      <c r="AW66" s="1">
        <f t="shared" si="0"/>
        <v>0.17857142857142858</v>
      </c>
      <c r="AX66" s="1">
        <f t="shared" si="0"/>
        <v>3.5714285714285712E-2</v>
      </c>
      <c r="AY66" s="1">
        <f t="shared" si="0"/>
        <v>0.5</v>
      </c>
      <c r="AZ66" s="1">
        <f t="shared" si="0"/>
        <v>2.75</v>
      </c>
      <c r="BA66" s="1">
        <f t="shared" si="0"/>
        <v>1.25</v>
      </c>
      <c r="BB66" s="1">
        <f t="shared" si="0"/>
        <v>3.8214285714285716</v>
      </c>
      <c r="BC66" s="1">
        <f t="shared" si="0"/>
        <v>1.6071428571428572</v>
      </c>
      <c r="BD66" s="1">
        <f t="shared" si="0"/>
        <v>2.1428571428571428</v>
      </c>
      <c r="BE66" s="1">
        <f t="shared" si="0"/>
        <v>2.0357142857142856</v>
      </c>
      <c r="BF66" s="1">
        <f t="shared" si="0"/>
        <v>1.3571428571428572</v>
      </c>
      <c r="BG66" s="1">
        <f t="shared" si="0"/>
        <v>2.0357142857142856</v>
      </c>
      <c r="BH66" s="1">
        <f t="shared" si="0"/>
        <v>1.25</v>
      </c>
      <c r="BI66" s="1">
        <f t="shared" si="0"/>
        <v>1.4285714285714286</v>
      </c>
      <c r="BJ66" s="1">
        <f t="shared" si="0"/>
        <v>1.1428571428571428</v>
      </c>
      <c r="BK66" s="1">
        <f t="shared" si="0"/>
        <v>1.8214285714285714</v>
      </c>
      <c r="BL66" s="1">
        <f t="shared" si="0"/>
        <v>2.5</v>
      </c>
      <c r="BM66" s="1">
        <f t="shared" si="0"/>
        <v>1.4642857142857142</v>
      </c>
      <c r="BN66" s="1">
        <f t="shared" si="0"/>
        <v>1.6071428571428572</v>
      </c>
      <c r="BO66" s="1">
        <f t="shared" ref="BO66:DZ66" si="1">AVERAGE(BO3:BO33)</f>
        <v>1.8928571428571428</v>
      </c>
      <c r="BP66" s="1">
        <f t="shared" si="1"/>
        <v>1.6428571428571428</v>
      </c>
      <c r="BQ66" s="1">
        <f t="shared" si="1"/>
        <v>2.0357142857142856</v>
      </c>
      <c r="BR66" s="1">
        <f t="shared" si="1"/>
        <v>1.7857142857142858</v>
      </c>
      <c r="BS66" s="1">
        <f t="shared" si="1"/>
        <v>1.9642857142857142</v>
      </c>
      <c r="BT66" s="1">
        <f t="shared" si="1"/>
        <v>2.3571428571428572</v>
      </c>
      <c r="BU66" s="1">
        <f t="shared" si="1"/>
        <v>1.4642857142857142</v>
      </c>
      <c r="BV66" s="1">
        <f t="shared" si="1"/>
        <v>2.4642857142857144</v>
      </c>
      <c r="BW66" s="1">
        <f t="shared" si="1"/>
        <v>1.1785714285714286</v>
      </c>
      <c r="BX66" s="1">
        <f t="shared" si="1"/>
        <v>3.8214285714285716</v>
      </c>
      <c r="BY66" s="1">
        <f t="shared" si="1"/>
        <v>1.75</v>
      </c>
      <c r="BZ66" s="1">
        <f t="shared" si="1"/>
        <v>4.0370370370370372</v>
      </c>
      <c r="CA66" s="1">
        <f t="shared" si="1"/>
        <v>1.5714285714285714</v>
      </c>
      <c r="CB66" s="1">
        <f t="shared" si="1"/>
        <v>2</v>
      </c>
      <c r="CC66" s="1">
        <f t="shared" si="1"/>
        <v>1.3214285714285714</v>
      </c>
      <c r="CD66" s="1">
        <f t="shared" si="1"/>
        <v>1.9642857142857142</v>
      </c>
      <c r="CE66" s="1">
        <f t="shared" si="1"/>
        <v>1.25</v>
      </c>
      <c r="CF66" s="1">
        <f t="shared" si="1"/>
        <v>1.6428571428571428</v>
      </c>
      <c r="CG66" s="1">
        <f t="shared" si="1"/>
        <v>1.25</v>
      </c>
      <c r="CH66" s="1">
        <f t="shared" si="1"/>
        <v>3.8571428571428572</v>
      </c>
      <c r="CI66" s="1">
        <f t="shared" si="1"/>
        <v>1.6428571428571428</v>
      </c>
      <c r="CJ66" s="1">
        <f t="shared" si="1"/>
        <v>4</v>
      </c>
      <c r="CK66" s="1">
        <f t="shared" si="1"/>
        <v>1.7142857142857142</v>
      </c>
      <c r="CL66" s="1">
        <f t="shared" si="1"/>
        <v>3.3214285714285716</v>
      </c>
      <c r="CM66" s="1">
        <f t="shared" si="1"/>
        <v>1.2857142857142858</v>
      </c>
      <c r="CN66" s="1">
        <f t="shared" si="1"/>
        <v>1</v>
      </c>
      <c r="CO66" s="1">
        <f t="shared" si="1"/>
        <v>2.4285714285714284</v>
      </c>
      <c r="CP66" s="1">
        <f t="shared" si="1"/>
        <v>1.7142857142857142</v>
      </c>
      <c r="CQ66" s="1">
        <f t="shared" si="1"/>
        <v>1.9285714285714286</v>
      </c>
      <c r="CR66" s="1">
        <f t="shared" si="1"/>
        <v>1.4642857142857142</v>
      </c>
      <c r="CS66" s="1">
        <f t="shared" si="1"/>
        <v>1.8214285714285714</v>
      </c>
      <c r="CT66" s="1">
        <f t="shared" si="1"/>
        <v>2.3928571428571428</v>
      </c>
      <c r="CU66" s="1">
        <f t="shared" si="1"/>
        <v>1.4642857142857142</v>
      </c>
      <c r="CV66" s="1">
        <f t="shared" si="1"/>
        <v>1.3214285714285714</v>
      </c>
      <c r="CW66" s="1">
        <f t="shared" si="1"/>
        <v>2.8571428571428572</v>
      </c>
      <c r="CX66" s="1">
        <f t="shared" si="1"/>
        <v>1.2142857142857142</v>
      </c>
      <c r="CY66" s="1">
        <f t="shared" si="1"/>
        <v>1</v>
      </c>
      <c r="CZ66" s="1">
        <f t="shared" si="1"/>
        <v>1.8214285714285714</v>
      </c>
      <c r="DA66" s="1">
        <f t="shared" si="1"/>
        <v>1.2857142857142858</v>
      </c>
      <c r="DB66" s="1">
        <f t="shared" si="1"/>
        <v>3</v>
      </c>
      <c r="DC66" s="1">
        <f t="shared" si="1"/>
        <v>1.1071428571428572</v>
      </c>
      <c r="DD66" s="1">
        <f t="shared" si="1"/>
        <v>1.0357142857142858</v>
      </c>
      <c r="DE66" s="1">
        <f t="shared" si="1"/>
        <v>2.25</v>
      </c>
      <c r="DF66" s="1">
        <f t="shared" si="1"/>
        <v>1.8571428571428572</v>
      </c>
      <c r="DG66" s="1">
        <f t="shared" si="1"/>
        <v>2.8571428571428572</v>
      </c>
      <c r="DH66" s="1">
        <f t="shared" si="1"/>
        <v>1.3214285714285714</v>
      </c>
      <c r="DI66" s="1">
        <f t="shared" si="1"/>
        <v>1.7142857142857142</v>
      </c>
      <c r="DJ66" s="1">
        <f t="shared" si="1"/>
        <v>2</v>
      </c>
      <c r="DK66" s="1">
        <f t="shared" si="1"/>
        <v>1.4285714285714286</v>
      </c>
      <c r="DL66" s="1">
        <f t="shared" si="1"/>
        <v>1.1071428571428572</v>
      </c>
      <c r="DM66" s="1">
        <f t="shared" si="1"/>
        <v>2.3571428571428572</v>
      </c>
      <c r="DN66" s="1">
        <f t="shared" si="1"/>
        <v>2.6666666666666665</v>
      </c>
      <c r="DO66" s="1">
        <f t="shared" si="1"/>
        <v>1.3571428571428572</v>
      </c>
      <c r="DP66" s="1">
        <f t="shared" si="1"/>
        <v>3.9629629629629628</v>
      </c>
      <c r="DQ66" s="1">
        <f t="shared" si="1"/>
        <v>0.17857142857142858</v>
      </c>
      <c r="DR66" s="1">
        <f t="shared" si="1"/>
        <v>0.5</v>
      </c>
      <c r="DS66" s="1">
        <f t="shared" si="1"/>
        <v>0</v>
      </c>
      <c r="DT66" s="1">
        <f t="shared" si="1"/>
        <v>0</v>
      </c>
      <c r="DU66" s="1">
        <f t="shared" si="1"/>
        <v>3.5714285714285712E-2</v>
      </c>
      <c r="DV66" s="1">
        <f t="shared" si="1"/>
        <v>0</v>
      </c>
      <c r="DW66" s="1">
        <f t="shared" si="1"/>
        <v>0.17857142857142858</v>
      </c>
      <c r="DX66" s="1">
        <f t="shared" si="1"/>
        <v>0.6785714285714286</v>
      </c>
      <c r="DY66" s="1">
        <f t="shared" si="1"/>
        <v>0</v>
      </c>
      <c r="DZ66" s="1">
        <f t="shared" si="1"/>
        <v>0</v>
      </c>
      <c r="EA66" s="1">
        <f t="shared" ref="EA66:EJ66" si="2">AVERAGE(EA3:EA33)</f>
        <v>3.5714285714285712E-2</v>
      </c>
      <c r="EB66" s="1">
        <f t="shared" si="2"/>
        <v>0</v>
      </c>
      <c r="EC66" s="1">
        <f t="shared" si="2"/>
        <v>1.7777777777777777</v>
      </c>
      <c r="ED66" s="1">
        <f t="shared" si="2"/>
        <v>0.8571428571428571</v>
      </c>
      <c r="EE66" s="1">
        <f t="shared" si="2"/>
        <v>0</v>
      </c>
      <c r="EF66" s="1">
        <f t="shared" si="2"/>
        <v>3.5714285714285712E-2</v>
      </c>
      <c r="EG66" s="1">
        <f t="shared" si="2"/>
        <v>0</v>
      </c>
      <c r="EH66" s="1">
        <f t="shared" si="2"/>
        <v>0</v>
      </c>
      <c r="EI66" s="1">
        <f t="shared" si="2"/>
        <v>7.1428571428571425E-2</v>
      </c>
      <c r="EJ66" s="1">
        <f t="shared" si="2"/>
        <v>17024.392857142859</v>
      </c>
    </row>
    <row r="67" spans="1:140">
      <c r="A67" t="s">
        <v>763</v>
      </c>
      <c r="C67">
        <f t="shared" ref="C67:BN67" si="3">AVERAGE(C35:C63)</f>
        <v>2</v>
      </c>
      <c r="D67" s="1">
        <f t="shared" si="3"/>
        <v>1.2142857142857142</v>
      </c>
      <c r="E67" s="1">
        <f t="shared" si="3"/>
        <v>34.035714285714285</v>
      </c>
      <c r="F67" s="1">
        <f t="shared" si="3"/>
        <v>153.21428571428572</v>
      </c>
      <c r="G67" s="1">
        <f t="shared" si="3"/>
        <v>5.0357142857142856</v>
      </c>
      <c r="H67" s="1">
        <f t="shared" si="3"/>
        <v>4.25</v>
      </c>
      <c r="I67" s="1">
        <f t="shared" si="3"/>
        <v>25.817857142857147</v>
      </c>
      <c r="J67" s="1">
        <f t="shared" si="3"/>
        <v>15.918275862068965</v>
      </c>
      <c r="K67" s="1">
        <f t="shared" si="3"/>
        <v>2.064034482758621</v>
      </c>
      <c r="L67" s="1">
        <f t="shared" si="3"/>
        <v>54.462413793103444</v>
      </c>
      <c r="M67" s="1">
        <f t="shared" si="3"/>
        <v>28.625827586206892</v>
      </c>
      <c r="N67" s="1">
        <f t="shared" si="3"/>
        <v>1.4137931034482758</v>
      </c>
      <c r="O67" s="1">
        <f t="shared" si="3"/>
        <v>1.4040344827586209</v>
      </c>
      <c r="P67" s="1">
        <f t="shared" si="3"/>
        <v>2.8181034482758625</v>
      </c>
      <c r="Q67" s="1">
        <f t="shared" si="3"/>
        <v>58.317931034482768</v>
      </c>
      <c r="R67" s="1">
        <f t="shared" si="3"/>
        <v>49.558275862068953</v>
      </c>
      <c r="S67" s="1">
        <f t="shared" si="3"/>
        <v>1080.0344827586205</v>
      </c>
      <c r="T67" s="1">
        <f t="shared" si="3"/>
        <v>42.59482758620689</v>
      </c>
      <c r="U67" s="1">
        <f t="shared" si="3"/>
        <v>45.335172413793096</v>
      </c>
      <c r="V67" s="1">
        <f t="shared" si="3"/>
        <v>127.34827586206895</v>
      </c>
      <c r="W67" s="1">
        <f t="shared" si="3"/>
        <v>10.521379310344829</v>
      </c>
      <c r="X67" s="1">
        <f t="shared" si="3"/>
        <v>1.5517241379310345</v>
      </c>
      <c r="Y67" s="1">
        <f t="shared" si="3"/>
        <v>1.0344827586206897</v>
      </c>
      <c r="Z67" s="1">
        <f t="shared" si="3"/>
        <v>2.4137931034482758</v>
      </c>
      <c r="AA67" s="1">
        <f t="shared" si="3"/>
        <v>2.0689655172413794</v>
      </c>
      <c r="AB67" s="1">
        <f t="shared" si="3"/>
        <v>1.6896551724137931</v>
      </c>
      <c r="AC67" s="1">
        <f t="shared" si="3"/>
        <v>1.2068965517241379</v>
      </c>
      <c r="AD67" s="1">
        <f t="shared" si="3"/>
        <v>1.0689655172413792</v>
      </c>
      <c r="AE67" s="1">
        <f t="shared" si="3"/>
        <v>1.5517241379310345</v>
      </c>
      <c r="AF67" s="1">
        <f t="shared" si="3"/>
        <v>1.103448275862069</v>
      </c>
      <c r="AG67" s="1">
        <f t="shared" si="3"/>
        <v>1.9310344827586208</v>
      </c>
      <c r="AH67" s="1">
        <f t="shared" si="3"/>
        <v>1.0714285714285714</v>
      </c>
      <c r="AI67" s="1">
        <f t="shared" si="3"/>
        <v>1</v>
      </c>
      <c r="AJ67" s="1">
        <f t="shared" si="3"/>
        <v>2.3793103448275863</v>
      </c>
      <c r="AK67" s="1">
        <f t="shared" si="3"/>
        <v>1.3448275862068966</v>
      </c>
      <c r="AL67" s="1">
        <f t="shared" si="3"/>
        <v>1.7586206896551724</v>
      </c>
      <c r="AM67" s="1">
        <f t="shared" si="3"/>
        <v>1.5517241379310345</v>
      </c>
      <c r="AN67" s="1">
        <f t="shared" si="3"/>
        <v>1.1724137931034482</v>
      </c>
      <c r="AO67" s="1">
        <f t="shared" si="3"/>
        <v>2.896551724137931</v>
      </c>
      <c r="AP67" s="1">
        <f t="shared" si="3"/>
        <v>1.6896551724137931</v>
      </c>
      <c r="AQ67" s="1">
        <f t="shared" si="3"/>
        <v>2.5862068965517242</v>
      </c>
      <c r="AR67" s="1">
        <f t="shared" si="3"/>
        <v>1.6896551724137931</v>
      </c>
      <c r="AS67" s="1">
        <f t="shared" si="3"/>
        <v>2</v>
      </c>
      <c r="AT67" s="1">
        <f t="shared" si="3"/>
        <v>1.4827586206896552</v>
      </c>
      <c r="AU67" s="1">
        <f t="shared" si="3"/>
        <v>3.4482758620689655E-2</v>
      </c>
      <c r="AV67" s="1">
        <f t="shared" si="3"/>
        <v>0.41379310344827586</v>
      </c>
      <c r="AW67" s="1">
        <f t="shared" si="3"/>
        <v>0.31034482758620691</v>
      </c>
      <c r="AX67" s="1">
        <f t="shared" si="3"/>
        <v>0.10344827586206896</v>
      </c>
      <c r="AY67" s="1">
        <f t="shared" si="3"/>
        <v>0.27586206896551724</v>
      </c>
      <c r="AZ67" s="1">
        <f t="shared" si="3"/>
        <v>1.6206896551724137</v>
      </c>
      <c r="BA67" s="1">
        <f t="shared" si="3"/>
        <v>1.1379310344827587</v>
      </c>
      <c r="BB67" s="1">
        <f t="shared" si="3"/>
        <v>3.4137931034482758</v>
      </c>
      <c r="BC67" s="1">
        <f t="shared" si="3"/>
        <v>1.4827586206896552</v>
      </c>
      <c r="BD67" s="1">
        <f t="shared" si="3"/>
        <v>2.2068965517241379</v>
      </c>
      <c r="BE67" s="1">
        <f t="shared" si="3"/>
        <v>2</v>
      </c>
      <c r="BF67" s="1">
        <f t="shared" si="3"/>
        <v>1.5517241379310345</v>
      </c>
      <c r="BG67" s="1">
        <f t="shared" si="3"/>
        <v>1.896551724137931</v>
      </c>
      <c r="BH67" s="1">
        <f t="shared" si="3"/>
        <v>1.3103448275862069</v>
      </c>
      <c r="BI67" s="1">
        <f t="shared" si="3"/>
        <v>1.4482758620689655</v>
      </c>
      <c r="BJ67" s="1">
        <f t="shared" si="3"/>
        <v>1.103448275862069</v>
      </c>
      <c r="BK67" s="1">
        <f t="shared" si="3"/>
        <v>1.6551724137931034</v>
      </c>
      <c r="BL67" s="1">
        <f t="shared" si="3"/>
        <v>2.2413793103448274</v>
      </c>
      <c r="BM67" s="1">
        <f t="shared" si="3"/>
        <v>1.4137931034482758</v>
      </c>
      <c r="BN67" s="1">
        <f t="shared" si="3"/>
        <v>1.5517241379310345</v>
      </c>
      <c r="BO67" s="1">
        <f t="shared" ref="BO67:DZ67" si="4">AVERAGE(BO35:BO63)</f>
        <v>1.6206896551724137</v>
      </c>
      <c r="BP67" s="1">
        <f t="shared" si="4"/>
        <v>1.7241379310344827</v>
      </c>
      <c r="BQ67" s="1">
        <f t="shared" si="4"/>
        <v>1.8620689655172413</v>
      </c>
      <c r="BR67" s="1">
        <f t="shared" si="4"/>
        <v>2</v>
      </c>
      <c r="BS67" s="1">
        <f t="shared" si="4"/>
        <v>2</v>
      </c>
      <c r="BT67" s="1">
        <f t="shared" si="4"/>
        <v>2.3793103448275863</v>
      </c>
      <c r="BU67" s="1">
        <f t="shared" si="4"/>
        <v>1.4137931034482758</v>
      </c>
      <c r="BV67" s="1">
        <f t="shared" si="4"/>
        <v>2.6551724137931036</v>
      </c>
      <c r="BW67" s="1">
        <f t="shared" si="4"/>
        <v>1.0689655172413792</v>
      </c>
      <c r="BX67" s="1">
        <f t="shared" si="4"/>
        <v>3.6206896551724137</v>
      </c>
      <c r="BY67" s="1">
        <f t="shared" si="4"/>
        <v>1.6206896551724137</v>
      </c>
      <c r="BZ67" s="1">
        <f t="shared" si="4"/>
        <v>4.4827586206896548</v>
      </c>
      <c r="CA67" s="1">
        <f t="shared" si="4"/>
        <v>1.7241379310344827</v>
      </c>
      <c r="CB67" s="1">
        <f t="shared" si="4"/>
        <v>1.6896551724137931</v>
      </c>
      <c r="CC67" s="1">
        <f t="shared" si="4"/>
        <v>1.3448275862068966</v>
      </c>
      <c r="CD67" s="1">
        <f t="shared" si="4"/>
        <v>1.896551724137931</v>
      </c>
      <c r="CE67" s="1">
        <f t="shared" si="4"/>
        <v>1.3793103448275863</v>
      </c>
      <c r="CF67" s="1">
        <f t="shared" si="4"/>
        <v>1.5172413793103448</v>
      </c>
      <c r="CG67" s="1">
        <f t="shared" si="4"/>
        <v>1.2758620689655173</v>
      </c>
      <c r="CH67" s="1">
        <f t="shared" si="4"/>
        <v>4.1428571428571432</v>
      </c>
      <c r="CI67" s="1">
        <f t="shared" si="4"/>
        <v>1.8620689655172413</v>
      </c>
      <c r="CJ67" s="1">
        <f t="shared" si="4"/>
        <v>3.7931034482758621</v>
      </c>
      <c r="CK67" s="1">
        <f t="shared" si="4"/>
        <v>1.5862068965517242</v>
      </c>
      <c r="CL67" s="1">
        <f t="shared" si="4"/>
        <v>3.5172413793103448</v>
      </c>
      <c r="CM67" s="1">
        <f t="shared" si="4"/>
        <v>1.2068965517241379</v>
      </c>
      <c r="CN67" s="1">
        <f t="shared" si="4"/>
        <v>1</v>
      </c>
      <c r="CO67" s="1">
        <f t="shared" si="4"/>
        <v>2.3571428571428572</v>
      </c>
      <c r="CP67" s="1">
        <f t="shared" si="4"/>
        <v>1.6206896551724137</v>
      </c>
      <c r="CQ67" s="1">
        <f t="shared" si="4"/>
        <v>1.9310344827586208</v>
      </c>
      <c r="CR67" s="1">
        <f t="shared" si="4"/>
        <v>1.7586206896551724</v>
      </c>
      <c r="CS67" s="1">
        <f t="shared" si="4"/>
        <v>1.8275862068965518</v>
      </c>
      <c r="CT67" s="1">
        <f t="shared" si="4"/>
        <v>2.4827586206896552</v>
      </c>
      <c r="CU67" s="1">
        <f t="shared" si="4"/>
        <v>1.6206896551724137</v>
      </c>
      <c r="CV67" s="1">
        <f t="shared" si="4"/>
        <v>1.3103448275862069</v>
      </c>
      <c r="CW67" s="1">
        <f t="shared" si="4"/>
        <v>3.0344827586206895</v>
      </c>
      <c r="CX67" s="1">
        <f t="shared" si="4"/>
        <v>1.0714285714285714</v>
      </c>
      <c r="CY67" s="1">
        <f t="shared" si="4"/>
        <v>1.0344827586206897</v>
      </c>
      <c r="CZ67" s="1">
        <f t="shared" si="4"/>
        <v>1.8275862068965518</v>
      </c>
      <c r="DA67" s="1">
        <f t="shared" si="4"/>
        <v>1.3793103448275863</v>
      </c>
      <c r="DB67" s="1">
        <f t="shared" si="4"/>
        <v>2.9655172413793105</v>
      </c>
      <c r="DC67" s="1">
        <f t="shared" si="4"/>
        <v>1</v>
      </c>
      <c r="DD67" s="1">
        <f t="shared" si="4"/>
        <v>1</v>
      </c>
      <c r="DE67" s="1">
        <f t="shared" si="4"/>
        <v>2.103448275862069</v>
      </c>
      <c r="DF67" s="1">
        <f t="shared" si="4"/>
        <v>1.7241379310344827</v>
      </c>
      <c r="DG67" s="1">
        <f t="shared" si="4"/>
        <v>3</v>
      </c>
      <c r="DH67" s="1">
        <f t="shared" si="4"/>
        <v>1.4137931034482758</v>
      </c>
      <c r="DI67" s="1">
        <f t="shared" si="4"/>
        <v>1.6896551724137931</v>
      </c>
      <c r="DJ67" s="1">
        <f t="shared" si="4"/>
        <v>2</v>
      </c>
      <c r="DK67" s="1">
        <f t="shared" si="4"/>
        <v>1.3793103448275863</v>
      </c>
      <c r="DL67" s="1">
        <f t="shared" si="4"/>
        <v>1</v>
      </c>
      <c r="DM67" s="1">
        <f t="shared" si="4"/>
        <v>2.1379310344827585</v>
      </c>
      <c r="DN67" s="1">
        <f t="shared" si="4"/>
        <v>3.1724137931034484</v>
      </c>
      <c r="DO67" s="1">
        <f t="shared" si="4"/>
        <v>1.2413793103448276</v>
      </c>
      <c r="DP67" s="1">
        <f t="shared" si="4"/>
        <v>3.3793103448275863</v>
      </c>
      <c r="DQ67" s="1">
        <f t="shared" si="4"/>
        <v>0.2413793103448276</v>
      </c>
      <c r="DR67" s="1">
        <f t="shared" si="4"/>
        <v>0.58620689655172409</v>
      </c>
      <c r="DS67" s="1">
        <f t="shared" si="4"/>
        <v>3.4482758620689655E-2</v>
      </c>
      <c r="DT67" s="1">
        <f t="shared" si="4"/>
        <v>0</v>
      </c>
      <c r="DU67" s="1">
        <f t="shared" si="4"/>
        <v>0</v>
      </c>
      <c r="DV67" s="1">
        <f t="shared" si="4"/>
        <v>0</v>
      </c>
      <c r="DW67" s="1">
        <f t="shared" si="4"/>
        <v>6.8965517241379309E-2</v>
      </c>
      <c r="DX67" s="1">
        <f t="shared" si="4"/>
        <v>0.68965517241379315</v>
      </c>
      <c r="DY67" s="1">
        <f t="shared" si="4"/>
        <v>0</v>
      </c>
      <c r="DZ67" s="1">
        <f t="shared" si="4"/>
        <v>3.4482758620689655E-2</v>
      </c>
      <c r="EA67" s="1">
        <f t="shared" ref="EA67:EJ67" si="5">AVERAGE(EA35:EA63)</f>
        <v>3.4482758620689655E-2</v>
      </c>
      <c r="EB67" s="1">
        <f t="shared" si="5"/>
        <v>6.8965517241379309E-2</v>
      </c>
      <c r="EC67" s="1">
        <f t="shared" si="5"/>
        <v>1.6896551724137931</v>
      </c>
      <c r="ED67" s="1">
        <f t="shared" si="5"/>
        <v>0.96551724137931039</v>
      </c>
      <c r="EE67" s="1">
        <f t="shared" si="5"/>
        <v>0</v>
      </c>
      <c r="EF67" s="1">
        <f t="shared" si="5"/>
        <v>0</v>
      </c>
      <c r="EG67" s="1">
        <f t="shared" si="5"/>
        <v>0</v>
      </c>
      <c r="EH67" s="1">
        <f t="shared" si="5"/>
        <v>0</v>
      </c>
      <c r="EI67" s="1">
        <f t="shared" si="5"/>
        <v>0</v>
      </c>
      <c r="EJ67" s="1">
        <f t="shared" si="5"/>
        <v>17400.241379310344</v>
      </c>
    </row>
    <row r="68" spans="1:140">
      <c r="A68" t="s">
        <v>764</v>
      </c>
      <c r="C68">
        <f t="shared" ref="C68:BN68" si="6">STDEV(C3:C33)</f>
        <v>0</v>
      </c>
      <c r="D68" s="1">
        <f t="shared" si="6"/>
        <v>0</v>
      </c>
      <c r="E68" s="1">
        <f t="shared" si="6"/>
        <v>5.3475752305658046</v>
      </c>
      <c r="F68" s="1">
        <f t="shared" si="6"/>
        <v>36.555730447789259</v>
      </c>
      <c r="G68" s="1">
        <f t="shared" si="6"/>
        <v>0.19245008972987515</v>
      </c>
      <c r="H68" s="1">
        <f t="shared" si="6"/>
        <v>2.7174648819470297</v>
      </c>
      <c r="I68" s="1">
        <f t="shared" si="6"/>
        <v>5.1010385513142706</v>
      </c>
      <c r="J68" s="1">
        <f t="shared" si="6"/>
        <v>7.337934919913689</v>
      </c>
      <c r="K68" s="1">
        <f t="shared" si="6"/>
        <v>1.6109667609258123</v>
      </c>
      <c r="L68" s="1">
        <f t="shared" si="6"/>
        <v>21.812054576947219</v>
      </c>
      <c r="M68" s="1">
        <f t="shared" si="6"/>
        <v>18.29548752804606</v>
      </c>
      <c r="N68" s="1">
        <f t="shared" si="6"/>
        <v>0.77239344481804362</v>
      </c>
      <c r="O68" s="1">
        <f t="shared" si="6"/>
        <v>0.77509674682017438</v>
      </c>
      <c r="P68" s="1">
        <f t="shared" si="6"/>
        <v>1.2662700271845784</v>
      </c>
      <c r="Q68" s="1">
        <f t="shared" si="6"/>
        <v>15.181905775065378</v>
      </c>
      <c r="R68" s="1">
        <f t="shared" si="6"/>
        <v>4.4111603741601648</v>
      </c>
      <c r="S68" s="1">
        <f t="shared" si="6"/>
        <v>276.55520407899513</v>
      </c>
      <c r="T68" s="1">
        <f t="shared" si="6"/>
        <v>16.391698582130143</v>
      </c>
      <c r="U68" s="1">
        <f t="shared" si="6"/>
        <v>17.691524930459771</v>
      </c>
      <c r="V68" s="1">
        <f t="shared" si="6"/>
        <v>32.19539172018051</v>
      </c>
      <c r="W68" s="1">
        <f t="shared" si="6"/>
        <v>3.5512618667961999</v>
      </c>
      <c r="X68" s="1">
        <f t="shared" si="6"/>
        <v>0.9993384054849731</v>
      </c>
      <c r="Y68" s="1">
        <f t="shared" si="6"/>
        <v>0</v>
      </c>
      <c r="Z68" s="1">
        <f t="shared" si="6"/>
        <v>1.3466595945123117</v>
      </c>
      <c r="AA68" s="1">
        <f t="shared" si="6"/>
        <v>1.3700307029348382</v>
      </c>
      <c r="AB68" s="1">
        <f t="shared" si="6"/>
        <v>0.53944906247512481</v>
      </c>
      <c r="AC68" s="1">
        <f t="shared" si="6"/>
        <v>0.26226526415648083</v>
      </c>
      <c r="AD68" s="1">
        <f t="shared" si="6"/>
        <v>0.18898223650461371</v>
      </c>
      <c r="AE68" s="1">
        <f t="shared" si="6"/>
        <v>1.1655323283657166</v>
      </c>
      <c r="AF68" s="1">
        <f t="shared" si="6"/>
        <v>0.18898223650461371</v>
      </c>
      <c r="AG68" s="1">
        <f t="shared" si="6"/>
        <v>0.31497039417435613</v>
      </c>
      <c r="AH68" s="1">
        <f t="shared" si="6"/>
        <v>0.68622115305451703</v>
      </c>
      <c r="AI68" s="1">
        <f t="shared" si="6"/>
        <v>0</v>
      </c>
      <c r="AJ68" s="1">
        <f t="shared" si="6"/>
        <v>1.5836465855538944</v>
      </c>
      <c r="AK68" s="1">
        <f t="shared" si="6"/>
        <v>0.31497039417435613</v>
      </c>
      <c r="AL68" s="1">
        <f t="shared" si="6"/>
        <v>0.47559486560567105</v>
      </c>
      <c r="AM68" s="1">
        <f t="shared" si="6"/>
        <v>0.86296523377769663</v>
      </c>
      <c r="AN68" s="1">
        <f t="shared" si="6"/>
        <v>0.26226526415648083</v>
      </c>
      <c r="AO68" s="1">
        <f t="shared" si="6"/>
        <v>1.5882338532114131</v>
      </c>
      <c r="AP68" s="1">
        <f t="shared" si="6"/>
        <v>0.51818772517160083</v>
      </c>
      <c r="AQ68" s="1">
        <f t="shared" si="6"/>
        <v>0.95949722283856598</v>
      </c>
      <c r="AR68" s="1">
        <f t="shared" si="6"/>
        <v>0.44095855184409843</v>
      </c>
      <c r="AS68" s="1">
        <f t="shared" si="6"/>
        <v>1.0708993401928106</v>
      </c>
      <c r="AT68" s="1">
        <f t="shared" si="6"/>
        <v>0.41785544701867222</v>
      </c>
      <c r="AU68" s="1">
        <f t="shared" si="6"/>
        <v>0.1889822365046136</v>
      </c>
      <c r="AV68" s="1">
        <f t="shared" si="6"/>
        <v>0.47559486560567094</v>
      </c>
      <c r="AW68" s="1">
        <f t="shared" si="6"/>
        <v>0.39002102778747982</v>
      </c>
      <c r="AX68" s="1">
        <f t="shared" si="6"/>
        <v>0.1889822365046136</v>
      </c>
      <c r="AY68" s="1">
        <f t="shared" si="6"/>
        <v>0.50917507721731559</v>
      </c>
      <c r="AZ68" s="1">
        <f t="shared" si="6"/>
        <v>2.0480342879074178</v>
      </c>
      <c r="BA68" s="1">
        <f t="shared" si="6"/>
        <v>0.51818772517160083</v>
      </c>
      <c r="BB68" s="1">
        <f t="shared" si="6"/>
        <v>1.4670093394782466</v>
      </c>
      <c r="BC68" s="1">
        <f t="shared" si="6"/>
        <v>0.78595474915854269</v>
      </c>
      <c r="BD68" s="1">
        <f t="shared" si="6"/>
        <v>1.0788981249502492</v>
      </c>
      <c r="BE68" s="1">
        <f t="shared" si="6"/>
        <v>0.63724771956018478</v>
      </c>
      <c r="BF68" s="1">
        <f t="shared" si="6"/>
        <v>0.48795003647426666</v>
      </c>
      <c r="BG68" s="1">
        <f t="shared" si="6"/>
        <v>0.96156288125279377</v>
      </c>
      <c r="BH68" s="1">
        <f t="shared" si="6"/>
        <v>0.44095855184409843</v>
      </c>
      <c r="BI68" s="1">
        <f t="shared" si="6"/>
        <v>0.83571089403734489</v>
      </c>
      <c r="BJ68" s="1">
        <f t="shared" si="6"/>
        <v>0.44839513942303294</v>
      </c>
      <c r="BK68" s="1">
        <f t="shared" si="6"/>
        <v>0.39002102778748005</v>
      </c>
      <c r="BL68" s="1">
        <f t="shared" si="6"/>
        <v>1.4272480642961256</v>
      </c>
      <c r="BM68" s="1">
        <f t="shared" si="6"/>
        <v>0.57620359423608425</v>
      </c>
      <c r="BN68" s="1">
        <f t="shared" si="6"/>
        <v>0.95604454081447698</v>
      </c>
      <c r="BO68" s="1">
        <f t="shared" ref="BO68:DZ68" si="7">STDEV(BO3:BO33)</f>
        <v>0.31497039417435613</v>
      </c>
      <c r="BP68" s="1">
        <f t="shared" si="7"/>
        <v>0.91142077587019643</v>
      </c>
      <c r="BQ68" s="1">
        <f t="shared" si="7"/>
        <v>0.42879183045206637</v>
      </c>
      <c r="BR68" s="1">
        <f t="shared" si="7"/>
        <v>0.68622115305451681</v>
      </c>
      <c r="BS68" s="1">
        <f t="shared" si="7"/>
        <v>0.50787450018336977</v>
      </c>
      <c r="BT68" s="1">
        <f t="shared" si="7"/>
        <v>0.67846699279880951</v>
      </c>
      <c r="BU68" s="1">
        <f t="shared" si="7"/>
        <v>0.5078745001833701</v>
      </c>
      <c r="BV68" s="1">
        <f t="shared" si="7"/>
        <v>1.201300001299298</v>
      </c>
      <c r="BW68" s="1">
        <f t="shared" si="7"/>
        <v>0.39002102778747971</v>
      </c>
      <c r="BX68" s="1">
        <f t="shared" si="7"/>
        <v>1.5408889072021459</v>
      </c>
      <c r="BY68" s="1">
        <f t="shared" si="7"/>
        <v>0.70052890071769403</v>
      </c>
      <c r="BZ68" s="1">
        <f t="shared" si="7"/>
        <v>1.4000406994491128</v>
      </c>
      <c r="CA68" s="1">
        <f t="shared" si="7"/>
        <v>0.57274979532281645</v>
      </c>
      <c r="CB68" s="1">
        <f t="shared" si="7"/>
        <v>0.94280904158206336</v>
      </c>
      <c r="CC68" s="1">
        <f t="shared" si="7"/>
        <v>0.54796400453364646</v>
      </c>
      <c r="CD68" s="1">
        <f t="shared" si="7"/>
        <v>1.1049431980420852</v>
      </c>
      <c r="CE68" s="1">
        <f t="shared" si="7"/>
        <v>0.44095855184409843</v>
      </c>
      <c r="CF68" s="1">
        <f t="shared" si="7"/>
        <v>1.1930131697849875</v>
      </c>
      <c r="CG68" s="1">
        <f t="shared" si="7"/>
        <v>0.58531409738070772</v>
      </c>
      <c r="CH68" s="1">
        <f t="shared" si="7"/>
        <v>1.3530291315000691</v>
      </c>
      <c r="CI68" s="1">
        <f t="shared" si="7"/>
        <v>0.62148482382386971</v>
      </c>
      <c r="CJ68" s="1">
        <f t="shared" si="7"/>
        <v>1.2765694770084508</v>
      </c>
      <c r="CK68" s="1">
        <f t="shared" si="7"/>
        <v>0.53452248382484857</v>
      </c>
      <c r="CL68" s="1">
        <f t="shared" si="7"/>
        <v>1.1239339452243233</v>
      </c>
      <c r="CM68" s="1">
        <f t="shared" si="7"/>
        <v>0.80999052839194119</v>
      </c>
      <c r="CN68" s="1">
        <f t="shared" si="7"/>
        <v>0</v>
      </c>
      <c r="CO68" s="1">
        <f t="shared" si="7"/>
        <v>1.1031460542154956</v>
      </c>
      <c r="CP68" s="1">
        <f t="shared" si="7"/>
        <v>0.46004370622823587</v>
      </c>
      <c r="CQ68" s="1">
        <f t="shared" si="7"/>
        <v>0.60421797811664391</v>
      </c>
      <c r="CR68" s="1">
        <f t="shared" si="7"/>
        <v>0.74446813513595345</v>
      </c>
      <c r="CS68" s="1">
        <f t="shared" si="7"/>
        <v>0.47559486560567105</v>
      </c>
      <c r="CT68" s="1">
        <f t="shared" si="7"/>
        <v>0.73732678891438164</v>
      </c>
      <c r="CU68" s="1">
        <f t="shared" si="7"/>
        <v>0.74446813513595345</v>
      </c>
      <c r="CV68" s="1">
        <f t="shared" si="7"/>
        <v>0.47559486560567082</v>
      </c>
      <c r="CW68" s="1">
        <f t="shared" si="7"/>
        <v>0.75592894601845417</v>
      </c>
      <c r="CX68" s="1">
        <f t="shared" si="7"/>
        <v>0.41785544701867255</v>
      </c>
      <c r="CY68" s="1">
        <f t="shared" si="7"/>
        <v>0</v>
      </c>
      <c r="CZ68" s="1">
        <f t="shared" si="7"/>
        <v>1.0202966681339751</v>
      </c>
      <c r="DA68" s="1">
        <f t="shared" si="7"/>
        <v>0.53452248382484879</v>
      </c>
      <c r="DB68" s="1">
        <f t="shared" si="7"/>
        <v>0</v>
      </c>
      <c r="DC68" s="1">
        <f t="shared" si="7"/>
        <v>0.41626965212518602</v>
      </c>
      <c r="DD68" s="1">
        <f t="shared" si="7"/>
        <v>0.18898223650461371</v>
      </c>
      <c r="DE68" s="1">
        <f t="shared" si="7"/>
        <v>1.4043582955293932</v>
      </c>
      <c r="DF68" s="1">
        <f t="shared" si="7"/>
        <v>0.52453052831296221</v>
      </c>
      <c r="DG68" s="1">
        <f t="shared" si="7"/>
        <v>0.52453052831296165</v>
      </c>
      <c r="DH68" s="1">
        <f t="shared" si="7"/>
        <v>0.72283246501991893</v>
      </c>
      <c r="DI68" s="1">
        <f t="shared" si="7"/>
        <v>0.46004370622823587</v>
      </c>
      <c r="DJ68" s="1">
        <f t="shared" si="7"/>
        <v>0</v>
      </c>
      <c r="DK68" s="1">
        <f t="shared" si="7"/>
        <v>0.83571089403734489</v>
      </c>
      <c r="DL68" s="1">
        <f t="shared" si="7"/>
        <v>0.31497039417435613</v>
      </c>
      <c r="DM68" s="1">
        <f t="shared" si="7"/>
        <v>1.1615534207286158</v>
      </c>
      <c r="DN68" s="1">
        <f t="shared" si="7"/>
        <v>1.3587324409735149</v>
      </c>
      <c r="DO68" s="1">
        <f t="shared" si="7"/>
        <v>0.62148482382386971</v>
      </c>
      <c r="DP68" s="1">
        <f t="shared" si="7"/>
        <v>1.3439746300685171</v>
      </c>
      <c r="DQ68" s="1">
        <f t="shared" si="7"/>
        <v>0.39002102778747982</v>
      </c>
      <c r="DR68" s="1">
        <f t="shared" si="7"/>
        <v>0.50917507721731559</v>
      </c>
      <c r="DS68" s="1">
        <f t="shared" si="7"/>
        <v>0</v>
      </c>
      <c r="DT68" s="1">
        <f t="shared" si="7"/>
        <v>0</v>
      </c>
      <c r="DU68" s="1">
        <f t="shared" si="7"/>
        <v>0.1889822365046136</v>
      </c>
      <c r="DV68" s="1">
        <f t="shared" si="7"/>
        <v>0</v>
      </c>
      <c r="DW68" s="1">
        <f t="shared" si="7"/>
        <v>0.39002102778747982</v>
      </c>
      <c r="DX68" s="1">
        <f t="shared" si="7"/>
        <v>0.47559486560567094</v>
      </c>
      <c r="DY68" s="1">
        <f t="shared" si="7"/>
        <v>0</v>
      </c>
      <c r="DZ68" s="1">
        <f t="shared" si="7"/>
        <v>0</v>
      </c>
      <c r="EA68" s="1">
        <f t="shared" ref="EA68:EJ68" si="8">STDEV(EA3:EA33)</f>
        <v>0.1889822365046136</v>
      </c>
      <c r="EB68" s="1">
        <f t="shared" si="8"/>
        <v>0</v>
      </c>
      <c r="EC68" s="1">
        <f t="shared" si="8"/>
        <v>0.42365927286816191</v>
      </c>
      <c r="ED68" s="1">
        <f t="shared" si="8"/>
        <v>0.35634832254989907</v>
      </c>
      <c r="EE68" s="1">
        <f t="shared" si="8"/>
        <v>0</v>
      </c>
      <c r="EF68" s="1">
        <f t="shared" si="8"/>
        <v>0.1889822365046136</v>
      </c>
      <c r="EG68" s="1">
        <f t="shared" si="8"/>
        <v>0</v>
      </c>
      <c r="EH68" s="1">
        <f t="shared" si="8"/>
        <v>0</v>
      </c>
      <c r="EI68" s="1">
        <f t="shared" si="8"/>
        <v>0.26226526415648105</v>
      </c>
      <c r="EJ68" s="1">
        <f t="shared" si="8"/>
        <v>1736.641380478864</v>
      </c>
    </row>
    <row r="69" spans="1:140">
      <c r="A69" t="s">
        <v>765</v>
      </c>
      <c r="C69">
        <f t="shared" ref="C69:BN69" si="9">STDEV(C35:C63)</f>
        <v>0</v>
      </c>
      <c r="D69" s="1">
        <f t="shared" si="9"/>
        <v>0.41785544701867255</v>
      </c>
      <c r="E69" s="1">
        <f t="shared" si="9"/>
        <v>5.9409572919668063</v>
      </c>
      <c r="F69" s="1">
        <f t="shared" si="9"/>
        <v>26.614333569014132</v>
      </c>
      <c r="G69" s="1">
        <f t="shared" si="9"/>
        <v>0.33134326579600182</v>
      </c>
      <c r="H69" s="1">
        <f t="shared" si="9"/>
        <v>2.4739382309124798</v>
      </c>
      <c r="I69" s="1">
        <f t="shared" si="9"/>
        <v>4.5756492007654685</v>
      </c>
      <c r="J69" s="1">
        <f t="shared" si="9"/>
        <v>6.271237101108925</v>
      </c>
      <c r="K69" s="1">
        <f t="shared" si="9"/>
        <v>1.3123925937755985</v>
      </c>
      <c r="L69" s="1">
        <f t="shared" si="9"/>
        <v>27.555279848641476</v>
      </c>
      <c r="M69" s="1">
        <f t="shared" si="9"/>
        <v>28.545680656585919</v>
      </c>
      <c r="N69" s="1">
        <f t="shared" si="9"/>
        <v>0.76886704123248473</v>
      </c>
      <c r="O69" s="1">
        <f t="shared" si="9"/>
        <v>0.97234559856780722</v>
      </c>
      <c r="P69" s="1">
        <f t="shared" si="9"/>
        <v>1.4298809976664788</v>
      </c>
      <c r="Q69" s="1">
        <f t="shared" si="9"/>
        <v>19.821235974744418</v>
      </c>
      <c r="R69" s="1">
        <f t="shared" si="9"/>
        <v>4.1026420659353482</v>
      </c>
      <c r="S69" s="1">
        <f t="shared" si="9"/>
        <v>284.92766453693667</v>
      </c>
      <c r="T69" s="1">
        <f t="shared" si="9"/>
        <v>15.48762654063138</v>
      </c>
      <c r="U69" s="1">
        <f t="shared" si="9"/>
        <v>15.126047453857712</v>
      </c>
      <c r="V69" s="1">
        <f t="shared" si="9"/>
        <v>37.152638443988884</v>
      </c>
      <c r="W69" s="1">
        <f t="shared" si="9"/>
        <v>4.1975789996292008</v>
      </c>
      <c r="X69" s="1">
        <f t="shared" si="9"/>
        <v>1.1827995512026215</v>
      </c>
      <c r="Y69" s="1">
        <f t="shared" si="9"/>
        <v>0.18569533817705178</v>
      </c>
      <c r="Z69" s="1">
        <f t="shared" si="9"/>
        <v>1.1185846088220579</v>
      </c>
      <c r="AA69" s="1">
        <f t="shared" si="9"/>
        <v>1.3869554139182141</v>
      </c>
      <c r="AB69" s="1">
        <f t="shared" si="9"/>
        <v>0.60376487120768596</v>
      </c>
      <c r="AC69" s="1">
        <f t="shared" si="9"/>
        <v>0.7736421443326913</v>
      </c>
      <c r="AD69" s="1">
        <f t="shared" si="9"/>
        <v>0.37139067635410355</v>
      </c>
      <c r="AE69" s="1">
        <f t="shared" si="9"/>
        <v>1.15220927217956</v>
      </c>
      <c r="AF69" s="1">
        <f t="shared" si="9"/>
        <v>0.30993404669460345</v>
      </c>
      <c r="AG69" s="1">
        <f t="shared" si="9"/>
        <v>0.25788071477756352</v>
      </c>
      <c r="AH69" s="1">
        <f t="shared" si="9"/>
        <v>0.26226526415648083</v>
      </c>
      <c r="AI69" s="1">
        <f t="shared" si="9"/>
        <v>0</v>
      </c>
      <c r="AJ69" s="1">
        <f t="shared" si="9"/>
        <v>1.7199209513282097</v>
      </c>
      <c r="AK69" s="1">
        <f t="shared" si="9"/>
        <v>0.61387888922848133</v>
      </c>
      <c r="AL69" s="1">
        <f t="shared" si="9"/>
        <v>0.43549417035569271</v>
      </c>
      <c r="AM69" s="1">
        <f t="shared" si="9"/>
        <v>0.86957324905264888</v>
      </c>
      <c r="AN69" s="1">
        <f t="shared" si="9"/>
        <v>0.46820062223377984</v>
      </c>
      <c r="AO69" s="1">
        <f t="shared" si="9"/>
        <v>1.3975700234490396</v>
      </c>
      <c r="AP69" s="1">
        <f t="shared" si="9"/>
        <v>0.47082361543075851</v>
      </c>
      <c r="AQ69" s="1">
        <f t="shared" si="9"/>
        <v>1.5927792730971488</v>
      </c>
      <c r="AR69" s="1">
        <f t="shared" si="9"/>
        <v>0.60376487120768596</v>
      </c>
      <c r="AS69" s="1">
        <f t="shared" si="9"/>
        <v>1.2247448713915889</v>
      </c>
      <c r="AT69" s="1">
        <f t="shared" si="9"/>
        <v>0.50854762771560769</v>
      </c>
      <c r="AU69" s="1">
        <f t="shared" si="9"/>
        <v>0.18569533817705186</v>
      </c>
      <c r="AV69" s="1">
        <f t="shared" si="9"/>
        <v>0.50123001415876522</v>
      </c>
      <c r="AW69" s="1">
        <f t="shared" si="9"/>
        <v>0.47082361543075835</v>
      </c>
      <c r="AX69" s="1">
        <f t="shared" si="9"/>
        <v>0.30993404669460345</v>
      </c>
      <c r="AY69" s="1">
        <f t="shared" si="9"/>
        <v>0.45485882614734202</v>
      </c>
      <c r="AZ69" s="1">
        <f t="shared" si="9"/>
        <v>1.4246250911191707</v>
      </c>
      <c r="BA69" s="1">
        <f t="shared" si="9"/>
        <v>0.35093120317179832</v>
      </c>
      <c r="BB69" s="1">
        <f t="shared" si="9"/>
        <v>1.1185846088220579</v>
      </c>
      <c r="BC69" s="1">
        <f t="shared" si="9"/>
        <v>0.5744991393237624</v>
      </c>
      <c r="BD69" s="1">
        <f t="shared" si="9"/>
        <v>1.081642611455492</v>
      </c>
      <c r="BE69" s="1">
        <f t="shared" si="9"/>
        <v>0.59761430466719678</v>
      </c>
      <c r="BF69" s="1">
        <f t="shared" si="9"/>
        <v>0.5061201788784756</v>
      </c>
      <c r="BG69" s="1">
        <f t="shared" si="9"/>
        <v>0.93902790108429601</v>
      </c>
      <c r="BH69" s="1">
        <f t="shared" si="9"/>
        <v>0.47082361543075824</v>
      </c>
      <c r="BI69" s="1">
        <f t="shared" si="9"/>
        <v>0.57235147147233889</v>
      </c>
      <c r="BJ69" s="1">
        <f t="shared" si="9"/>
        <v>0.30993404669460345</v>
      </c>
      <c r="BK69" s="1">
        <f t="shared" si="9"/>
        <v>0.48372528131497444</v>
      </c>
      <c r="BL69" s="1">
        <f t="shared" si="9"/>
        <v>0.91242112824667565</v>
      </c>
      <c r="BM69" s="1">
        <f t="shared" si="9"/>
        <v>0.50123001415876534</v>
      </c>
      <c r="BN69" s="1">
        <f t="shared" si="9"/>
        <v>0.78313504110775001</v>
      </c>
      <c r="BO69" s="1">
        <f t="shared" ref="BO69:DZ69" si="10">STDEV(BO35:BO63)</f>
        <v>0.62185167635792593</v>
      </c>
      <c r="BP69" s="1">
        <f t="shared" si="10"/>
        <v>0.79716245539762243</v>
      </c>
      <c r="BQ69" s="1">
        <f t="shared" si="10"/>
        <v>0.63942708346917221</v>
      </c>
      <c r="BR69" s="1">
        <f t="shared" si="10"/>
        <v>0.53452248382484879</v>
      </c>
      <c r="BS69" s="1">
        <f t="shared" si="10"/>
        <v>0.65465367070797709</v>
      </c>
      <c r="BT69" s="1">
        <f t="shared" si="10"/>
        <v>0.82000841038580075</v>
      </c>
      <c r="BU69" s="1">
        <f t="shared" si="10"/>
        <v>0.50123001415876534</v>
      </c>
      <c r="BV69" s="1">
        <f t="shared" si="10"/>
        <v>0.85673224976258</v>
      </c>
      <c r="BW69" s="1">
        <f t="shared" si="10"/>
        <v>0.25788071477756352</v>
      </c>
      <c r="BX69" s="1">
        <f t="shared" si="10"/>
        <v>1.5216014379464129</v>
      </c>
      <c r="BY69" s="1">
        <f t="shared" si="10"/>
        <v>0.67685159290477714</v>
      </c>
      <c r="BZ69" s="1">
        <f t="shared" si="10"/>
        <v>1.2989195965211253</v>
      </c>
      <c r="CA69" s="1">
        <f t="shared" si="10"/>
        <v>0.59139977560131074</v>
      </c>
      <c r="CB69" s="1">
        <f t="shared" si="10"/>
        <v>0.80637851249814407</v>
      </c>
      <c r="CC69" s="1">
        <f t="shared" si="10"/>
        <v>0.55264701140223549</v>
      </c>
      <c r="CD69" s="1">
        <f t="shared" si="10"/>
        <v>0.90019155049700783</v>
      </c>
      <c r="CE69" s="1">
        <f t="shared" si="10"/>
        <v>0.49380397379124019</v>
      </c>
      <c r="CF69" s="1">
        <f t="shared" si="10"/>
        <v>0.68768190607350332</v>
      </c>
      <c r="CG69" s="1">
        <f t="shared" si="10"/>
        <v>0.45485882614734213</v>
      </c>
      <c r="CH69" s="1">
        <f t="shared" si="10"/>
        <v>1.5803020272576056</v>
      </c>
      <c r="CI69" s="1">
        <f t="shared" si="10"/>
        <v>0.6930335969507273</v>
      </c>
      <c r="CJ69" s="1">
        <f t="shared" si="10"/>
        <v>1.4486276842196841</v>
      </c>
      <c r="CK69" s="1">
        <f t="shared" si="10"/>
        <v>0.501230014158765</v>
      </c>
      <c r="CL69" s="1">
        <f t="shared" si="10"/>
        <v>1.0895834608815431</v>
      </c>
      <c r="CM69" s="1">
        <f t="shared" si="10"/>
        <v>0.49130368444051753</v>
      </c>
      <c r="CN69" s="1">
        <f t="shared" si="10"/>
        <v>0</v>
      </c>
      <c r="CO69" s="1">
        <f t="shared" si="10"/>
        <v>1.2236643728386052</v>
      </c>
      <c r="CP69" s="1">
        <f t="shared" si="10"/>
        <v>0.56148992507487727</v>
      </c>
      <c r="CQ69" s="1">
        <f t="shared" si="10"/>
        <v>0.65088041927610962</v>
      </c>
      <c r="CR69" s="1">
        <f t="shared" si="10"/>
        <v>1.0574623402207861</v>
      </c>
      <c r="CS69" s="1">
        <f t="shared" si="10"/>
        <v>0.46820062223377984</v>
      </c>
      <c r="CT69" s="1">
        <f t="shared" si="10"/>
        <v>0.63362278408554351</v>
      </c>
      <c r="CU69" s="1">
        <f t="shared" si="10"/>
        <v>0.9416472308615168</v>
      </c>
      <c r="CV69" s="1">
        <f t="shared" si="10"/>
        <v>0.54139029200370958</v>
      </c>
      <c r="CW69" s="1">
        <f t="shared" si="10"/>
        <v>0.68048084998192115</v>
      </c>
      <c r="CX69" s="1">
        <f t="shared" si="10"/>
        <v>0.26226526415648083</v>
      </c>
      <c r="CY69" s="1">
        <f t="shared" si="10"/>
        <v>0.18569533817705178</v>
      </c>
      <c r="CZ69" s="1">
        <f t="shared" si="10"/>
        <v>1.1041792529567374</v>
      </c>
      <c r="DA69" s="1">
        <f t="shared" si="10"/>
        <v>0.62185167635792593</v>
      </c>
      <c r="DB69" s="1">
        <f t="shared" si="10"/>
        <v>0.18569533817705194</v>
      </c>
      <c r="DC69" s="1">
        <f t="shared" si="10"/>
        <v>0</v>
      </c>
      <c r="DD69" s="1">
        <f t="shared" si="10"/>
        <v>0</v>
      </c>
      <c r="DE69" s="1">
        <f t="shared" si="10"/>
        <v>1.1754885788533964</v>
      </c>
      <c r="DF69" s="1">
        <f t="shared" si="10"/>
        <v>0.52756527857006397</v>
      </c>
      <c r="DG69" s="1">
        <f t="shared" si="10"/>
        <v>0</v>
      </c>
      <c r="DH69" s="1">
        <f t="shared" si="10"/>
        <v>0.77998357946590979</v>
      </c>
      <c r="DI69" s="1">
        <f t="shared" si="10"/>
        <v>0.60376487120768596</v>
      </c>
      <c r="DJ69" s="1">
        <f t="shared" si="10"/>
        <v>0</v>
      </c>
      <c r="DK69" s="1">
        <f t="shared" si="10"/>
        <v>0.97884017021050684</v>
      </c>
      <c r="DL69" s="1">
        <f t="shared" si="10"/>
        <v>0</v>
      </c>
      <c r="DM69" s="1">
        <f t="shared" si="10"/>
        <v>0.74278135270820711</v>
      </c>
      <c r="DN69" s="1">
        <f t="shared" si="10"/>
        <v>1.6051027007026544</v>
      </c>
      <c r="DO69" s="1">
        <f t="shared" si="10"/>
        <v>0.43549417035569271</v>
      </c>
      <c r="DP69" s="1">
        <f t="shared" si="10"/>
        <v>1.5216014379464129</v>
      </c>
      <c r="DQ69" s="1">
        <f t="shared" si="10"/>
        <v>0.43549417035569271</v>
      </c>
      <c r="DR69" s="1">
        <f t="shared" si="10"/>
        <v>0.50123001415876534</v>
      </c>
      <c r="DS69" s="1">
        <f t="shared" si="10"/>
        <v>0.18569533817705186</v>
      </c>
      <c r="DT69" s="1">
        <f t="shared" si="10"/>
        <v>0</v>
      </c>
      <c r="DU69" s="1">
        <f t="shared" si="10"/>
        <v>0</v>
      </c>
      <c r="DV69" s="1">
        <f t="shared" si="10"/>
        <v>0</v>
      </c>
      <c r="DW69" s="1">
        <f t="shared" si="10"/>
        <v>0.25788071477756375</v>
      </c>
      <c r="DX69" s="1">
        <f t="shared" si="10"/>
        <v>0.4708236154307584</v>
      </c>
      <c r="DY69" s="1">
        <f t="shared" si="10"/>
        <v>0</v>
      </c>
      <c r="DZ69" s="1">
        <f t="shared" si="10"/>
        <v>0.18569533817705186</v>
      </c>
      <c r="EA69" s="1">
        <f t="shared" ref="EA69:EJ69" si="11">STDEV(EA35:EA63)</f>
        <v>0.18569533817705186</v>
      </c>
      <c r="EB69" s="1">
        <f t="shared" si="11"/>
        <v>0.25788071477756375</v>
      </c>
      <c r="EC69" s="1">
        <f t="shared" si="11"/>
        <v>0.47082361543075851</v>
      </c>
      <c r="ED69" s="1">
        <f t="shared" si="11"/>
        <v>0.18569533817705178</v>
      </c>
      <c r="EE69" s="1">
        <f t="shared" si="11"/>
        <v>0</v>
      </c>
      <c r="EF69" s="1">
        <f t="shared" si="11"/>
        <v>0</v>
      </c>
      <c r="EG69" s="1">
        <f t="shared" si="11"/>
        <v>0</v>
      </c>
      <c r="EH69" s="1">
        <f t="shared" si="11"/>
        <v>0</v>
      </c>
      <c r="EI69" s="1">
        <f t="shared" si="11"/>
        <v>0</v>
      </c>
      <c r="EJ69" s="1">
        <f t="shared" si="11"/>
        <v>1019.8542842405202</v>
      </c>
    </row>
    <row r="70" spans="1:140">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row>
    <row r="71" spans="1:140">
      <c r="A71" t="s">
        <v>766</v>
      </c>
      <c r="C71">
        <f>C66/C67</f>
        <v>1</v>
      </c>
      <c r="D71" s="1">
        <f t="shared" ref="D71:BO71" si="12">D66/D67</f>
        <v>0.82352941176470595</v>
      </c>
      <c r="E71" s="1">
        <f t="shared" si="12"/>
        <v>1.0083945435466946</v>
      </c>
      <c r="F71" s="1">
        <f t="shared" si="12"/>
        <v>1.0482517482517482</v>
      </c>
      <c r="G71" s="1">
        <f t="shared" si="12"/>
        <v>1.0002626740215392</v>
      </c>
      <c r="H71" s="1">
        <f t="shared" si="12"/>
        <v>1.1764705882352942</v>
      </c>
      <c r="I71" s="1">
        <f t="shared" si="12"/>
        <v>1.0250298437876249</v>
      </c>
      <c r="J71" s="1">
        <f t="shared" si="12"/>
        <v>1.0491085934622968</v>
      </c>
      <c r="K71" s="1">
        <f t="shared" si="12"/>
        <v>1.0668563111129141</v>
      </c>
      <c r="L71" s="1">
        <f t="shared" si="12"/>
        <v>0.79627654811425985</v>
      </c>
      <c r="M71" s="1">
        <f t="shared" si="12"/>
        <v>0.79395084496879487</v>
      </c>
      <c r="N71" s="1">
        <f t="shared" si="12"/>
        <v>0.79939459930313583</v>
      </c>
      <c r="O71" s="1">
        <f t="shared" si="12"/>
        <v>0.89194492297004746</v>
      </c>
      <c r="P71" s="1">
        <f t="shared" si="12"/>
        <v>0.84549010182231321</v>
      </c>
      <c r="Q71" s="1">
        <f t="shared" si="12"/>
        <v>0.85059601944158636</v>
      </c>
      <c r="R71" s="1">
        <f t="shared" si="12"/>
        <v>1.0151901080779659</v>
      </c>
      <c r="S71" s="1">
        <f t="shared" si="12"/>
        <v>0.95015550953946926</v>
      </c>
      <c r="T71" s="1">
        <f t="shared" si="12"/>
        <v>1.0411475409836068</v>
      </c>
      <c r="U71" s="1">
        <f t="shared" si="12"/>
        <v>1.0469559515116746</v>
      </c>
      <c r="V71" s="1">
        <f t="shared" si="12"/>
        <v>0.8474818870712566</v>
      </c>
      <c r="W71" s="1">
        <f t="shared" si="12"/>
        <v>0.86361572027867251</v>
      </c>
      <c r="X71" s="1">
        <f t="shared" si="12"/>
        <v>0.98968253968253972</v>
      </c>
      <c r="Y71" s="1">
        <f t="shared" si="12"/>
        <v>0.96666666666666656</v>
      </c>
      <c r="Z71" s="1">
        <f t="shared" si="12"/>
        <v>1.0505102040816325</v>
      </c>
      <c r="AA71" s="1">
        <f t="shared" si="12"/>
        <v>1.0184523809523809</v>
      </c>
      <c r="AB71" s="1">
        <f t="shared" si="12"/>
        <v>1.1413994169096209</v>
      </c>
      <c r="AC71" s="1">
        <f t="shared" si="12"/>
        <v>0.88775510204081631</v>
      </c>
      <c r="AD71" s="1">
        <f t="shared" si="12"/>
        <v>0.96889400921659008</v>
      </c>
      <c r="AE71" s="1">
        <f t="shared" si="12"/>
        <v>0.89761904761904754</v>
      </c>
      <c r="AF71" s="1">
        <f t="shared" si="12"/>
        <v>0.93861607142857151</v>
      </c>
      <c r="AG71" s="1">
        <f t="shared" si="12"/>
        <v>0.98022959183673464</v>
      </c>
      <c r="AH71" s="1">
        <f t="shared" si="12"/>
        <v>1.1333333333333333</v>
      </c>
      <c r="AI71" s="1">
        <f t="shared" si="12"/>
        <v>1</v>
      </c>
      <c r="AJ71" s="1">
        <f t="shared" si="12"/>
        <v>1.1407867494824018</v>
      </c>
      <c r="AK71" s="1">
        <f t="shared" si="12"/>
        <v>0.82326007326007333</v>
      </c>
      <c r="AL71" s="1">
        <f t="shared" si="12"/>
        <v>0.95448179271708689</v>
      </c>
      <c r="AM71" s="1">
        <f t="shared" si="12"/>
        <v>0.85158730158730156</v>
      </c>
      <c r="AN71" s="1">
        <f t="shared" si="12"/>
        <v>0.91386554621848748</v>
      </c>
      <c r="AO71" s="1">
        <f t="shared" si="12"/>
        <v>0.92474489795918358</v>
      </c>
      <c r="AP71" s="1">
        <f t="shared" si="12"/>
        <v>1.0357142857142856</v>
      </c>
      <c r="AQ71" s="1">
        <f t="shared" si="12"/>
        <v>0.60761904761904761</v>
      </c>
      <c r="AR71" s="1">
        <f t="shared" si="12"/>
        <v>1.0357142857142856</v>
      </c>
      <c r="AS71" s="1">
        <f t="shared" si="12"/>
        <v>0.7321428571428571</v>
      </c>
      <c r="AT71" s="1">
        <f t="shared" si="12"/>
        <v>1.2043189368770764</v>
      </c>
      <c r="AU71" s="1">
        <f t="shared" si="12"/>
        <v>1.0357142857142856</v>
      </c>
      <c r="AV71" s="1">
        <f t="shared" si="12"/>
        <v>0.7767857142857143</v>
      </c>
      <c r="AW71" s="1">
        <f t="shared" si="12"/>
        <v>0.57539682539682535</v>
      </c>
      <c r="AX71" s="1">
        <f t="shared" si="12"/>
        <v>0.34523809523809523</v>
      </c>
      <c r="AY71" s="1">
        <f t="shared" si="12"/>
        <v>1.8125</v>
      </c>
      <c r="AZ71" s="1">
        <f t="shared" si="12"/>
        <v>1.696808510638298</v>
      </c>
      <c r="BA71" s="1">
        <f t="shared" si="12"/>
        <v>1.0984848484848484</v>
      </c>
      <c r="BB71" s="1">
        <f t="shared" si="12"/>
        <v>1.1194083694083694</v>
      </c>
      <c r="BC71" s="1">
        <f t="shared" si="12"/>
        <v>1.0838870431893688</v>
      </c>
      <c r="BD71" s="1">
        <f t="shared" si="12"/>
        <v>0.97098214285714279</v>
      </c>
      <c r="BE71" s="1">
        <f t="shared" si="12"/>
        <v>1.0178571428571428</v>
      </c>
      <c r="BF71" s="1">
        <f t="shared" si="12"/>
        <v>0.8746031746031746</v>
      </c>
      <c r="BG71" s="1">
        <f t="shared" si="12"/>
        <v>1.0733766233766233</v>
      </c>
      <c r="BH71" s="1">
        <f t="shared" si="12"/>
        <v>0.95394736842105265</v>
      </c>
      <c r="BI71" s="1">
        <f t="shared" si="12"/>
        <v>0.98639455782312924</v>
      </c>
      <c r="BJ71" s="1">
        <f t="shared" si="12"/>
        <v>1.0357142857142856</v>
      </c>
      <c r="BK71" s="1">
        <f t="shared" si="12"/>
        <v>1.1004464285714286</v>
      </c>
      <c r="BL71" s="1">
        <f t="shared" si="12"/>
        <v>1.1153846153846154</v>
      </c>
      <c r="BM71" s="1">
        <f t="shared" si="12"/>
        <v>1.0357142857142856</v>
      </c>
      <c r="BN71" s="1">
        <f t="shared" si="12"/>
        <v>1.0357142857142858</v>
      </c>
      <c r="BO71" s="1">
        <f t="shared" si="12"/>
        <v>1.1679331306990881</v>
      </c>
      <c r="BP71" s="1">
        <f t="shared" ref="BP71:EA71" si="13">BP66/BP67</f>
        <v>0.95285714285714285</v>
      </c>
      <c r="BQ71" s="1">
        <f t="shared" si="13"/>
        <v>1.0932539682539681</v>
      </c>
      <c r="BR71" s="1">
        <f t="shared" si="13"/>
        <v>0.8928571428571429</v>
      </c>
      <c r="BS71" s="1">
        <f t="shared" si="13"/>
        <v>0.9821428571428571</v>
      </c>
      <c r="BT71" s="1">
        <f t="shared" si="13"/>
        <v>0.99068322981366463</v>
      </c>
      <c r="BU71" s="1">
        <f t="shared" si="13"/>
        <v>1.0357142857142856</v>
      </c>
      <c r="BV71" s="1">
        <f t="shared" si="13"/>
        <v>0.92810760667903525</v>
      </c>
      <c r="BW71" s="1">
        <f t="shared" si="13"/>
        <v>1.1025345622119818</v>
      </c>
      <c r="BX71" s="1">
        <f t="shared" si="13"/>
        <v>1.0554421768707485</v>
      </c>
      <c r="BY71" s="1">
        <f t="shared" si="13"/>
        <v>1.0797872340425532</v>
      </c>
      <c r="BZ71" s="1">
        <f t="shared" si="13"/>
        <v>0.90056980056980063</v>
      </c>
      <c r="CA71" s="1">
        <f t="shared" si="13"/>
        <v>0.91142857142857148</v>
      </c>
      <c r="CB71" s="1">
        <f t="shared" si="13"/>
        <v>1.1836734693877551</v>
      </c>
      <c r="CC71" s="1">
        <f t="shared" si="13"/>
        <v>0.98260073260073255</v>
      </c>
      <c r="CD71" s="1">
        <f t="shared" si="13"/>
        <v>1.0357142857142856</v>
      </c>
      <c r="CE71" s="1">
        <f t="shared" si="13"/>
        <v>0.90624999999999989</v>
      </c>
      <c r="CF71" s="1">
        <f t="shared" si="13"/>
        <v>1.0827922077922079</v>
      </c>
      <c r="CG71" s="1">
        <f t="shared" si="13"/>
        <v>0.9797297297297296</v>
      </c>
      <c r="CH71" s="1">
        <f t="shared" si="13"/>
        <v>0.93103448275862066</v>
      </c>
      <c r="CI71" s="1">
        <f t="shared" si="13"/>
        <v>0.88227513227513221</v>
      </c>
      <c r="CJ71" s="1">
        <f t="shared" si="13"/>
        <v>1.0545454545454545</v>
      </c>
      <c r="CK71" s="1">
        <f t="shared" si="13"/>
        <v>1.0807453416149067</v>
      </c>
      <c r="CL71" s="1">
        <f t="shared" si="13"/>
        <v>0.94432773109243706</v>
      </c>
      <c r="CM71" s="1">
        <f t="shared" si="13"/>
        <v>1.0653061224489797</v>
      </c>
      <c r="CN71" s="1">
        <f t="shared" si="13"/>
        <v>1</v>
      </c>
      <c r="CO71" s="1">
        <f t="shared" si="13"/>
        <v>1.0303030303030303</v>
      </c>
      <c r="CP71" s="1">
        <f t="shared" si="13"/>
        <v>1.0577507598784195</v>
      </c>
      <c r="CQ71" s="1">
        <f t="shared" si="13"/>
        <v>0.99872448979591832</v>
      </c>
      <c r="CR71" s="1">
        <f t="shared" si="13"/>
        <v>0.83263305322128844</v>
      </c>
      <c r="CS71" s="1">
        <f t="shared" si="13"/>
        <v>0.99663072776280315</v>
      </c>
      <c r="CT71" s="1">
        <f t="shared" si="13"/>
        <v>0.96378968253968245</v>
      </c>
      <c r="CU71" s="1">
        <f t="shared" si="13"/>
        <v>0.90349544072948329</v>
      </c>
      <c r="CV71" s="1">
        <f t="shared" si="13"/>
        <v>1.0084586466165413</v>
      </c>
      <c r="CW71" s="1">
        <f t="shared" si="13"/>
        <v>0.94155844155844159</v>
      </c>
      <c r="CX71" s="1">
        <f t="shared" si="13"/>
        <v>1.1333333333333333</v>
      </c>
      <c r="CY71" s="1">
        <f t="shared" si="13"/>
        <v>0.96666666666666656</v>
      </c>
      <c r="CZ71" s="1">
        <f t="shared" si="13"/>
        <v>0.99663072776280315</v>
      </c>
      <c r="DA71" s="1">
        <f t="shared" si="13"/>
        <v>0.93214285714285716</v>
      </c>
      <c r="DB71" s="1">
        <f t="shared" si="13"/>
        <v>1.0116279069767442</v>
      </c>
      <c r="DC71" s="1">
        <f t="shared" si="13"/>
        <v>1.1071428571428572</v>
      </c>
      <c r="DD71" s="1">
        <f t="shared" si="13"/>
        <v>1.0357142857142858</v>
      </c>
      <c r="DE71" s="1">
        <f t="shared" si="13"/>
        <v>1.069672131147541</v>
      </c>
      <c r="DF71" s="1">
        <f t="shared" si="13"/>
        <v>1.0771428571428572</v>
      </c>
      <c r="DG71" s="1">
        <f t="shared" si="13"/>
        <v>0.95238095238095244</v>
      </c>
      <c r="DH71" s="1">
        <f t="shared" si="13"/>
        <v>0.93466898954703836</v>
      </c>
      <c r="DI71" s="1">
        <f t="shared" si="13"/>
        <v>1.0145772594752185</v>
      </c>
      <c r="DJ71" s="1">
        <f t="shared" si="13"/>
        <v>1</v>
      </c>
      <c r="DK71" s="1">
        <f t="shared" si="13"/>
        <v>1.0357142857142856</v>
      </c>
      <c r="DL71" s="1">
        <f t="shared" si="13"/>
        <v>1.1071428571428572</v>
      </c>
      <c r="DM71" s="1">
        <f t="shared" si="13"/>
        <v>1.1025345622119818</v>
      </c>
      <c r="DN71" s="1">
        <f t="shared" si="13"/>
        <v>0.84057971014492749</v>
      </c>
      <c r="DO71" s="1">
        <f t="shared" si="13"/>
        <v>1.0932539682539684</v>
      </c>
      <c r="DP71" s="1">
        <f t="shared" si="13"/>
        <v>1.1727135298563869</v>
      </c>
      <c r="DQ71" s="1">
        <f t="shared" si="13"/>
        <v>0.73979591836734693</v>
      </c>
      <c r="DR71" s="1">
        <f t="shared" si="13"/>
        <v>0.85294117647058831</v>
      </c>
      <c r="DS71" s="1">
        <f t="shared" si="13"/>
        <v>0</v>
      </c>
      <c r="DT71" s="1" t="e">
        <f t="shared" si="13"/>
        <v>#DIV/0!</v>
      </c>
      <c r="DU71" s="1" t="e">
        <f t="shared" si="13"/>
        <v>#DIV/0!</v>
      </c>
      <c r="DV71" s="1" t="e">
        <f t="shared" si="13"/>
        <v>#DIV/0!</v>
      </c>
      <c r="DW71" s="1">
        <f t="shared" si="13"/>
        <v>2.5892857142857144</v>
      </c>
      <c r="DX71" s="1">
        <f t="shared" si="13"/>
        <v>0.98392857142857137</v>
      </c>
      <c r="DY71" s="1" t="e">
        <f t="shared" si="13"/>
        <v>#DIV/0!</v>
      </c>
      <c r="DZ71" s="1">
        <f t="shared" si="13"/>
        <v>0</v>
      </c>
      <c r="EA71" s="1">
        <f t="shared" si="13"/>
        <v>1.0357142857142856</v>
      </c>
      <c r="EB71" s="1">
        <f t="shared" ref="EB71:EJ71" si="14">EB66/EB67</f>
        <v>0</v>
      </c>
      <c r="EC71" s="1">
        <f t="shared" si="14"/>
        <v>1.0521541950113378</v>
      </c>
      <c r="ED71" s="1">
        <f t="shared" si="14"/>
        <v>0.8877551020408162</v>
      </c>
      <c r="EE71" s="1" t="e">
        <f t="shared" si="14"/>
        <v>#DIV/0!</v>
      </c>
      <c r="EF71" s="1" t="e">
        <f t="shared" si="14"/>
        <v>#DIV/0!</v>
      </c>
      <c r="EG71" s="1" t="e">
        <f t="shared" si="14"/>
        <v>#DIV/0!</v>
      </c>
      <c r="EH71" s="1" t="e">
        <f t="shared" si="14"/>
        <v>#DIV/0!</v>
      </c>
      <c r="EI71" s="1" t="e">
        <f t="shared" si="14"/>
        <v>#DIV/0!</v>
      </c>
      <c r="EJ71" s="1">
        <f t="shared" si="14"/>
        <v>0.97839980986617892</v>
      </c>
    </row>
    <row r="72" spans="1:140">
      <c r="A72" t="s">
        <v>20</v>
      </c>
      <c r="C72" t="e">
        <f t="shared" ref="C72:BN72" si="15">TTEST(C3:C33,C35:C63,2,3)</f>
        <v>#DIV/0!</v>
      </c>
      <c r="D72" s="1">
        <f t="shared" si="15"/>
        <v>1.1448410913479787E-2</v>
      </c>
      <c r="E72" s="1">
        <f t="shared" si="15"/>
        <v>0.85069795955186633</v>
      </c>
      <c r="F72" s="1">
        <f t="shared" si="15"/>
        <v>0.39115283958271052</v>
      </c>
      <c r="G72" s="1">
        <f t="shared" si="15"/>
        <v>0.98557666605266903</v>
      </c>
      <c r="H72" s="1">
        <f t="shared" si="15"/>
        <v>0.28992859506490881</v>
      </c>
      <c r="I72" s="1">
        <f t="shared" si="15"/>
        <v>0.62341578787855723</v>
      </c>
      <c r="J72" s="1">
        <f t="shared" si="15"/>
        <v>0.66771741796191764</v>
      </c>
      <c r="K72" s="1">
        <f t="shared" si="15"/>
        <v>0.72487623136467239</v>
      </c>
      <c r="L72" s="111">
        <f t="shared" si="15"/>
        <v>9.7173936155119267E-2</v>
      </c>
      <c r="M72" s="1">
        <f t="shared" si="15"/>
        <v>0.35601503217061459</v>
      </c>
      <c r="N72" s="111">
        <f t="shared" si="15"/>
        <v>0.17043849454322182</v>
      </c>
      <c r="O72" s="1">
        <f t="shared" si="15"/>
        <v>0.51688116564464082</v>
      </c>
      <c r="P72" s="1">
        <f t="shared" si="15"/>
        <v>0.22840271659173908</v>
      </c>
      <c r="Q72" s="111">
        <f t="shared" si="15"/>
        <v>6.7510185527315969E-2</v>
      </c>
      <c r="R72" s="1">
        <f t="shared" si="15"/>
        <v>0.50784857893574864</v>
      </c>
      <c r="S72" s="1">
        <f t="shared" si="15"/>
        <v>0.47221992723365658</v>
      </c>
      <c r="T72" s="1">
        <f t="shared" si="15"/>
        <v>0.68003158248821405</v>
      </c>
      <c r="U72" s="1">
        <f t="shared" si="15"/>
        <v>0.62791087245868971</v>
      </c>
      <c r="V72" s="111">
        <f t="shared" si="15"/>
        <v>3.9342046789482416E-2</v>
      </c>
      <c r="W72" s="111">
        <f t="shared" si="15"/>
        <v>0.16869660323271873</v>
      </c>
      <c r="X72" s="1">
        <f t="shared" si="15"/>
        <v>0.95612774611588713</v>
      </c>
      <c r="Y72" s="1">
        <f t="shared" si="15"/>
        <v>0.32587470687166054</v>
      </c>
      <c r="Z72" s="1">
        <f t="shared" si="15"/>
        <v>0.71202477557369315</v>
      </c>
      <c r="AA72" s="1">
        <f t="shared" si="15"/>
        <v>0.91712176310395455</v>
      </c>
      <c r="AB72" s="1">
        <f t="shared" si="15"/>
        <v>0.12064889781906714</v>
      </c>
      <c r="AC72" s="1">
        <f t="shared" si="15"/>
        <v>0.37887682016269186</v>
      </c>
      <c r="AD72" s="1">
        <f t="shared" si="15"/>
        <v>0.67074156460206613</v>
      </c>
      <c r="AE72" s="1">
        <f t="shared" si="15"/>
        <v>0.60698784437888587</v>
      </c>
      <c r="AF72" s="1">
        <f t="shared" si="15"/>
        <v>0.32247982413074561</v>
      </c>
      <c r="AG72" s="1">
        <f t="shared" si="15"/>
        <v>0.61936395865898941</v>
      </c>
      <c r="AH72" s="1">
        <f t="shared" si="15"/>
        <v>0.31059850517429927</v>
      </c>
      <c r="AI72" s="1" t="e">
        <f t="shared" si="15"/>
        <v>#DIV/0!</v>
      </c>
      <c r="AJ72" s="1">
        <f t="shared" si="15"/>
        <v>0.44735780254053392</v>
      </c>
      <c r="AK72" s="111">
        <f t="shared" si="15"/>
        <v>7.1596958642270503E-2</v>
      </c>
      <c r="AL72" s="1">
        <f t="shared" si="15"/>
        <v>0.51072479837578555</v>
      </c>
      <c r="AM72" s="1">
        <f t="shared" si="15"/>
        <v>0.32003789875758193</v>
      </c>
      <c r="AN72" s="1">
        <f t="shared" si="15"/>
        <v>0.31842196780743387</v>
      </c>
      <c r="AO72" s="1">
        <f t="shared" si="15"/>
        <v>0.58503921316936669</v>
      </c>
      <c r="AP72" s="1">
        <f t="shared" si="15"/>
        <v>0.64759454881224821</v>
      </c>
      <c r="AQ72" s="111">
        <f t="shared" si="15"/>
        <v>5.321899109295045E-3</v>
      </c>
      <c r="AR72" s="1">
        <f t="shared" si="15"/>
        <v>0.66756945800619727</v>
      </c>
      <c r="AS72" s="111">
        <f t="shared" si="15"/>
        <v>8.4075501328158248E-2</v>
      </c>
      <c r="AT72" s="111">
        <f t="shared" si="15"/>
        <v>1.7102838194674966E-2</v>
      </c>
      <c r="AU72" s="1">
        <f t="shared" si="15"/>
        <v>0.98029899105353047</v>
      </c>
      <c r="AV72" s="1">
        <f t="shared" si="15"/>
        <v>0.4783367170535473</v>
      </c>
      <c r="AW72" s="1">
        <f t="shared" si="15"/>
        <v>0.25428045317729986</v>
      </c>
      <c r="AX72" s="1">
        <f t="shared" si="15"/>
        <v>0.32247982413074561</v>
      </c>
      <c r="AY72" s="111">
        <f t="shared" si="15"/>
        <v>8.5719285685855254E-2</v>
      </c>
      <c r="AZ72" s="111">
        <f t="shared" si="15"/>
        <v>1.9887617777189524E-2</v>
      </c>
      <c r="BA72" s="1">
        <f t="shared" si="15"/>
        <v>0.34557252632143154</v>
      </c>
      <c r="BB72" s="1">
        <f t="shared" si="15"/>
        <v>0.24483133326638404</v>
      </c>
      <c r="BC72" s="1">
        <f t="shared" si="15"/>
        <v>0.49957613293467029</v>
      </c>
      <c r="BD72" s="1">
        <f t="shared" si="15"/>
        <v>0.82378110759968359</v>
      </c>
      <c r="BE72" s="1">
        <f t="shared" si="15"/>
        <v>0.82817781005554036</v>
      </c>
      <c r="BF72" s="111">
        <f t="shared" si="15"/>
        <v>0.14516021136768548</v>
      </c>
      <c r="BG72" s="1">
        <f t="shared" si="15"/>
        <v>0.58280785313804406</v>
      </c>
      <c r="BH72" s="1">
        <f t="shared" si="15"/>
        <v>0.61934031731998029</v>
      </c>
      <c r="BI72" s="1">
        <f t="shared" si="15"/>
        <v>0.9179949137621839</v>
      </c>
      <c r="BJ72" s="1">
        <f t="shared" si="15"/>
        <v>0.7021508123030018</v>
      </c>
      <c r="BK72" s="1">
        <f t="shared" si="15"/>
        <v>0.15831202812905756</v>
      </c>
      <c r="BL72" s="1">
        <f t="shared" si="15"/>
        <v>0.42104473694810007</v>
      </c>
      <c r="BM72" s="1">
        <f t="shared" si="15"/>
        <v>0.72586761048495707</v>
      </c>
      <c r="BN72" s="1">
        <f t="shared" si="15"/>
        <v>0.81208398143817351</v>
      </c>
      <c r="BO72" s="111">
        <f t="shared" ref="BO72:DZ72" si="16">TTEST(BO3:BO33,BO35:BO63,2,3)</f>
        <v>4.2271866348426244E-2</v>
      </c>
      <c r="BP72" s="1">
        <f t="shared" si="16"/>
        <v>0.72183603617053216</v>
      </c>
      <c r="BQ72" s="1">
        <f t="shared" si="16"/>
        <v>0.23285967362696233</v>
      </c>
      <c r="BR72" s="1">
        <f t="shared" si="16"/>
        <v>0.19534514527921634</v>
      </c>
      <c r="BS72" s="1">
        <f t="shared" si="16"/>
        <v>0.81853482177770465</v>
      </c>
      <c r="BT72" s="1">
        <f t="shared" si="16"/>
        <v>0.91174687350869932</v>
      </c>
      <c r="BU72" s="1">
        <f t="shared" si="16"/>
        <v>0.70713908808907933</v>
      </c>
      <c r="BV72" s="1">
        <f t="shared" si="16"/>
        <v>0.49435556409634696</v>
      </c>
      <c r="BW72" s="1">
        <f t="shared" si="16"/>
        <v>0.21863682758670544</v>
      </c>
      <c r="BX72" s="1">
        <f t="shared" si="16"/>
        <v>0.6227637845372902</v>
      </c>
      <c r="BY72" s="1">
        <f t="shared" si="16"/>
        <v>0.48172703109620452</v>
      </c>
      <c r="BZ72" s="1">
        <f t="shared" si="16"/>
        <v>0.22320342481394659</v>
      </c>
      <c r="CA72" s="1">
        <f t="shared" si="16"/>
        <v>0.32633458672869531</v>
      </c>
      <c r="CB72" s="1">
        <f t="shared" si="16"/>
        <v>0.18808376064826918</v>
      </c>
      <c r="CC72" s="1">
        <f t="shared" si="16"/>
        <v>0.87307925763114547</v>
      </c>
      <c r="CD72" s="1">
        <f t="shared" si="16"/>
        <v>0.8010887560487403</v>
      </c>
      <c r="CE72" s="1">
        <f t="shared" si="16"/>
        <v>0.30125703042459417</v>
      </c>
      <c r="CF72" s="1">
        <f t="shared" si="16"/>
        <v>0.63029093682766191</v>
      </c>
      <c r="CG72" s="1">
        <f t="shared" si="16"/>
        <v>0.85332090888102596</v>
      </c>
      <c r="CH72" s="1">
        <f t="shared" si="16"/>
        <v>0.47061228549993939</v>
      </c>
      <c r="CI72" s="1">
        <f t="shared" si="16"/>
        <v>0.21367358508149911</v>
      </c>
      <c r="CJ72" s="1">
        <f t="shared" si="16"/>
        <v>0.56927652570398135</v>
      </c>
      <c r="CK72" s="1">
        <f t="shared" si="16"/>
        <v>0.35522251625950307</v>
      </c>
      <c r="CL72" s="1">
        <f t="shared" si="16"/>
        <v>0.50724957247943991</v>
      </c>
      <c r="CM72" s="1">
        <f t="shared" si="16"/>
        <v>0.66042787997165009</v>
      </c>
      <c r="CN72" s="1" t="e">
        <f t="shared" si="16"/>
        <v>#DIV/0!</v>
      </c>
      <c r="CO72" s="1">
        <f t="shared" si="16"/>
        <v>0.81942177604321564</v>
      </c>
      <c r="CP72" s="1">
        <f t="shared" si="16"/>
        <v>0.49352190652017991</v>
      </c>
      <c r="CQ72" s="1">
        <f t="shared" si="16"/>
        <v>0.98823486575328401</v>
      </c>
      <c r="CR72" s="1">
        <f t="shared" si="16"/>
        <v>0.22872967224784388</v>
      </c>
      <c r="CS72" s="1">
        <f t="shared" si="16"/>
        <v>0.96090548179713875</v>
      </c>
      <c r="CT72" s="1">
        <f t="shared" si="16"/>
        <v>0.62407642010162179</v>
      </c>
      <c r="CU72" s="1">
        <f t="shared" si="16"/>
        <v>0.48892100263455052</v>
      </c>
      <c r="CV72" s="1">
        <f t="shared" si="16"/>
        <v>0.93479542438733887</v>
      </c>
      <c r="CW72" s="1">
        <f t="shared" si="16"/>
        <v>0.35660404512515842</v>
      </c>
      <c r="CX72" s="1">
        <f t="shared" si="16"/>
        <v>0.1323949731109087</v>
      </c>
      <c r="CY72" s="1">
        <f t="shared" si="16"/>
        <v>0.32587470687166054</v>
      </c>
      <c r="CZ72" s="1">
        <f t="shared" si="16"/>
        <v>0.98262510450101703</v>
      </c>
      <c r="DA72" s="1">
        <f t="shared" si="16"/>
        <v>0.54437201546769343</v>
      </c>
      <c r="DB72" s="1">
        <f t="shared" si="16"/>
        <v>0.32587470687166364</v>
      </c>
      <c r="DC72" s="1">
        <f t="shared" si="16"/>
        <v>0.18446343063393067</v>
      </c>
      <c r="DD72" s="1">
        <f t="shared" si="16"/>
        <v>0.32618890067972639</v>
      </c>
      <c r="DE72" s="1">
        <f t="shared" si="16"/>
        <v>0.67149897690484361</v>
      </c>
      <c r="DF72" s="1">
        <f t="shared" si="16"/>
        <v>0.3440909945330618</v>
      </c>
      <c r="DG72" s="1">
        <f t="shared" si="16"/>
        <v>0.16103934953023102</v>
      </c>
      <c r="DH72" s="1">
        <f t="shared" si="16"/>
        <v>0.64453700132198288</v>
      </c>
      <c r="DI72" s="1">
        <f t="shared" si="16"/>
        <v>0.86284577386650063</v>
      </c>
      <c r="DJ72" s="1" t="e">
        <f t="shared" si="16"/>
        <v>#DIV/0!</v>
      </c>
      <c r="DK72" s="1">
        <f t="shared" si="16"/>
        <v>0.83866900518994258</v>
      </c>
      <c r="DL72" s="1">
        <f t="shared" si="16"/>
        <v>8.3044921447959191E-2</v>
      </c>
      <c r="DM72" s="1">
        <f t="shared" si="16"/>
        <v>0.4022075251843058</v>
      </c>
      <c r="DN72" s="1">
        <f t="shared" si="16"/>
        <v>0.20763453255095612</v>
      </c>
      <c r="DO72" s="1">
        <f t="shared" si="16"/>
        <v>0.4208865950021512</v>
      </c>
      <c r="DP72" s="1">
        <f t="shared" si="16"/>
        <v>0.1334456902604633</v>
      </c>
      <c r="DQ72" s="1">
        <f t="shared" si="16"/>
        <v>0.56831305096214868</v>
      </c>
      <c r="DR72" s="1">
        <f t="shared" si="16"/>
        <v>0.52229935048117215</v>
      </c>
      <c r="DS72" s="1">
        <f t="shared" si="16"/>
        <v>0.3258747068716612</v>
      </c>
      <c r="DT72" s="1" t="e">
        <f t="shared" si="16"/>
        <v>#DIV/0!</v>
      </c>
      <c r="DU72" s="1">
        <f t="shared" si="16"/>
        <v>0.32618890067972706</v>
      </c>
      <c r="DV72" s="1" t="e">
        <f t="shared" si="16"/>
        <v>#DIV/0!</v>
      </c>
      <c r="DW72" s="1">
        <f t="shared" si="16"/>
        <v>0.21863682758670627</v>
      </c>
      <c r="DX72" s="1">
        <f t="shared" si="16"/>
        <v>0.92988412898549644</v>
      </c>
      <c r="DY72" s="1" t="e">
        <f t="shared" si="16"/>
        <v>#DIV/0!</v>
      </c>
      <c r="DZ72" s="1">
        <f t="shared" si="16"/>
        <v>0.3258747068716612</v>
      </c>
      <c r="EA72" s="1">
        <f t="shared" ref="EA72:EJ72" si="17">TTEST(EA3:EA33,EA35:EA63,2,3)</f>
        <v>0.98029899105353047</v>
      </c>
      <c r="EB72" s="1">
        <f t="shared" si="17"/>
        <v>0.16090942312368697</v>
      </c>
      <c r="EC72" s="1">
        <f t="shared" si="17"/>
        <v>0.46423520279389352</v>
      </c>
      <c r="ED72" s="1">
        <f t="shared" si="17"/>
        <v>0.15972900199242679</v>
      </c>
      <c r="EE72" s="1" t="e">
        <f t="shared" si="17"/>
        <v>#DIV/0!</v>
      </c>
      <c r="EF72" s="1">
        <f t="shared" si="17"/>
        <v>0.32618890067972717</v>
      </c>
      <c r="EG72" s="1" t="e">
        <f t="shared" si="17"/>
        <v>#DIV/0!</v>
      </c>
      <c r="EH72" s="1" t="e">
        <f t="shared" si="17"/>
        <v>#DIV/0!</v>
      </c>
      <c r="EI72" s="1">
        <f t="shared" si="17"/>
        <v>0.16103934953023102</v>
      </c>
      <c r="EJ72" s="1">
        <f t="shared" si="17"/>
        <v>0.32674949338921788</v>
      </c>
    </row>
    <row r="75" spans="1:140">
      <c r="A75" s="20" t="s">
        <v>767</v>
      </c>
      <c r="B75" s="20"/>
    </row>
    <row r="76" spans="1:140">
      <c r="A76" s="20" t="s">
        <v>768</v>
      </c>
      <c r="B76">
        <v>2062017</v>
      </c>
      <c r="C76">
        <v>2</v>
      </c>
      <c r="D76">
        <v>1</v>
      </c>
      <c r="E76">
        <v>41</v>
      </c>
      <c r="F76">
        <v>175</v>
      </c>
      <c r="G76">
        <v>5</v>
      </c>
      <c r="H76">
        <v>5</v>
      </c>
      <c r="I76">
        <v>29.12</v>
      </c>
      <c r="J76">
        <v>14.7</v>
      </c>
      <c r="K76">
        <v>3.43</v>
      </c>
      <c r="L76">
        <v>98.94</v>
      </c>
      <c r="M76">
        <v>93.18</v>
      </c>
      <c r="N76">
        <v>0.28999999999999998</v>
      </c>
      <c r="O76">
        <v>0.38500000000000001</v>
      </c>
      <c r="P76">
        <v>0.67500000000000004</v>
      </c>
      <c r="Q76">
        <v>74.55</v>
      </c>
      <c r="R76">
        <v>50.56</v>
      </c>
      <c r="S76">
        <v>1198.8599999999999</v>
      </c>
      <c r="T76">
        <v>43.72</v>
      </c>
      <c r="U76">
        <v>45.85</v>
      </c>
      <c r="V76">
        <v>152.53</v>
      </c>
      <c r="W76">
        <v>5.07</v>
      </c>
      <c r="X76">
        <v>1</v>
      </c>
      <c r="Y76">
        <v>1</v>
      </c>
      <c r="Z76">
        <v>2</v>
      </c>
      <c r="AA76">
        <v>1</v>
      </c>
      <c r="AB76">
        <v>2</v>
      </c>
      <c r="AC76">
        <v>1</v>
      </c>
      <c r="AD76">
        <v>1</v>
      </c>
      <c r="AE76">
        <v>1</v>
      </c>
      <c r="AF76">
        <v>1</v>
      </c>
      <c r="AG76">
        <v>2</v>
      </c>
      <c r="AH76">
        <v>1</v>
      </c>
      <c r="AI76">
        <v>1</v>
      </c>
      <c r="AJ76">
        <v>6</v>
      </c>
      <c r="AK76">
        <v>2</v>
      </c>
      <c r="AL76">
        <v>2</v>
      </c>
      <c r="AM76">
        <v>2</v>
      </c>
      <c r="AN76">
        <v>1</v>
      </c>
      <c r="AO76">
        <v>2</v>
      </c>
      <c r="AP76">
        <v>2</v>
      </c>
      <c r="AQ76">
        <v>2</v>
      </c>
      <c r="AR76">
        <v>2</v>
      </c>
      <c r="AS76">
        <v>1</v>
      </c>
      <c r="AT76">
        <v>2</v>
      </c>
      <c r="AU76">
        <v>0</v>
      </c>
      <c r="AV76">
        <v>0</v>
      </c>
      <c r="AW76">
        <v>1</v>
      </c>
      <c r="AX76">
        <v>0</v>
      </c>
      <c r="AY76">
        <v>0</v>
      </c>
      <c r="AZ76">
        <v>1</v>
      </c>
      <c r="BA76">
        <v>1</v>
      </c>
      <c r="BB76">
        <v>4</v>
      </c>
      <c r="BC76">
        <v>2</v>
      </c>
      <c r="BD76">
        <v>1</v>
      </c>
      <c r="BE76">
        <v>2</v>
      </c>
      <c r="BF76">
        <v>1</v>
      </c>
      <c r="BG76">
        <v>2</v>
      </c>
      <c r="BH76">
        <v>2</v>
      </c>
      <c r="BI76">
        <v>1</v>
      </c>
      <c r="BJ76">
        <v>1</v>
      </c>
      <c r="BK76">
        <v>2</v>
      </c>
      <c r="BL76">
        <v>3</v>
      </c>
      <c r="BM76">
        <v>2</v>
      </c>
      <c r="BN76">
        <v>2</v>
      </c>
      <c r="BO76">
        <v>2</v>
      </c>
      <c r="BP76">
        <v>2</v>
      </c>
      <c r="BQ76">
        <v>3</v>
      </c>
      <c r="BR76">
        <v>2</v>
      </c>
      <c r="BS76">
        <v>2</v>
      </c>
      <c r="BT76">
        <v>2</v>
      </c>
      <c r="BU76">
        <v>2</v>
      </c>
      <c r="BV76">
        <v>2</v>
      </c>
      <c r="BW76">
        <v>1</v>
      </c>
      <c r="BX76">
        <v>2</v>
      </c>
      <c r="BY76">
        <v>2</v>
      </c>
      <c r="BZ76">
        <v>3</v>
      </c>
      <c r="CA76">
        <v>1</v>
      </c>
      <c r="CB76">
        <v>2</v>
      </c>
      <c r="CC76">
        <v>1</v>
      </c>
      <c r="CD76">
        <v>1</v>
      </c>
      <c r="CE76">
        <v>1</v>
      </c>
      <c r="CF76">
        <v>1</v>
      </c>
      <c r="CG76">
        <v>1</v>
      </c>
      <c r="CH76">
        <v>2</v>
      </c>
      <c r="CI76">
        <v>2</v>
      </c>
      <c r="CJ76">
        <v>3</v>
      </c>
      <c r="CK76">
        <v>2</v>
      </c>
      <c r="CL76">
        <v>4</v>
      </c>
      <c r="CM76">
        <v>1</v>
      </c>
      <c r="CN76">
        <v>1</v>
      </c>
      <c r="CO76">
        <v>3</v>
      </c>
      <c r="CP76">
        <v>2</v>
      </c>
      <c r="CQ76">
        <v>3</v>
      </c>
      <c r="CR76">
        <v>4</v>
      </c>
      <c r="CS76">
        <v>2</v>
      </c>
      <c r="CT76">
        <v>3</v>
      </c>
      <c r="CU76">
        <v>1</v>
      </c>
      <c r="CV76">
        <v>1</v>
      </c>
      <c r="CW76">
        <v>3</v>
      </c>
      <c r="CX76">
        <v>1</v>
      </c>
      <c r="CY76">
        <v>1</v>
      </c>
      <c r="CZ76">
        <v>4</v>
      </c>
      <c r="DA76">
        <v>1</v>
      </c>
      <c r="DB76">
        <v>3</v>
      </c>
      <c r="DC76">
        <v>1</v>
      </c>
      <c r="DD76">
        <v>1</v>
      </c>
      <c r="DE76">
        <v>2</v>
      </c>
      <c r="DF76">
        <v>2</v>
      </c>
      <c r="DG76">
        <v>3</v>
      </c>
      <c r="DH76">
        <v>2</v>
      </c>
      <c r="DI76">
        <v>1</v>
      </c>
      <c r="DJ76">
        <v>2</v>
      </c>
      <c r="DK76">
        <v>2</v>
      </c>
      <c r="DL76">
        <v>1</v>
      </c>
      <c r="DM76">
        <v>5</v>
      </c>
      <c r="DN76">
        <v>2</v>
      </c>
      <c r="DO76">
        <v>1</v>
      </c>
      <c r="DP76">
        <v>4</v>
      </c>
      <c r="DQ76">
        <v>0</v>
      </c>
      <c r="DR76">
        <v>0</v>
      </c>
      <c r="DS76">
        <v>0</v>
      </c>
      <c r="DT76">
        <v>0</v>
      </c>
      <c r="DU76">
        <v>0</v>
      </c>
      <c r="DV76">
        <v>0</v>
      </c>
      <c r="DW76">
        <v>0</v>
      </c>
      <c r="DX76">
        <v>1</v>
      </c>
      <c r="DY76">
        <v>0</v>
      </c>
      <c r="DZ76">
        <v>0</v>
      </c>
      <c r="EA76">
        <v>0</v>
      </c>
      <c r="EB76">
        <v>0</v>
      </c>
      <c r="EC76">
        <v>1</v>
      </c>
      <c r="ED76">
        <v>1</v>
      </c>
      <c r="EE76">
        <v>0</v>
      </c>
      <c r="EF76">
        <v>0</v>
      </c>
      <c r="EG76">
        <v>0</v>
      </c>
      <c r="EH76">
        <v>0</v>
      </c>
      <c r="EI76">
        <v>0</v>
      </c>
      <c r="EJ76">
        <v>17601</v>
      </c>
    </row>
    <row r="77" spans="1:140">
      <c r="A77" t="s">
        <v>89</v>
      </c>
      <c r="B77">
        <v>2122017</v>
      </c>
      <c r="C77">
        <v>2</v>
      </c>
      <c r="D77">
        <v>1</v>
      </c>
      <c r="E77">
        <v>34</v>
      </c>
      <c r="F77">
        <v>118</v>
      </c>
      <c r="G77">
        <v>5</v>
      </c>
      <c r="H77">
        <v>4</v>
      </c>
      <c r="I77">
        <v>20.25</v>
      </c>
      <c r="J77">
        <v>20.51</v>
      </c>
      <c r="K77">
        <v>4.6100000000000003</v>
      </c>
      <c r="L77">
        <v>90.62</v>
      </c>
      <c r="M77">
        <v>56.23</v>
      </c>
      <c r="N77">
        <v>2.2200000000000002</v>
      </c>
      <c r="O77">
        <v>0.97</v>
      </c>
      <c r="P77">
        <v>3.19</v>
      </c>
      <c r="Q77">
        <v>90.65</v>
      </c>
      <c r="R77">
        <v>50.56</v>
      </c>
      <c r="S77">
        <v>1536.77</v>
      </c>
      <c r="T77">
        <v>60.41</v>
      </c>
      <c r="U77">
        <v>60.6</v>
      </c>
      <c r="V77">
        <v>191.29</v>
      </c>
      <c r="W77">
        <v>11.99</v>
      </c>
      <c r="X77">
        <v>4</v>
      </c>
      <c r="Y77">
        <v>1</v>
      </c>
      <c r="Z77">
        <v>1</v>
      </c>
      <c r="AA77">
        <v>3</v>
      </c>
      <c r="AB77">
        <v>1</v>
      </c>
      <c r="AC77">
        <v>1</v>
      </c>
      <c r="AD77">
        <v>1</v>
      </c>
      <c r="AE77">
        <v>1</v>
      </c>
      <c r="AF77">
        <v>1</v>
      </c>
      <c r="AG77">
        <v>2</v>
      </c>
      <c r="AH77">
        <v>4</v>
      </c>
      <c r="AI77">
        <v>1</v>
      </c>
      <c r="AJ77">
        <v>2</v>
      </c>
      <c r="AK77">
        <v>1</v>
      </c>
      <c r="AL77">
        <v>2</v>
      </c>
      <c r="AM77">
        <v>1</v>
      </c>
      <c r="AN77">
        <v>1</v>
      </c>
      <c r="AO77">
        <v>2</v>
      </c>
      <c r="AP77">
        <v>1</v>
      </c>
      <c r="AQ77">
        <v>2</v>
      </c>
      <c r="AR77">
        <v>2</v>
      </c>
      <c r="AS77">
        <v>4</v>
      </c>
      <c r="AT77">
        <v>2</v>
      </c>
      <c r="AU77">
        <v>0</v>
      </c>
      <c r="AV77">
        <v>1</v>
      </c>
      <c r="AW77">
        <v>1</v>
      </c>
      <c r="AX77">
        <v>0</v>
      </c>
      <c r="AY77">
        <v>0</v>
      </c>
      <c r="AZ77">
        <v>6</v>
      </c>
      <c r="BA77">
        <v>2</v>
      </c>
      <c r="BB77">
        <v>2</v>
      </c>
      <c r="BC77">
        <v>1</v>
      </c>
      <c r="BD77">
        <v>1</v>
      </c>
      <c r="BE77">
        <v>2</v>
      </c>
      <c r="BF77">
        <v>2</v>
      </c>
      <c r="BG77">
        <v>1</v>
      </c>
      <c r="BH77">
        <v>1</v>
      </c>
      <c r="BI77">
        <v>1</v>
      </c>
      <c r="BJ77">
        <v>1</v>
      </c>
      <c r="BK77">
        <v>2</v>
      </c>
      <c r="BL77">
        <v>4</v>
      </c>
      <c r="BM77">
        <v>2</v>
      </c>
      <c r="BN77">
        <v>3</v>
      </c>
      <c r="BO77">
        <v>2</v>
      </c>
      <c r="BP77">
        <v>3</v>
      </c>
      <c r="BQ77">
        <v>2</v>
      </c>
      <c r="BR77">
        <v>3</v>
      </c>
      <c r="BS77">
        <v>1</v>
      </c>
      <c r="BT77">
        <v>3</v>
      </c>
      <c r="BU77">
        <v>1</v>
      </c>
      <c r="BV77">
        <v>5</v>
      </c>
      <c r="BW77">
        <v>1</v>
      </c>
      <c r="BX77">
        <v>5</v>
      </c>
      <c r="BY77">
        <v>1</v>
      </c>
      <c r="BZ77">
        <v>6</v>
      </c>
      <c r="CA77">
        <v>2</v>
      </c>
      <c r="CB77">
        <v>2</v>
      </c>
      <c r="CC77">
        <v>1</v>
      </c>
      <c r="CD77">
        <v>2</v>
      </c>
      <c r="CE77">
        <v>1</v>
      </c>
      <c r="CF77">
        <v>2</v>
      </c>
      <c r="CG77">
        <v>1</v>
      </c>
      <c r="CH77">
        <v>3</v>
      </c>
      <c r="CI77">
        <v>2</v>
      </c>
      <c r="CJ77">
        <v>2</v>
      </c>
      <c r="CK77">
        <v>1</v>
      </c>
      <c r="CL77">
        <v>4</v>
      </c>
      <c r="CM77">
        <v>4</v>
      </c>
      <c r="CN77">
        <v>1</v>
      </c>
      <c r="CO77">
        <v>3</v>
      </c>
      <c r="CP77">
        <v>2</v>
      </c>
      <c r="CQ77">
        <v>2</v>
      </c>
      <c r="CR77">
        <v>4</v>
      </c>
      <c r="CS77">
        <v>2</v>
      </c>
      <c r="CT77">
        <v>2</v>
      </c>
      <c r="CU77">
        <v>2</v>
      </c>
      <c r="CV77">
        <v>2</v>
      </c>
      <c r="CW77">
        <v>4</v>
      </c>
      <c r="CX77">
        <v>2</v>
      </c>
      <c r="CY77">
        <v>1</v>
      </c>
      <c r="CZ77">
        <v>3</v>
      </c>
      <c r="DA77">
        <v>1</v>
      </c>
      <c r="DB77">
        <v>3</v>
      </c>
      <c r="DC77">
        <v>1</v>
      </c>
      <c r="DD77">
        <v>1</v>
      </c>
      <c r="DE77">
        <v>3</v>
      </c>
      <c r="DF77">
        <v>2</v>
      </c>
      <c r="DG77">
        <v>3</v>
      </c>
      <c r="DH77">
        <v>2</v>
      </c>
      <c r="DI77">
        <v>1</v>
      </c>
      <c r="DJ77">
        <v>2</v>
      </c>
      <c r="DK77">
        <v>1</v>
      </c>
      <c r="DL77">
        <v>1</v>
      </c>
      <c r="DM77">
        <v>2</v>
      </c>
      <c r="DN77">
        <v>5</v>
      </c>
      <c r="DO77">
        <v>2</v>
      </c>
      <c r="DP77">
        <v>4</v>
      </c>
      <c r="DQ77">
        <v>0</v>
      </c>
      <c r="DR77">
        <v>1</v>
      </c>
      <c r="DS77">
        <v>0</v>
      </c>
      <c r="DT77">
        <v>0</v>
      </c>
      <c r="DU77">
        <v>0</v>
      </c>
      <c r="DV77">
        <v>0</v>
      </c>
      <c r="DW77">
        <v>0</v>
      </c>
      <c r="DX77">
        <v>1</v>
      </c>
      <c r="DY77">
        <v>0</v>
      </c>
      <c r="DZ77">
        <v>0</v>
      </c>
      <c r="EA77">
        <v>0</v>
      </c>
      <c r="EB77">
        <v>0</v>
      </c>
      <c r="EC77">
        <v>2</v>
      </c>
      <c r="ED77">
        <v>0</v>
      </c>
      <c r="EE77">
        <v>1</v>
      </c>
      <c r="EF77">
        <v>0</v>
      </c>
      <c r="EG77">
        <v>0</v>
      </c>
      <c r="EH77">
        <v>0</v>
      </c>
      <c r="EI77">
        <v>0</v>
      </c>
      <c r="EJ77">
        <v>17600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I158"/>
  <sheetViews>
    <sheetView topLeftCell="BI1" zoomScale="98" zoomScaleNormal="98" zoomScalePageLayoutView="98" workbookViewId="0">
      <pane ySplit="2" topLeftCell="A3" activePane="bottomLeft" state="frozen"/>
      <selection pane="bottomLeft" activeCell="AZ3" sqref="AZ3"/>
    </sheetView>
  </sheetViews>
  <sheetFormatPr defaultColWidth="9" defaultRowHeight="15"/>
  <cols>
    <col min="1" max="1" width="12.85546875" style="29" bestFit="1" customWidth="1"/>
    <col min="2" max="2" width="11.42578125" style="29" bestFit="1" customWidth="1"/>
    <col min="3" max="3" width="12.42578125" style="29" customWidth="1"/>
    <col min="4" max="4" width="11.42578125" style="29" bestFit="1" customWidth="1"/>
    <col min="5" max="5" width="11.42578125" style="29" customWidth="1"/>
    <col min="6" max="6" width="19" style="29" bestFit="1" customWidth="1"/>
    <col min="7" max="7" width="17.42578125" style="29" bestFit="1" customWidth="1"/>
    <col min="8" max="8" width="17.42578125" style="29" customWidth="1"/>
    <col min="9" max="9" width="10.85546875" style="29" customWidth="1"/>
    <col min="10" max="11" width="12.140625" style="29" bestFit="1" customWidth="1"/>
    <col min="12" max="12" width="26.140625" style="29" bestFit="1" customWidth="1"/>
    <col min="13" max="13" width="9" style="29"/>
    <col min="14" max="14" width="30" style="29" bestFit="1" customWidth="1"/>
    <col min="15" max="15" width="16.85546875" style="29" customWidth="1"/>
    <col min="16" max="16" width="19.28515625" style="29" bestFit="1" customWidth="1"/>
    <col min="17" max="17" width="29.28515625" style="29" bestFit="1" customWidth="1"/>
    <col min="18" max="18" width="22" style="29" bestFit="1" customWidth="1"/>
    <col min="19" max="19" width="13.85546875" style="29" customWidth="1"/>
    <col min="20" max="20" width="9" style="29"/>
    <col min="21" max="21" width="12.140625" style="29" bestFit="1" customWidth="1"/>
    <col min="22" max="22" width="26.28515625" style="29" bestFit="1" customWidth="1"/>
    <col min="23" max="23" width="42.140625" style="29" bestFit="1" customWidth="1"/>
    <col min="24" max="24" width="12.140625" style="29" bestFit="1" customWidth="1"/>
    <col min="25" max="25" width="13.42578125" style="29" bestFit="1" customWidth="1"/>
    <col min="26" max="30" width="12.140625" style="29" bestFit="1" customWidth="1"/>
    <col min="31" max="31" width="12.140625" style="29" customWidth="1"/>
    <col min="32" max="32" width="12.140625" style="29" bestFit="1" customWidth="1"/>
    <col min="33" max="34" width="19.7109375" style="29" bestFit="1" customWidth="1"/>
    <col min="35" max="35" width="19.42578125" style="29" bestFit="1" customWidth="1"/>
    <col min="36" max="36" width="19" style="29" bestFit="1" customWidth="1"/>
    <col min="37" max="38" width="18.7109375" style="29" bestFit="1" customWidth="1"/>
    <col min="39" max="39" width="18.42578125" style="29" bestFit="1" customWidth="1"/>
    <col min="40" max="40" width="18.7109375" style="29" bestFit="1" customWidth="1"/>
    <col min="41" max="41" width="12.140625" style="29" bestFit="1" customWidth="1"/>
    <col min="42" max="42" width="9.140625" style="29" bestFit="1" customWidth="1"/>
    <col min="43" max="43" width="12.140625" style="29" bestFit="1" customWidth="1"/>
    <col min="44" max="44" width="9" style="29"/>
    <col min="45" max="45" width="12.140625" style="29" bestFit="1" customWidth="1"/>
    <col min="46" max="49" width="9.140625" style="29" bestFit="1" customWidth="1"/>
    <col min="50" max="50" width="12.85546875" style="29" bestFit="1" customWidth="1"/>
    <col min="51" max="51" width="23" style="29" bestFit="1" customWidth="1"/>
    <col min="52" max="53" width="13.42578125" style="29" bestFit="1" customWidth="1"/>
    <col min="54" max="69" width="12.140625" style="29" bestFit="1" customWidth="1"/>
    <col min="70" max="16384" width="9" style="29"/>
  </cols>
  <sheetData>
    <row r="1" spans="1:70" s="51" customFormat="1">
      <c r="A1" s="24" t="s">
        <v>126</v>
      </c>
      <c r="B1" s="51" t="s">
        <v>135</v>
      </c>
      <c r="C1" s="51" t="s">
        <v>136</v>
      </c>
      <c r="D1" s="51" t="s">
        <v>137</v>
      </c>
      <c r="E1" s="51" t="s">
        <v>138</v>
      </c>
      <c r="F1" s="56" t="s">
        <v>139</v>
      </c>
      <c r="G1" s="56" t="s">
        <v>140</v>
      </c>
      <c r="H1" s="56" t="s">
        <v>141</v>
      </c>
      <c r="I1" s="56" t="s">
        <v>142</v>
      </c>
      <c r="J1" s="56" t="s">
        <v>143</v>
      </c>
      <c r="K1" s="56" t="s">
        <v>144</v>
      </c>
      <c r="L1" s="56" t="s">
        <v>145</v>
      </c>
      <c r="M1" s="51" t="s">
        <v>146</v>
      </c>
      <c r="N1" s="51" t="s">
        <v>147</v>
      </c>
      <c r="O1" s="51" t="s">
        <v>146</v>
      </c>
      <c r="P1" s="51" t="s">
        <v>148</v>
      </c>
      <c r="Q1" s="51" t="s">
        <v>149</v>
      </c>
      <c r="R1" s="51" t="s">
        <v>150</v>
      </c>
      <c r="S1" s="51" t="s">
        <v>151</v>
      </c>
      <c r="T1" s="51" t="s">
        <v>152</v>
      </c>
      <c r="U1" s="51" t="s">
        <v>153</v>
      </c>
      <c r="V1" s="51" t="s">
        <v>154</v>
      </c>
      <c r="W1" s="51" t="s">
        <v>477</v>
      </c>
      <c r="X1" s="51" t="s">
        <v>155</v>
      </c>
      <c r="Y1" s="51" t="s">
        <v>156</v>
      </c>
      <c r="Z1" s="51" t="s">
        <v>157</v>
      </c>
      <c r="AA1" s="51" t="s">
        <v>158</v>
      </c>
      <c r="AB1" s="51" t="s">
        <v>159</v>
      </c>
      <c r="AC1" s="51" t="s">
        <v>160</v>
      </c>
      <c r="AD1" s="51" t="s">
        <v>161</v>
      </c>
      <c r="AE1" s="51" t="s">
        <v>464</v>
      </c>
      <c r="AF1" s="51" t="s">
        <v>162</v>
      </c>
      <c r="AG1" s="51" t="s">
        <v>163</v>
      </c>
      <c r="AH1" s="51" t="s">
        <v>164</v>
      </c>
      <c r="AI1" s="51" t="s">
        <v>165</v>
      </c>
      <c r="AJ1" s="51" t="s">
        <v>166</v>
      </c>
      <c r="AK1" s="51" t="s">
        <v>167</v>
      </c>
      <c r="AL1" s="51" t="s">
        <v>168</v>
      </c>
      <c r="AM1" s="51" t="s">
        <v>169</v>
      </c>
      <c r="AN1" s="51" t="s">
        <v>480</v>
      </c>
      <c r="AO1" s="51" t="s">
        <v>170</v>
      </c>
      <c r="AP1" s="51" t="s">
        <v>171</v>
      </c>
      <c r="AQ1" s="51" t="s">
        <v>172</v>
      </c>
      <c r="AR1" s="51" t="s">
        <v>173</v>
      </c>
      <c r="AS1" s="51" t="s">
        <v>174</v>
      </c>
      <c r="AT1" s="51" t="s">
        <v>175</v>
      </c>
      <c r="AU1" s="51" t="s">
        <v>176</v>
      </c>
      <c r="AV1" s="51" t="s">
        <v>177</v>
      </c>
      <c r="AW1" s="51" t="s">
        <v>178</v>
      </c>
      <c r="AY1" s="51" t="s">
        <v>179</v>
      </c>
      <c r="AZ1" s="51" t="s">
        <v>180</v>
      </c>
      <c r="BA1" s="51" t="s">
        <v>486</v>
      </c>
      <c r="BB1" s="51" t="s">
        <v>181</v>
      </c>
      <c r="BC1" s="51" t="s">
        <v>182</v>
      </c>
      <c r="BD1" s="51" t="s">
        <v>183</v>
      </c>
      <c r="BE1" s="51" t="s">
        <v>184</v>
      </c>
      <c r="BF1" s="51" t="s">
        <v>185</v>
      </c>
      <c r="BG1" s="51" t="s">
        <v>186</v>
      </c>
      <c r="BH1" s="51" t="s">
        <v>187</v>
      </c>
      <c r="BI1" s="51" t="s">
        <v>188</v>
      </c>
      <c r="BJ1" s="51" t="s">
        <v>189</v>
      </c>
      <c r="BK1" s="51" t="s">
        <v>190</v>
      </c>
      <c r="BL1" s="51" t="s">
        <v>191</v>
      </c>
      <c r="BM1" s="51" t="s">
        <v>192</v>
      </c>
      <c r="BN1" s="51" t="s">
        <v>193</v>
      </c>
      <c r="BO1" s="51" t="s">
        <v>194</v>
      </c>
      <c r="BP1" s="51" t="s">
        <v>195</v>
      </c>
      <c r="BQ1" s="51" t="s">
        <v>196</v>
      </c>
      <c r="BR1" s="51" t="s">
        <v>197</v>
      </c>
    </row>
    <row r="2" spans="1:70" s="57" customFormat="1" ht="60">
      <c r="A2" s="24"/>
      <c r="C2" s="57" t="s">
        <v>198</v>
      </c>
      <c r="E2" s="57" t="s">
        <v>199</v>
      </c>
      <c r="F2" s="58"/>
      <c r="G2" s="58"/>
      <c r="H2" s="58" t="s">
        <v>200</v>
      </c>
      <c r="I2" s="57" t="s">
        <v>201</v>
      </c>
      <c r="J2" s="58" t="s">
        <v>202</v>
      </c>
      <c r="K2" s="58"/>
      <c r="L2" s="58" t="s">
        <v>203</v>
      </c>
      <c r="N2" s="58" t="s">
        <v>203</v>
      </c>
      <c r="U2" s="57" t="s">
        <v>204</v>
      </c>
      <c r="V2" s="57" t="s">
        <v>205</v>
      </c>
      <c r="X2" s="57" t="s">
        <v>204</v>
      </c>
      <c r="Z2" s="57" t="s">
        <v>206</v>
      </c>
      <c r="AA2" s="57" t="s">
        <v>206</v>
      </c>
      <c r="AB2" s="57" t="s">
        <v>206</v>
      </c>
      <c r="AC2" s="57" t="s">
        <v>206</v>
      </c>
      <c r="AD2" s="57" t="s">
        <v>206</v>
      </c>
      <c r="AF2" s="57" t="s">
        <v>207</v>
      </c>
      <c r="AG2" s="57" t="s">
        <v>204</v>
      </c>
      <c r="AI2" s="57" t="s">
        <v>208</v>
      </c>
      <c r="AK2" s="57" t="s">
        <v>208</v>
      </c>
      <c r="AM2" s="57" t="s">
        <v>208</v>
      </c>
      <c r="AN2" s="57">
        <v>40</v>
      </c>
      <c r="AO2" s="57" t="s">
        <v>204</v>
      </c>
      <c r="AQ2" s="57" t="s">
        <v>208</v>
      </c>
      <c r="AS2" s="57" t="s">
        <v>208</v>
      </c>
      <c r="AU2" s="57" t="s">
        <v>208</v>
      </c>
      <c r="AW2" s="57" t="s">
        <v>208</v>
      </c>
      <c r="AX2" s="57" t="s">
        <v>783</v>
      </c>
      <c r="AY2" s="57" t="s">
        <v>209</v>
      </c>
      <c r="AZ2" s="57" t="s">
        <v>210</v>
      </c>
      <c r="BA2" s="57" t="s">
        <v>210</v>
      </c>
      <c r="BB2" s="57" t="s">
        <v>207</v>
      </c>
      <c r="BC2" s="57" t="s">
        <v>207</v>
      </c>
      <c r="BD2" s="57" t="s">
        <v>207</v>
      </c>
      <c r="BE2" s="57" t="s">
        <v>207</v>
      </c>
      <c r="BF2" s="57" t="s">
        <v>207</v>
      </c>
      <c r="BG2" s="57" t="s">
        <v>207</v>
      </c>
      <c r="BH2" s="57" t="s">
        <v>207</v>
      </c>
      <c r="BI2" s="57" t="s">
        <v>207</v>
      </c>
      <c r="BJ2" s="57" t="s">
        <v>207</v>
      </c>
      <c r="BK2" s="57" t="s">
        <v>207</v>
      </c>
      <c r="BL2" s="57" t="s">
        <v>207</v>
      </c>
      <c r="BM2" s="57" t="s">
        <v>207</v>
      </c>
      <c r="BN2" s="57" t="s">
        <v>207</v>
      </c>
      <c r="BO2" s="57" t="s">
        <v>207</v>
      </c>
      <c r="BP2" s="57" t="s">
        <v>207</v>
      </c>
      <c r="BQ2" s="57" t="s">
        <v>207</v>
      </c>
    </row>
    <row r="3" spans="1:70">
      <c r="A3" s="29" t="s">
        <v>40</v>
      </c>
      <c r="B3" s="59">
        <v>42623</v>
      </c>
      <c r="C3" s="29">
        <v>0</v>
      </c>
      <c r="D3" s="59">
        <v>40473</v>
      </c>
      <c r="E3" s="32">
        <f>YEARFRAC(D3,B3)</f>
        <v>5.8833333333333337</v>
      </c>
      <c r="F3" s="60">
        <v>6</v>
      </c>
      <c r="G3" s="60">
        <v>9</v>
      </c>
      <c r="H3" s="32">
        <f>F3+(G3/16)</f>
        <v>6.5625</v>
      </c>
      <c r="I3" s="60">
        <v>1</v>
      </c>
      <c r="J3" s="60">
        <v>0</v>
      </c>
      <c r="K3" s="60">
        <v>0</v>
      </c>
      <c r="L3" s="60"/>
      <c r="N3" s="29">
        <v>1</v>
      </c>
      <c r="O3" s="29" t="s">
        <v>211</v>
      </c>
      <c r="P3" s="29">
        <v>9</v>
      </c>
      <c r="Q3" s="29">
        <v>0</v>
      </c>
      <c r="R3" s="29">
        <v>3</v>
      </c>
      <c r="S3" s="29">
        <v>6</v>
      </c>
      <c r="T3" s="29" t="s">
        <v>212</v>
      </c>
      <c r="U3" s="29">
        <v>1</v>
      </c>
      <c r="V3" s="29">
        <v>-8</v>
      </c>
      <c r="W3" s="30">
        <v>0</v>
      </c>
      <c r="X3" s="29">
        <v>0</v>
      </c>
      <c r="Y3" s="29">
        <v>50</v>
      </c>
      <c r="Z3" s="29">
        <v>0</v>
      </c>
      <c r="AA3" s="29">
        <v>0</v>
      </c>
      <c r="AB3" s="29">
        <v>0</v>
      </c>
      <c r="AC3" s="29">
        <v>1</v>
      </c>
      <c r="AD3" s="29">
        <v>1</v>
      </c>
      <c r="AE3" s="29">
        <f>SUM(Z3:AD3)</f>
        <v>2</v>
      </c>
      <c r="AF3" s="29">
        <v>0</v>
      </c>
      <c r="AG3" s="29">
        <v>0</v>
      </c>
      <c r="AN3" s="29">
        <f>MAX(AI3,AK3,AM3)</f>
        <v>0</v>
      </c>
      <c r="AO3" s="29">
        <v>0</v>
      </c>
      <c r="AY3" s="30">
        <v>2</v>
      </c>
      <c r="BA3" s="29">
        <v>36</v>
      </c>
      <c r="BB3" s="29">
        <v>0</v>
      </c>
      <c r="BC3" s="29">
        <v>0</v>
      </c>
      <c r="BD3" s="29">
        <v>0</v>
      </c>
      <c r="BE3" s="29">
        <v>0</v>
      </c>
      <c r="BF3" s="29">
        <v>1</v>
      </c>
      <c r="BG3" s="29">
        <v>0</v>
      </c>
      <c r="BH3" s="29">
        <v>3</v>
      </c>
      <c r="BI3" s="29">
        <v>0</v>
      </c>
      <c r="BJ3" s="29">
        <v>0</v>
      </c>
      <c r="BK3" s="29">
        <v>0</v>
      </c>
      <c r="BL3" s="29">
        <v>0</v>
      </c>
      <c r="BM3" s="29">
        <v>0</v>
      </c>
      <c r="BN3" s="29">
        <v>0</v>
      </c>
      <c r="BO3" s="29">
        <v>1</v>
      </c>
      <c r="BP3" s="29">
        <v>0</v>
      </c>
      <c r="BQ3" s="29">
        <v>0</v>
      </c>
    </row>
    <row r="4" spans="1:70">
      <c r="A4" s="29" t="s">
        <v>41</v>
      </c>
      <c r="B4" s="59">
        <v>42630</v>
      </c>
      <c r="C4" s="29">
        <v>0</v>
      </c>
      <c r="D4" s="59">
        <v>40407</v>
      </c>
      <c r="E4" s="32">
        <f t="shared" ref="E4:E63" si="0">YEARFRAC(D4,B4)</f>
        <v>6.083333333333333</v>
      </c>
      <c r="F4" s="60">
        <v>7</v>
      </c>
      <c r="G4" s="60">
        <v>11</v>
      </c>
      <c r="H4" s="32">
        <f t="shared" ref="H4:H63" si="1">F4+(G4/16)</f>
        <v>7.6875</v>
      </c>
      <c r="I4" s="60">
        <v>0</v>
      </c>
      <c r="J4" s="60">
        <v>0</v>
      </c>
      <c r="K4" s="60">
        <v>0</v>
      </c>
      <c r="L4" s="60">
        <v>0</v>
      </c>
      <c r="N4" s="29">
        <v>0</v>
      </c>
      <c r="P4" s="29">
        <v>17</v>
      </c>
      <c r="Q4" s="29">
        <v>0</v>
      </c>
      <c r="R4" s="29">
        <v>0</v>
      </c>
      <c r="S4" s="29">
        <v>5</v>
      </c>
      <c r="U4" s="29">
        <v>1</v>
      </c>
      <c r="V4" s="29">
        <v>5</v>
      </c>
      <c r="W4" s="30">
        <v>5</v>
      </c>
      <c r="X4" s="29">
        <v>0</v>
      </c>
      <c r="Y4" s="29">
        <v>5</v>
      </c>
      <c r="Z4" s="29">
        <v>1</v>
      </c>
      <c r="AA4" s="29">
        <v>0</v>
      </c>
      <c r="AB4" s="29">
        <v>0</v>
      </c>
      <c r="AC4" s="29">
        <v>0</v>
      </c>
      <c r="AD4" s="29">
        <v>0</v>
      </c>
      <c r="AE4" s="29">
        <f t="shared" ref="AE4:AE63" si="2">SUM(Z4:AD4)</f>
        <v>1</v>
      </c>
      <c r="AF4" s="29">
        <v>0</v>
      </c>
      <c r="AG4" s="29">
        <v>0</v>
      </c>
      <c r="AN4" s="29">
        <f t="shared" ref="AN4:AN63" si="3">MAX(AI4,AK4,AM4)</f>
        <v>0</v>
      </c>
      <c r="AO4" s="29">
        <v>0</v>
      </c>
      <c r="AY4" s="29">
        <v>2</v>
      </c>
      <c r="BA4" s="29">
        <v>12</v>
      </c>
      <c r="BB4" s="29">
        <v>0</v>
      </c>
      <c r="BC4" s="29">
        <v>0</v>
      </c>
      <c r="BD4" s="29">
        <v>0</v>
      </c>
      <c r="BE4" s="29">
        <v>0</v>
      </c>
      <c r="BF4" s="29">
        <v>1</v>
      </c>
      <c r="BG4" s="29">
        <v>0</v>
      </c>
      <c r="BH4" s="29">
        <v>1</v>
      </c>
      <c r="BI4" s="29">
        <v>0</v>
      </c>
      <c r="BJ4" s="29">
        <v>0</v>
      </c>
      <c r="BK4" s="29">
        <v>0</v>
      </c>
      <c r="BL4" s="29">
        <v>1</v>
      </c>
      <c r="BM4" s="29">
        <v>0</v>
      </c>
      <c r="BN4" s="29">
        <v>0</v>
      </c>
      <c r="BO4" s="29">
        <v>0</v>
      </c>
      <c r="BP4" s="29">
        <v>2</v>
      </c>
      <c r="BQ4" s="29">
        <v>0</v>
      </c>
    </row>
    <row r="5" spans="1:70">
      <c r="A5" s="29" t="s">
        <v>42</v>
      </c>
      <c r="B5" s="59">
        <v>42638</v>
      </c>
      <c r="C5" s="29">
        <v>0</v>
      </c>
      <c r="D5" s="59">
        <v>41220</v>
      </c>
      <c r="E5" s="32">
        <f t="shared" si="0"/>
        <v>3.8833333333333333</v>
      </c>
      <c r="F5" s="60">
        <v>4</v>
      </c>
      <c r="G5" s="60">
        <v>0</v>
      </c>
      <c r="H5" s="32">
        <f t="shared" si="1"/>
        <v>4</v>
      </c>
      <c r="I5" s="60">
        <v>1</v>
      </c>
      <c r="J5" s="60">
        <v>1</v>
      </c>
      <c r="K5" s="60">
        <v>7</v>
      </c>
      <c r="L5" s="60">
        <v>0</v>
      </c>
      <c r="N5" s="29">
        <v>3</v>
      </c>
      <c r="O5" s="29" t="s">
        <v>213</v>
      </c>
      <c r="P5" s="29">
        <v>6</v>
      </c>
      <c r="Q5" s="29">
        <v>0</v>
      </c>
      <c r="R5" s="29">
        <v>6</v>
      </c>
      <c r="S5" s="29">
        <v>6</v>
      </c>
      <c r="T5" s="29" t="s">
        <v>212</v>
      </c>
      <c r="U5" s="29">
        <v>1</v>
      </c>
      <c r="V5" s="29">
        <v>3</v>
      </c>
      <c r="W5" s="30">
        <v>3</v>
      </c>
      <c r="X5" s="29">
        <v>0</v>
      </c>
      <c r="Y5" s="29">
        <v>0</v>
      </c>
      <c r="Z5" s="29">
        <v>0</v>
      </c>
      <c r="AA5" s="29">
        <v>1</v>
      </c>
      <c r="AB5" s="29">
        <v>1</v>
      </c>
      <c r="AC5" s="29">
        <v>2</v>
      </c>
      <c r="AD5" s="29">
        <v>0</v>
      </c>
      <c r="AE5" s="29">
        <f t="shared" si="2"/>
        <v>4</v>
      </c>
      <c r="AF5" s="29">
        <v>0</v>
      </c>
      <c r="AG5" s="29">
        <v>1</v>
      </c>
      <c r="AH5" s="29" t="s">
        <v>214</v>
      </c>
      <c r="AI5" s="29">
        <v>2</v>
      </c>
      <c r="AJ5" s="29" t="s">
        <v>215</v>
      </c>
      <c r="AK5" s="29">
        <v>1</v>
      </c>
      <c r="AN5" s="29">
        <f t="shared" si="3"/>
        <v>2</v>
      </c>
      <c r="AO5" s="29">
        <v>0</v>
      </c>
      <c r="AY5" s="29">
        <v>1</v>
      </c>
      <c r="AZ5" s="29">
        <v>18</v>
      </c>
      <c r="BB5" s="29">
        <v>2</v>
      </c>
      <c r="BC5" s="29">
        <v>0</v>
      </c>
      <c r="BD5" s="29">
        <v>0</v>
      </c>
      <c r="BE5" s="29">
        <v>0</v>
      </c>
      <c r="BF5" s="29">
        <v>0</v>
      </c>
      <c r="BG5" s="29">
        <v>0</v>
      </c>
      <c r="BH5" s="29">
        <v>0</v>
      </c>
      <c r="BI5" s="29">
        <v>0</v>
      </c>
      <c r="BJ5" s="29">
        <v>0</v>
      </c>
      <c r="BK5" s="29">
        <v>0</v>
      </c>
      <c r="BL5" s="29">
        <v>0</v>
      </c>
      <c r="BM5" s="29">
        <v>1</v>
      </c>
      <c r="BN5" s="29">
        <v>0</v>
      </c>
      <c r="BO5" s="29">
        <v>0</v>
      </c>
      <c r="BP5" s="29">
        <v>1</v>
      </c>
      <c r="BQ5" s="29">
        <v>0</v>
      </c>
    </row>
    <row r="6" spans="1:70">
      <c r="A6" s="29" t="s">
        <v>43</v>
      </c>
      <c r="B6" s="59">
        <v>42648</v>
      </c>
      <c r="C6" s="29">
        <v>1</v>
      </c>
      <c r="D6" s="59">
        <v>41253</v>
      </c>
      <c r="E6" s="32">
        <f t="shared" si="0"/>
        <v>3.8194444444444446</v>
      </c>
      <c r="F6" s="60">
        <v>6</v>
      </c>
      <c r="G6" s="60">
        <v>1</v>
      </c>
      <c r="H6" s="32">
        <f t="shared" si="1"/>
        <v>6.0625</v>
      </c>
      <c r="I6" s="60">
        <v>0</v>
      </c>
      <c r="J6" s="60">
        <v>0</v>
      </c>
      <c r="K6" s="60">
        <v>0</v>
      </c>
      <c r="L6" s="60">
        <v>3</v>
      </c>
      <c r="M6" s="29" t="s">
        <v>216</v>
      </c>
      <c r="N6" s="60">
        <v>0</v>
      </c>
      <c r="P6" s="29">
        <v>2</v>
      </c>
      <c r="Q6" s="29">
        <v>1</v>
      </c>
      <c r="R6" s="29">
        <v>20</v>
      </c>
      <c r="S6" s="29">
        <v>8</v>
      </c>
      <c r="T6" s="29" t="s">
        <v>217</v>
      </c>
      <c r="U6" s="29">
        <v>0</v>
      </c>
      <c r="X6" s="29">
        <v>0</v>
      </c>
      <c r="Y6" s="29">
        <v>0</v>
      </c>
      <c r="Z6" s="29">
        <v>2</v>
      </c>
      <c r="AA6" s="29">
        <v>6</v>
      </c>
      <c r="AB6" s="29">
        <v>2</v>
      </c>
      <c r="AC6" s="29">
        <v>1</v>
      </c>
      <c r="AD6" s="29">
        <v>0</v>
      </c>
      <c r="AE6" s="29">
        <f t="shared" si="2"/>
        <v>11</v>
      </c>
      <c r="AF6" s="29">
        <v>0</v>
      </c>
      <c r="AG6" s="29">
        <v>1</v>
      </c>
      <c r="AH6" s="29" t="s">
        <v>218</v>
      </c>
      <c r="AI6" s="29">
        <v>2</v>
      </c>
      <c r="AN6" s="29">
        <f t="shared" si="3"/>
        <v>2</v>
      </c>
      <c r="AO6" s="29">
        <v>0</v>
      </c>
      <c r="AX6" s="30"/>
      <c r="AY6" s="29">
        <v>1</v>
      </c>
      <c r="AZ6" s="29">
        <v>18</v>
      </c>
      <c r="BB6" s="29">
        <v>2</v>
      </c>
      <c r="BC6" s="29">
        <v>0</v>
      </c>
      <c r="BD6" s="29">
        <v>0</v>
      </c>
      <c r="BE6" s="29">
        <v>0</v>
      </c>
      <c r="BF6" s="29">
        <v>0</v>
      </c>
      <c r="BG6" s="29">
        <v>1</v>
      </c>
      <c r="BH6" s="29">
        <v>2</v>
      </c>
      <c r="BI6" s="29">
        <v>1</v>
      </c>
      <c r="BJ6" s="29">
        <v>1</v>
      </c>
      <c r="BK6" s="29">
        <v>0</v>
      </c>
      <c r="BL6" s="29">
        <v>0</v>
      </c>
      <c r="BM6" s="29">
        <v>0</v>
      </c>
      <c r="BN6" s="29">
        <v>0</v>
      </c>
      <c r="BO6" s="29">
        <v>0</v>
      </c>
      <c r="BP6" s="29">
        <v>0</v>
      </c>
      <c r="BQ6" s="29">
        <v>0</v>
      </c>
      <c r="BR6" s="29" t="s">
        <v>219</v>
      </c>
    </row>
    <row r="7" spans="1:70">
      <c r="A7" s="29" t="s">
        <v>44</v>
      </c>
      <c r="B7" s="59">
        <v>42640</v>
      </c>
      <c r="C7" s="29">
        <v>0</v>
      </c>
      <c r="D7" s="59">
        <v>41326</v>
      </c>
      <c r="E7" s="32">
        <f t="shared" si="0"/>
        <v>3.6</v>
      </c>
      <c r="F7" s="60">
        <v>7</v>
      </c>
      <c r="G7" s="60">
        <v>11</v>
      </c>
      <c r="H7" s="32">
        <f t="shared" si="1"/>
        <v>7.6875</v>
      </c>
      <c r="I7" s="60">
        <v>1</v>
      </c>
      <c r="J7" s="60">
        <v>0</v>
      </c>
      <c r="K7" s="60">
        <v>0</v>
      </c>
      <c r="L7" s="60">
        <v>0</v>
      </c>
      <c r="M7" s="60"/>
      <c r="N7" s="60">
        <v>1</v>
      </c>
      <c r="O7" s="29" t="s">
        <v>220</v>
      </c>
      <c r="P7" s="29">
        <v>0</v>
      </c>
      <c r="Q7" s="29">
        <v>3</v>
      </c>
      <c r="R7" s="29">
        <v>3</v>
      </c>
      <c r="S7" s="32">
        <v>5.5</v>
      </c>
      <c r="T7" s="29" t="s">
        <v>221</v>
      </c>
      <c r="U7" s="29">
        <v>1</v>
      </c>
      <c r="V7" s="29">
        <v>5</v>
      </c>
      <c r="W7" s="30">
        <v>5</v>
      </c>
      <c r="X7" s="29">
        <v>0</v>
      </c>
      <c r="Y7" s="29">
        <v>0</v>
      </c>
      <c r="Z7" s="29">
        <v>0</v>
      </c>
      <c r="AA7" s="29">
        <v>0</v>
      </c>
      <c r="AB7" s="29">
        <v>0</v>
      </c>
      <c r="AC7" s="29">
        <v>0</v>
      </c>
      <c r="AD7" s="29">
        <v>0</v>
      </c>
      <c r="AE7" s="29">
        <f t="shared" si="2"/>
        <v>0</v>
      </c>
      <c r="AF7" s="29">
        <v>0</v>
      </c>
      <c r="AG7" s="29">
        <v>1</v>
      </c>
      <c r="AH7" s="29" t="s">
        <v>214</v>
      </c>
      <c r="AI7" s="29">
        <v>3</v>
      </c>
      <c r="AJ7" s="29" t="s">
        <v>222</v>
      </c>
      <c r="AK7" s="29">
        <v>2</v>
      </c>
      <c r="AL7" s="29" t="s">
        <v>223</v>
      </c>
      <c r="AM7" s="29">
        <v>2</v>
      </c>
      <c r="AN7" s="29">
        <f t="shared" si="3"/>
        <v>3</v>
      </c>
      <c r="AO7" s="29">
        <v>0</v>
      </c>
      <c r="AX7" s="30"/>
      <c r="AY7" s="29">
        <v>3</v>
      </c>
      <c r="BB7" s="29">
        <v>2</v>
      </c>
      <c r="BC7" s="29">
        <v>0</v>
      </c>
      <c r="BD7" s="29">
        <v>0</v>
      </c>
      <c r="BE7" s="29">
        <v>0</v>
      </c>
      <c r="BF7" s="29">
        <v>1</v>
      </c>
      <c r="BG7" s="29">
        <v>0</v>
      </c>
      <c r="BH7" s="29">
        <v>2</v>
      </c>
      <c r="BI7" s="29">
        <v>1</v>
      </c>
      <c r="BJ7" s="29">
        <v>0</v>
      </c>
      <c r="BK7" s="29">
        <v>0</v>
      </c>
      <c r="BL7" s="29">
        <v>1</v>
      </c>
      <c r="BM7" s="29">
        <v>0</v>
      </c>
      <c r="BN7" s="29">
        <v>0</v>
      </c>
      <c r="BO7" s="29">
        <f>-BN108</f>
        <v>0</v>
      </c>
      <c r="BP7" s="29">
        <v>0</v>
      </c>
      <c r="BQ7" s="29">
        <v>0</v>
      </c>
      <c r="BR7" s="29" t="s">
        <v>224</v>
      </c>
    </row>
    <row r="8" spans="1:70">
      <c r="A8" s="29" t="s">
        <v>45</v>
      </c>
      <c r="B8" s="59">
        <v>42670</v>
      </c>
      <c r="C8" s="29">
        <v>0</v>
      </c>
      <c r="D8" s="59">
        <v>41527</v>
      </c>
      <c r="E8" s="32">
        <f t="shared" si="0"/>
        <v>3.1305555555555555</v>
      </c>
      <c r="F8" s="60">
        <v>8</v>
      </c>
      <c r="G8" s="60">
        <v>4</v>
      </c>
      <c r="H8" s="32">
        <f t="shared" si="1"/>
        <v>8.25</v>
      </c>
      <c r="I8" s="60">
        <v>0</v>
      </c>
      <c r="J8" s="60">
        <v>0</v>
      </c>
      <c r="K8" s="60">
        <v>0</v>
      </c>
      <c r="L8" s="60">
        <v>0</v>
      </c>
      <c r="M8" s="60"/>
      <c r="N8" s="60">
        <v>0</v>
      </c>
      <c r="P8" s="29">
        <v>3</v>
      </c>
      <c r="Q8" s="29">
        <v>0</v>
      </c>
      <c r="R8" s="29">
        <v>8</v>
      </c>
      <c r="S8" s="29">
        <v>6</v>
      </c>
      <c r="T8" s="29" t="s">
        <v>212</v>
      </c>
      <c r="U8" s="29">
        <v>0</v>
      </c>
      <c r="X8" s="29">
        <v>0</v>
      </c>
      <c r="Y8" s="29">
        <v>0</v>
      </c>
      <c r="Z8" s="29">
        <v>0</v>
      </c>
      <c r="AE8" s="29">
        <f t="shared" si="2"/>
        <v>0</v>
      </c>
      <c r="AF8" s="29">
        <v>0</v>
      </c>
      <c r="AG8" s="29">
        <v>0</v>
      </c>
      <c r="AN8" s="29">
        <f t="shared" si="3"/>
        <v>0</v>
      </c>
      <c r="AO8" s="29">
        <v>0</v>
      </c>
      <c r="AY8" s="29">
        <v>2</v>
      </c>
      <c r="BA8" s="29">
        <v>24</v>
      </c>
      <c r="BB8" s="29">
        <v>2</v>
      </c>
      <c r="BC8" s="29">
        <v>0</v>
      </c>
      <c r="BD8" s="29">
        <v>0</v>
      </c>
      <c r="BE8" s="29">
        <v>0</v>
      </c>
      <c r="BF8" s="29">
        <v>0</v>
      </c>
      <c r="BG8" s="29">
        <v>3</v>
      </c>
      <c r="BH8" s="29">
        <v>0</v>
      </c>
      <c r="BI8" s="29">
        <v>0</v>
      </c>
      <c r="BJ8" s="29">
        <v>0</v>
      </c>
      <c r="BK8" s="29">
        <v>0</v>
      </c>
      <c r="BL8" s="29">
        <v>0</v>
      </c>
      <c r="BM8" s="29">
        <v>0</v>
      </c>
      <c r="BN8" s="29">
        <v>1</v>
      </c>
      <c r="BO8" s="29">
        <v>0</v>
      </c>
      <c r="BP8" s="29">
        <v>0</v>
      </c>
      <c r="BQ8" s="29">
        <v>0</v>
      </c>
    </row>
    <row r="9" spans="1:70">
      <c r="A9" s="29" t="s">
        <v>112</v>
      </c>
      <c r="B9" s="59">
        <v>42645</v>
      </c>
      <c r="C9" s="29">
        <v>0</v>
      </c>
      <c r="D9" s="59">
        <v>40851</v>
      </c>
      <c r="E9" s="32">
        <f t="shared" si="0"/>
        <v>4.9111111111111114</v>
      </c>
      <c r="F9" s="60">
        <v>6</v>
      </c>
      <c r="G9" s="60">
        <v>3</v>
      </c>
      <c r="H9" s="32">
        <f t="shared" si="1"/>
        <v>6.1875</v>
      </c>
      <c r="I9" s="60">
        <v>1</v>
      </c>
      <c r="J9" s="60">
        <v>0</v>
      </c>
      <c r="K9" s="60">
        <v>0</v>
      </c>
      <c r="L9" s="60">
        <v>2</v>
      </c>
      <c r="M9" s="60" t="s">
        <v>225</v>
      </c>
      <c r="N9" s="60">
        <v>2</v>
      </c>
      <c r="O9" s="60" t="s">
        <v>226</v>
      </c>
      <c r="P9" s="60">
        <v>7</v>
      </c>
      <c r="Q9" s="60">
        <v>2</v>
      </c>
      <c r="R9" s="60">
        <v>3</v>
      </c>
      <c r="S9" s="60">
        <v>6</v>
      </c>
      <c r="T9" s="29" t="s">
        <v>227</v>
      </c>
      <c r="X9" s="29">
        <v>0</v>
      </c>
      <c r="Y9" s="29">
        <v>80</v>
      </c>
      <c r="Z9" s="29">
        <v>0</v>
      </c>
      <c r="AA9" s="29">
        <v>0</v>
      </c>
      <c r="AB9" s="29">
        <v>1</v>
      </c>
      <c r="AC9" s="29">
        <v>3</v>
      </c>
      <c r="AD9" s="29">
        <v>3</v>
      </c>
      <c r="AE9" s="29">
        <f t="shared" si="2"/>
        <v>7</v>
      </c>
      <c r="AF9" s="29">
        <v>0</v>
      </c>
      <c r="AG9" s="29">
        <v>1</v>
      </c>
      <c r="AH9" s="29" t="s">
        <v>214</v>
      </c>
      <c r="AI9" s="29">
        <v>1</v>
      </c>
      <c r="AJ9" s="29" t="s">
        <v>228</v>
      </c>
      <c r="AK9" s="29">
        <v>1</v>
      </c>
      <c r="AL9" s="29" t="s">
        <v>229</v>
      </c>
      <c r="AM9" s="29">
        <v>1</v>
      </c>
      <c r="AN9" s="29">
        <f t="shared" si="3"/>
        <v>1</v>
      </c>
      <c r="AO9" s="29">
        <v>0</v>
      </c>
      <c r="AY9" s="29">
        <v>1</v>
      </c>
      <c r="AZ9" s="29">
        <v>20</v>
      </c>
      <c r="BB9" s="29">
        <v>1</v>
      </c>
      <c r="BC9" s="29">
        <v>0</v>
      </c>
      <c r="BD9" s="29">
        <v>0</v>
      </c>
      <c r="BE9" s="29">
        <v>1</v>
      </c>
      <c r="BF9" s="29">
        <v>0</v>
      </c>
      <c r="BG9" s="29">
        <v>0</v>
      </c>
      <c r="BH9" s="29">
        <v>2</v>
      </c>
      <c r="BI9" s="29">
        <v>0</v>
      </c>
      <c r="BJ9" s="29">
        <v>0</v>
      </c>
      <c r="BK9" s="29">
        <v>0</v>
      </c>
      <c r="BL9" s="29">
        <v>0</v>
      </c>
      <c r="BM9" s="29">
        <v>0</v>
      </c>
      <c r="BN9" s="29">
        <v>0</v>
      </c>
      <c r="BO9" s="29">
        <v>0</v>
      </c>
      <c r="BP9" s="29">
        <v>2</v>
      </c>
      <c r="BQ9" s="29">
        <v>0</v>
      </c>
    </row>
    <row r="10" spans="1:70">
      <c r="A10" s="29" t="s">
        <v>48</v>
      </c>
      <c r="B10" s="59">
        <v>42631</v>
      </c>
      <c r="C10" s="29">
        <v>0</v>
      </c>
      <c r="D10" s="59">
        <v>41273</v>
      </c>
      <c r="E10" s="32">
        <f t="shared" si="0"/>
        <v>3.7166666666666668</v>
      </c>
      <c r="F10" s="60">
        <v>7</v>
      </c>
      <c r="G10" s="60">
        <v>13</v>
      </c>
      <c r="H10" s="32">
        <f t="shared" si="1"/>
        <v>7.8125</v>
      </c>
      <c r="I10" s="60">
        <v>1</v>
      </c>
      <c r="J10" s="60">
        <v>1</v>
      </c>
      <c r="K10" s="60">
        <v>3</v>
      </c>
      <c r="L10" s="60">
        <v>2</v>
      </c>
      <c r="M10" s="60" t="s">
        <v>230</v>
      </c>
      <c r="N10" s="60">
        <v>2</v>
      </c>
      <c r="O10" s="60" t="s">
        <v>231</v>
      </c>
      <c r="P10" s="60">
        <v>4</v>
      </c>
      <c r="Q10" s="60">
        <v>6</v>
      </c>
      <c r="R10" s="60">
        <v>12</v>
      </c>
      <c r="S10" s="60">
        <v>6</v>
      </c>
      <c r="T10" s="29" t="s">
        <v>212</v>
      </c>
      <c r="U10" s="29">
        <v>1</v>
      </c>
      <c r="V10" s="29">
        <v>2</v>
      </c>
      <c r="W10" s="30">
        <v>2</v>
      </c>
      <c r="X10" s="29">
        <v>1</v>
      </c>
      <c r="Y10" s="29">
        <v>20</v>
      </c>
      <c r="Z10" s="29">
        <v>0</v>
      </c>
      <c r="AA10" s="29">
        <v>2</v>
      </c>
      <c r="AB10" s="29">
        <v>10</v>
      </c>
      <c r="AC10" s="29">
        <v>2</v>
      </c>
      <c r="AD10" s="29">
        <v>2</v>
      </c>
      <c r="AE10" s="29">
        <f t="shared" si="2"/>
        <v>16</v>
      </c>
      <c r="AF10" s="29">
        <v>0</v>
      </c>
      <c r="AG10" s="29">
        <v>0</v>
      </c>
      <c r="AN10" s="29">
        <f t="shared" si="3"/>
        <v>0</v>
      </c>
      <c r="AO10" s="29">
        <v>0</v>
      </c>
      <c r="AY10" s="29">
        <v>2</v>
      </c>
      <c r="BA10" s="29">
        <v>9.5</v>
      </c>
      <c r="BB10" s="29">
        <v>0</v>
      </c>
      <c r="BC10" s="29">
        <v>0</v>
      </c>
      <c r="BD10" s="29">
        <v>0</v>
      </c>
      <c r="BE10" s="29">
        <v>0</v>
      </c>
      <c r="BF10" s="29">
        <v>0</v>
      </c>
      <c r="BG10" s="29">
        <v>0</v>
      </c>
      <c r="BH10" s="29">
        <v>0</v>
      </c>
      <c r="BI10" s="29">
        <v>0</v>
      </c>
      <c r="BJ10" s="29">
        <v>0</v>
      </c>
      <c r="BK10" s="29">
        <v>0</v>
      </c>
      <c r="BL10" s="29">
        <v>0</v>
      </c>
      <c r="BM10" s="29">
        <v>0</v>
      </c>
      <c r="BN10" s="29">
        <v>2</v>
      </c>
      <c r="BO10" s="29">
        <v>2</v>
      </c>
      <c r="BP10" s="29">
        <v>0</v>
      </c>
      <c r="BQ10" s="29">
        <v>0</v>
      </c>
    </row>
    <row r="11" spans="1:70">
      <c r="A11" s="29" t="s">
        <v>49</v>
      </c>
      <c r="B11" s="59">
        <v>42638</v>
      </c>
      <c r="C11" s="29">
        <v>0</v>
      </c>
      <c r="D11" s="59">
        <v>41155</v>
      </c>
      <c r="E11" s="32">
        <f t="shared" si="0"/>
        <v>4.0611111111111109</v>
      </c>
      <c r="F11" s="60">
        <v>9</v>
      </c>
      <c r="G11" s="60">
        <v>8</v>
      </c>
      <c r="H11" s="32">
        <f t="shared" si="1"/>
        <v>9.5</v>
      </c>
      <c r="I11" s="60">
        <v>1</v>
      </c>
      <c r="J11" s="60">
        <v>0</v>
      </c>
      <c r="K11" s="60">
        <v>0</v>
      </c>
      <c r="L11" s="60">
        <v>0</v>
      </c>
      <c r="M11" s="60"/>
      <c r="N11" s="60">
        <v>1</v>
      </c>
      <c r="O11" s="60" t="s">
        <v>232</v>
      </c>
      <c r="P11" s="60">
        <v>13</v>
      </c>
      <c r="Q11" s="60">
        <v>0</v>
      </c>
      <c r="R11" s="60">
        <v>0</v>
      </c>
      <c r="S11" s="60">
        <v>4</v>
      </c>
      <c r="T11" s="29" t="s">
        <v>233</v>
      </c>
      <c r="U11" s="29">
        <v>1</v>
      </c>
      <c r="V11" s="30">
        <v>-104</v>
      </c>
      <c r="W11" s="30">
        <v>0</v>
      </c>
      <c r="X11" s="29">
        <v>0</v>
      </c>
      <c r="Y11" s="29">
        <v>10</v>
      </c>
      <c r="AE11" s="29">
        <f t="shared" si="2"/>
        <v>0</v>
      </c>
      <c r="AF11" s="29">
        <v>1</v>
      </c>
      <c r="AG11" s="29">
        <v>0</v>
      </c>
      <c r="AN11" s="29">
        <f t="shared" si="3"/>
        <v>0</v>
      </c>
      <c r="AO11" s="29">
        <v>0</v>
      </c>
      <c r="AY11" s="30">
        <v>3</v>
      </c>
      <c r="BB11" s="29">
        <v>0</v>
      </c>
      <c r="BC11" s="29">
        <v>0</v>
      </c>
      <c r="BD11" s="29">
        <v>0</v>
      </c>
      <c r="BE11" s="29">
        <v>0</v>
      </c>
      <c r="BF11" s="29">
        <v>0</v>
      </c>
      <c r="BG11" s="29">
        <v>0</v>
      </c>
      <c r="BH11" s="29">
        <v>0</v>
      </c>
      <c r="BI11" s="29">
        <v>0</v>
      </c>
      <c r="BJ11" s="29">
        <v>0</v>
      </c>
      <c r="BK11" s="29">
        <v>2</v>
      </c>
      <c r="BL11" s="29">
        <v>0</v>
      </c>
      <c r="BM11" s="29">
        <v>0</v>
      </c>
      <c r="BN11" s="29">
        <v>1</v>
      </c>
      <c r="BO11" s="29">
        <v>2</v>
      </c>
      <c r="BP11" s="29">
        <v>1</v>
      </c>
      <c r="BQ11" s="29">
        <v>1</v>
      </c>
      <c r="BR11" s="29" t="s">
        <v>234</v>
      </c>
    </row>
    <row r="12" spans="1:70">
      <c r="A12" s="29" t="s">
        <v>50</v>
      </c>
      <c r="B12" s="59">
        <v>42705</v>
      </c>
      <c r="C12" s="29">
        <v>0</v>
      </c>
      <c r="D12" s="59">
        <v>40965</v>
      </c>
      <c r="E12" s="32">
        <f t="shared" si="0"/>
        <v>4.7638888888888893</v>
      </c>
      <c r="F12" s="60">
        <v>9</v>
      </c>
      <c r="G12" s="60">
        <v>3</v>
      </c>
      <c r="H12" s="32">
        <f t="shared" si="1"/>
        <v>9.1875</v>
      </c>
      <c r="I12" s="60">
        <v>0</v>
      </c>
      <c r="J12" s="60">
        <v>0</v>
      </c>
      <c r="K12" s="60">
        <v>0</v>
      </c>
      <c r="L12" s="60">
        <v>1</v>
      </c>
      <c r="M12" s="29" t="s">
        <v>235</v>
      </c>
      <c r="N12" s="60">
        <v>1</v>
      </c>
      <c r="O12" s="60" t="s">
        <v>236</v>
      </c>
      <c r="P12" s="60">
        <v>16</v>
      </c>
      <c r="Q12" s="60">
        <v>0</v>
      </c>
      <c r="R12" s="60">
        <v>0</v>
      </c>
      <c r="S12" s="60">
        <v>8</v>
      </c>
      <c r="T12" s="29" t="s">
        <v>237</v>
      </c>
      <c r="U12" s="29">
        <v>1</v>
      </c>
      <c r="V12" s="29">
        <v>6</v>
      </c>
      <c r="W12" s="30">
        <v>6</v>
      </c>
      <c r="X12" s="29">
        <v>0</v>
      </c>
      <c r="Y12" s="29">
        <v>25</v>
      </c>
      <c r="Z12" s="29">
        <v>0</v>
      </c>
      <c r="AA12" s="29">
        <v>0</v>
      </c>
      <c r="AB12" s="29">
        <v>0</v>
      </c>
      <c r="AC12" s="29">
        <v>0</v>
      </c>
      <c r="AD12" s="29">
        <v>0</v>
      </c>
      <c r="AE12" s="29">
        <f t="shared" si="2"/>
        <v>0</v>
      </c>
      <c r="AF12" s="29">
        <v>0</v>
      </c>
      <c r="AG12" s="29">
        <v>0</v>
      </c>
      <c r="AN12" s="29">
        <f t="shared" si="3"/>
        <v>0</v>
      </c>
      <c r="AO12" s="29">
        <v>0</v>
      </c>
      <c r="AY12" s="29">
        <v>2</v>
      </c>
      <c r="BA12" s="29">
        <v>6</v>
      </c>
      <c r="BB12" s="29">
        <v>0</v>
      </c>
      <c r="BC12" s="29">
        <v>0</v>
      </c>
      <c r="BD12" s="29">
        <v>0</v>
      </c>
      <c r="BE12" s="29">
        <v>0</v>
      </c>
      <c r="BF12" s="29">
        <v>0</v>
      </c>
      <c r="BG12" s="29">
        <v>2</v>
      </c>
      <c r="BH12" s="29">
        <v>0</v>
      </c>
      <c r="BI12" s="29">
        <v>0</v>
      </c>
      <c r="BJ12" s="29">
        <v>0</v>
      </c>
      <c r="BK12" s="29">
        <v>0</v>
      </c>
      <c r="BL12" s="29">
        <v>1</v>
      </c>
      <c r="BM12" s="29">
        <v>0</v>
      </c>
      <c r="BN12" s="29">
        <v>0</v>
      </c>
      <c r="BP12" s="29">
        <v>0</v>
      </c>
      <c r="BQ12" s="29">
        <v>0</v>
      </c>
    </row>
    <row r="13" spans="1:70">
      <c r="A13" s="29" t="s">
        <v>51</v>
      </c>
      <c r="B13" s="59">
        <v>42632</v>
      </c>
      <c r="C13" s="29">
        <v>0</v>
      </c>
      <c r="D13" s="59">
        <v>40734</v>
      </c>
      <c r="E13" s="32">
        <f t="shared" si="0"/>
        <v>5.1916666666666664</v>
      </c>
      <c r="F13" s="60">
        <v>9</v>
      </c>
      <c r="G13" s="60">
        <v>11</v>
      </c>
      <c r="H13" s="32">
        <f t="shared" si="1"/>
        <v>9.6875</v>
      </c>
      <c r="I13" s="60">
        <v>1</v>
      </c>
      <c r="J13" s="60">
        <v>0</v>
      </c>
      <c r="K13" s="60"/>
      <c r="L13" s="60">
        <v>0</v>
      </c>
      <c r="N13" s="60">
        <v>1</v>
      </c>
      <c r="O13" s="60" t="s">
        <v>238</v>
      </c>
      <c r="P13" s="60">
        <v>3</v>
      </c>
      <c r="Q13" s="60">
        <v>8</v>
      </c>
      <c r="R13" s="60">
        <v>4</v>
      </c>
      <c r="S13" s="60">
        <v>6</v>
      </c>
      <c r="T13" s="29" t="s">
        <v>239</v>
      </c>
      <c r="U13" s="29">
        <v>1</v>
      </c>
      <c r="V13" s="29">
        <v>-4</v>
      </c>
      <c r="W13" s="30">
        <v>0</v>
      </c>
      <c r="X13" s="29">
        <v>0</v>
      </c>
      <c r="Y13" s="29">
        <v>50</v>
      </c>
      <c r="Z13" s="29">
        <v>0</v>
      </c>
      <c r="AA13" s="29">
        <v>1</v>
      </c>
      <c r="AB13" s="29">
        <v>1</v>
      </c>
      <c r="AC13" s="29">
        <v>1</v>
      </c>
      <c r="AD13" s="29">
        <v>1</v>
      </c>
      <c r="AE13" s="29">
        <f t="shared" si="2"/>
        <v>4</v>
      </c>
      <c r="AF13" s="29">
        <v>0</v>
      </c>
      <c r="AG13" s="29">
        <v>0</v>
      </c>
      <c r="AN13" s="29">
        <f t="shared" si="3"/>
        <v>0</v>
      </c>
      <c r="AO13" s="29">
        <v>0</v>
      </c>
      <c r="AY13" s="29">
        <v>2</v>
      </c>
      <c r="BA13" s="29">
        <v>28</v>
      </c>
      <c r="BB13" s="29">
        <v>0</v>
      </c>
      <c r="BC13" s="29">
        <v>0</v>
      </c>
      <c r="BD13" s="29">
        <v>0</v>
      </c>
      <c r="BE13" s="29">
        <v>0</v>
      </c>
      <c r="BF13" s="29">
        <v>0</v>
      </c>
      <c r="BG13" s="29">
        <v>0</v>
      </c>
      <c r="BH13" s="29">
        <v>0</v>
      </c>
      <c r="BI13" s="29">
        <v>0</v>
      </c>
      <c r="BJ13" s="29">
        <v>0</v>
      </c>
      <c r="BK13" s="29">
        <v>0</v>
      </c>
      <c r="BL13" s="29">
        <v>0</v>
      </c>
      <c r="BM13" s="29">
        <v>0</v>
      </c>
      <c r="BN13" s="29">
        <v>0</v>
      </c>
      <c r="BO13" s="29">
        <v>0</v>
      </c>
      <c r="BP13" s="29">
        <v>0</v>
      </c>
      <c r="BQ13" s="29">
        <v>0</v>
      </c>
    </row>
    <row r="14" spans="1:70">
      <c r="A14" s="29" t="s">
        <v>52</v>
      </c>
      <c r="C14" s="30">
        <v>1</v>
      </c>
      <c r="E14" s="32"/>
      <c r="F14" s="60"/>
      <c r="G14" s="60"/>
      <c r="H14" s="32"/>
      <c r="I14" s="60"/>
      <c r="J14" s="60"/>
      <c r="K14" s="60"/>
      <c r="L14" s="60"/>
      <c r="AE14" s="29">
        <f t="shared" si="2"/>
        <v>0</v>
      </c>
      <c r="AN14" s="29">
        <f t="shared" si="3"/>
        <v>0</v>
      </c>
    </row>
    <row r="15" spans="1:70">
      <c r="A15" s="30" t="s">
        <v>53</v>
      </c>
      <c r="B15" s="59">
        <v>42811</v>
      </c>
      <c r="C15" s="29">
        <v>0</v>
      </c>
      <c r="D15" s="59">
        <v>40711</v>
      </c>
      <c r="E15" s="32">
        <f t="shared" si="0"/>
        <v>5.75</v>
      </c>
      <c r="F15" s="60">
        <v>8</v>
      </c>
      <c r="G15" s="60">
        <v>5</v>
      </c>
      <c r="H15" s="32">
        <f t="shared" si="1"/>
        <v>8.3125</v>
      </c>
      <c r="I15" s="60">
        <v>0</v>
      </c>
      <c r="J15" s="60">
        <v>1</v>
      </c>
      <c r="K15" s="60">
        <v>37</v>
      </c>
      <c r="L15" s="60">
        <v>1</v>
      </c>
      <c r="M15" s="29" t="s">
        <v>240</v>
      </c>
      <c r="N15" s="29">
        <v>1</v>
      </c>
      <c r="O15" s="29" t="s">
        <v>241</v>
      </c>
      <c r="P15" s="29">
        <v>6</v>
      </c>
      <c r="Q15" s="29">
        <v>6</v>
      </c>
      <c r="R15" s="29">
        <v>0</v>
      </c>
      <c r="S15" s="29">
        <v>6</v>
      </c>
      <c r="T15" s="29" t="s">
        <v>212</v>
      </c>
      <c r="U15" s="29">
        <v>1</v>
      </c>
      <c r="V15" s="29">
        <v>-52</v>
      </c>
      <c r="W15" s="30">
        <v>0</v>
      </c>
      <c r="X15" s="29">
        <v>1</v>
      </c>
      <c r="Y15" s="29">
        <v>25</v>
      </c>
      <c r="Z15" s="29">
        <v>0</v>
      </c>
      <c r="AA15" s="29">
        <v>2</v>
      </c>
      <c r="AB15" s="29">
        <v>3</v>
      </c>
      <c r="AC15" s="29">
        <v>4</v>
      </c>
      <c r="AD15" s="29">
        <v>3</v>
      </c>
      <c r="AE15" s="29">
        <f t="shared" si="2"/>
        <v>12</v>
      </c>
      <c r="AF15" s="29">
        <v>0</v>
      </c>
      <c r="AG15" s="29">
        <v>0</v>
      </c>
      <c r="AN15" s="29">
        <f t="shared" si="3"/>
        <v>0</v>
      </c>
      <c r="AO15" s="29">
        <v>1</v>
      </c>
      <c r="AP15" s="29" t="s">
        <v>242</v>
      </c>
      <c r="AQ15" s="29">
        <v>1</v>
      </c>
      <c r="AX15" s="29">
        <v>1</v>
      </c>
      <c r="AY15" s="29">
        <v>1</v>
      </c>
      <c r="AZ15" s="29">
        <v>19</v>
      </c>
      <c r="BB15" s="29">
        <v>0</v>
      </c>
      <c r="BC15" s="29">
        <v>0</v>
      </c>
      <c r="BD15" s="29">
        <v>0</v>
      </c>
      <c r="BE15" s="29">
        <v>0</v>
      </c>
      <c r="BF15" s="29">
        <v>0</v>
      </c>
      <c r="BG15" s="29">
        <v>0</v>
      </c>
      <c r="BH15" s="29">
        <v>0</v>
      </c>
      <c r="BI15" s="29">
        <v>0</v>
      </c>
      <c r="BJ15" s="29">
        <v>0</v>
      </c>
      <c r="BK15" s="29">
        <v>0</v>
      </c>
      <c r="BL15" s="29">
        <v>0</v>
      </c>
      <c r="BM15" s="29">
        <v>0</v>
      </c>
      <c r="BN15" s="29">
        <v>0</v>
      </c>
      <c r="BO15" s="29">
        <v>0</v>
      </c>
      <c r="BP15" s="29">
        <v>0</v>
      </c>
      <c r="BQ15" s="29">
        <v>0</v>
      </c>
    </row>
    <row r="16" spans="1:70">
      <c r="A16" s="29" t="s">
        <v>54</v>
      </c>
      <c r="B16" s="59">
        <v>42764</v>
      </c>
      <c r="C16" s="60">
        <v>0</v>
      </c>
      <c r="D16" s="59">
        <v>41327</v>
      </c>
      <c r="E16" s="32">
        <f t="shared" si="0"/>
        <v>3.9361111111111109</v>
      </c>
      <c r="F16" s="60">
        <v>8</v>
      </c>
      <c r="G16" s="60">
        <v>3</v>
      </c>
      <c r="H16" s="32">
        <f t="shared" si="1"/>
        <v>8.1875</v>
      </c>
      <c r="I16" s="60">
        <v>1</v>
      </c>
      <c r="J16" s="60">
        <v>0</v>
      </c>
      <c r="K16" s="60">
        <v>0</v>
      </c>
      <c r="L16" s="60">
        <v>0</v>
      </c>
      <c r="N16" s="29">
        <v>0</v>
      </c>
      <c r="P16" s="29">
        <v>1</v>
      </c>
      <c r="Q16" s="29">
        <v>12</v>
      </c>
      <c r="R16" s="29">
        <v>7</v>
      </c>
      <c r="S16" s="29">
        <v>6</v>
      </c>
      <c r="T16" s="29" t="s">
        <v>212</v>
      </c>
      <c r="U16" s="29">
        <v>1</v>
      </c>
      <c r="V16" s="29">
        <v>-20</v>
      </c>
      <c r="W16" s="30">
        <v>0</v>
      </c>
      <c r="X16" s="29">
        <v>0</v>
      </c>
      <c r="Y16" s="29">
        <v>0</v>
      </c>
      <c r="Z16" s="29">
        <v>0</v>
      </c>
      <c r="AA16" s="29">
        <v>0</v>
      </c>
      <c r="AB16" s="29">
        <v>0</v>
      </c>
      <c r="AC16" s="29">
        <v>0</v>
      </c>
      <c r="AD16" s="29">
        <v>0</v>
      </c>
      <c r="AE16" s="29">
        <f t="shared" si="2"/>
        <v>0</v>
      </c>
      <c r="AF16" s="29">
        <v>0</v>
      </c>
      <c r="AG16" s="29">
        <v>0</v>
      </c>
      <c r="AN16" s="29">
        <f t="shared" si="3"/>
        <v>0</v>
      </c>
      <c r="AO16" s="29">
        <v>0</v>
      </c>
      <c r="AY16" s="29">
        <v>1</v>
      </c>
      <c r="AZ16" s="29">
        <v>14</v>
      </c>
      <c r="BB16" s="29">
        <v>0</v>
      </c>
      <c r="BC16" s="29">
        <v>0</v>
      </c>
      <c r="BD16" s="29">
        <v>0</v>
      </c>
      <c r="BE16" s="29">
        <v>0</v>
      </c>
      <c r="BF16" s="29">
        <v>0</v>
      </c>
      <c r="BG16" s="29">
        <v>0</v>
      </c>
      <c r="BH16" s="29">
        <v>0</v>
      </c>
      <c r="BI16" s="29">
        <v>0</v>
      </c>
      <c r="BJ16" s="29">
        <v>1</v>
      </c>
      <c r="BK16" s="29">
        <v>0</v>
      </c>
      <c r="BL16" s="29">
        <v>0</v>
      </c>
      <c r="BM16" s="29">
        <v>1</v>
      </c>
      <c r="BN16" s="29">
        <v>0</v>
      </c>
      <c r="BO16" s="29">
        <v>1</v>
      </c>
      <c r="BP16" s="29">
        <v>0</v>
      </c>
      <c r="BQ16" s="29">
        <v>0</v>
      </c>
      <c r="BR16" s="29" t="s">
        <v>243</v>
      </c>
    </row>
    <row r="17" spans="1:70">
      <c r="A17" s="29" t="s">
        <v>113</v>
      </c>
      <c r="B17" s="59">
        <v>42689</v>
      </c>
      <c r="C17" s="29">
        <v>0</v>
      </c>
      <c r="D17" s="59">
        <v>40872</v>
      </c>
      <c r="E17" s="32">
        <f t="shared" si="0"/>
        <v>4.9722222222222223</v>
      </c>
      <c r="F17" s="60">
        <v>8</v>
      </c>
      <c r="G17" s="60">
        <v>3</v>
      </c>
      <c r="H17" s="32">
        <f t="shared" si="1"/>
        <v>8.1875</v>
      </c>
      <c r="I17" s="60">
        <v>0</v>
      </c>
      <c r="J17" s="60">
        <v>0</v>
      </c>
      <c r="K17" s="60">
        <v>0</v>
      </c>
      <c r="L17" s="60">
        <v>0</v>
      </c>
      <c r="N17" s="29">
        <v>0</v>
      </c>
      <c r="P17" s="29">
        <v>8</v>
      </c>
      <c r="Q17" s="29">
        <v>1</v>
      </c>
      <c r="R17" s="29">
        <v>3</v>
      </c>
      <c r="S17" s="29">
        <v>7</v>
      </c>
      <c r="T17" s="29" t="s">
        <v>212</v>
      </c>
      <c r="U17" s="29">
        <v>1</v>
      </c>
      <c r="V17" s="30">
        <v>-52</v>
      </c>
      <c r="W17" s="30">
        <v>0</v>
      </c>
      <c r="X17" s="29">
        <v>0</v>
      </c>
      <c r="Y17" s="29">
        <v>0</v>
      </c>
      <c r="Z17" s="29">
        <v>0</v>
      </c>
      <c r="AA17" s="29">
        <v>0</v>
      </c>
      <c r="AB17" s="29">
        <v>2</v>
      </c>
      <c r="AC17" s="29">
        <v>2</v>
      </c>
      <c r="AD17" s="29">
        <v>1</v>
      </c>
      <c r="AE17" s="29">
        <f t="shared" si="2"/>
        <v>5</v>
      </c>
      <c r="AF17" s="29">
        <v>0</v>
      </c>
      <c r="AG17" s="29">
        <v>0</v>
      </c>
      <c r="AN17" s="29">
        <f t="shared" si="3"/>
        <v>0</v>
      </c>
      <c r="AO17" s="29">
        <v>0</v>
      </c>
      <c r="AY17" s="29">
        <v>2</v>
      </c>
      <c r="BA17" s="29">
        <v>18</v>
      </c>
      <c r="BB17" s="29">
        <v>0</v>
      </c>
      <c r="BC17" s="29">
        <v>0</v>
      </c>
      <c r="BD17" s="29">
        <v>0</v>
      </c>
      <c r="BE17" s="29">
        <v>0</v>
      </c>
      <c r="BF17" s="29">
        <v>0</v>
      </c>
      <c r="BG17" s="29">
        <v>1</v>
      </c>
      <c r="BH17" s="29">
        <v>2</v>
      </c>
      <c r="BI17" s="29">
        <v>0</v>
      </c>
      <c r="BJ17" s="29">
        <v>0</v>
      </c>
      <c r="BK17" s="29">
        <v>0</v>
      </c>
      <c r="BL17" s="29">
        <v>0</v>
      </c>
      <c r="BM17" s="29">
        <v>0</v>
      </c>
      <c r="BN17" s="29">
        <v>0</v>
      </c>
      <c r="BP17" s="29">
        <v>0</v>
      </c>
      <c r="BQ17" s="29">
        <v>0</v>
      </c>
    </row>
    <row r="18" spans="1:70">
      <c r="A18" s="29" t="s">
        <v>56</v>
      </c>
      <c r="B18" s="59">
        <v>42663</v>
      </c>
      <c r="C18" s="29">
        <v>0</v>
      </c>
      <c r="D18" s="59">
        <v>40526</v>
      </c>
      <c r="E18" s="32">
        <f t="shared" si="0"/>
        <v>5.85</v>
      </c>
      <c r="F18" s="60">
        <v>7</v>
      </c>
      <c r="G18" s="60">
        <v>8</v>
      </c>
      <c r="H18" s="32">
        <f t="shared" si="1"/>
        <v>7.5</v>
      </c>
      <c r="I18" s="60">
        <v>1</v>
      </c>
      <c r="J18" s="60">
        <v>0</v>
      </c>
      <c r="K18" s="60"/>
      <c r="L18" s="60">
        <v>1</v>
      </c>
      <c r="M18" s="29" t="s">
        <v>244</v>
      </c>
      <c r="N18" s="29">
        <v>1</v>
      </c>
      <c r="O18" s="29" t="s">
        <v>245</v>
      </c>
      <c r="P18" s="29">
        <v>9</v>
      </c>
      <c r="Q18" s="29">
        <v>1</v>
      </c>
      <c r="R18" s="29">
        <v>2</v>
      </c>
      <c r="S18" s="29">
        <v>5</v>
      </c>
      <c r="T18" s="29" t="s">
        <v>212</v>
      </c>
      <c r="U18" s="29">
        <v>1</v>
      </c>
      <c r="V18" s="30">
        <v>-52</v>
      </c>
      <c r="W18" s="30">
        <v>0</v>
      </c>
      <c r="X18" s="29">
        <v>0</v>
      </c>
      <c r="Y18" s="29">
        <v>10</v>
      </c>
      <c r="Z18" s="29">
        <v>0</v>
      </c>
      <c r="AA18" s="29">
        <v>0</v>
      </c>
      <c r="AB18" s="29">
        <v>0</v>
      </c>
      <c r="AC18" s="29">
        <v>0</v>
      </c>
      <c r="AD18" s="29">
        <v>1</v>
      </c>
      <c r="AE18" s="29">
        <f t="shared" si="2"/>
        <v>1</v>
      </c>
      <c r="AF18" s="29">
        <v>0</v>
      </c>
      <c r="AG18" s="29">
        <v>0</v>
      </c>
      <c r="AN18" s="29">
        <f t="shared" si="3"/>
        <v>0</v>
      </c>
      <c r="AO18" s="29">
        <v>0</v>
      </c>
      <c r="AY18" s="29">
        <v>1</v>
      </c>
      <c r="AZ18" s="29">
        <v>30</v>
      </c>
      <c r="BB18" s="29">
        <v>0</v>
      </c>
      <c r="BC18" s="29">
        <v>0</v>
      </c>
      <c r="BD18" s="29">
        <v>0</v>
      </c>
      <c r="BE18" s="29">
        <v>0</v>
      </c>
      <c r="BF18" s="29">
        <v>0</v>
      </c>
      <c r="BG18" s="29">
        <v>0</v>
      </c>
      <c r="BH18" s="29">
        <v>2</v>
      </c>
      <c r="BI18" s="29">
        <v>0</v>
      </c>
      <c r="BJ18" s="29">
        <v>0</v>
      </c>
      <c r="BK18" s="29">
        <v>0</v>
      </c>
      <c r="BL18" s="29">
        <v>1</v>
      </c>
      <c r="BM18" s="29">
        <v>0</v>
      </c>
      <c r="BN18" s="29">
        <v>1</v>
      </c>
      <c r="BO18" s="29">
        <v>1</v>
      </c>
      <c r="BP18" s="29">
        <v>2</v>
      </c>
      <c r="BQ18" s="29">
        <v>0</v>
      </c>
    </row>
    <row r="19" spans="1:70" s="30" customFormat="1">
      <c r="A19" s="30" t="s">
        <v>114</v>
      </c>
      <c r="B19" s="61">
        <v>42725</v>
      </c>
      <c r="C19" s="30">
        <v>1</v>
      </c>
      <c r="D19" s="61">
        <v>40487</v>
      </c>
      <c r="E19" s="32">
        <f t="shared" si="0"/>
        <v>6.1277777777777782</v>
      </c>
      <c r="F19" s="30">
        <v>6</v>
      </c>
      <c r="G19" s="62">
        <v>9</v>
      </c>
      <c r="H19" s="32">
        <f t="shared" si="1"/>
        <v>6.5625</v>
      </c>
      <c r="I19" s="62">
        <v>0</v>
      </c>
      <c r="J19" s="62">
        <v>0</v>
      </c>
      <c r="K19" s="62">
        <v>0</v>
      </c>
      <c r="L19" s="62">
        <v>0</v>
      </c>
      <c r="N19" s="30">
        <v>0</v>
      </c>
      <c r="P19" s="30">
        <v>4</v>
      </c>
      <c r="Q19" s="30">
        <v>2</v>
      </c>
      <c r="R19" s="30">
        <v>6</v>
      </c>
      <c r="S19" s="30">
        <v>9</v>
      </c>
      <c r="T19" s="30" t="s">
        <v>212</v>
      </c>
      <c r="U19" s="30">
        <v>1</v>
      </c>
      <c r="V19" s="30">
        <v>-8</v>
      </c>
      <c r="W19" s="30">
        <v>0</v>
      </c>
      <c r="X19" s="30">
        <v>1</v>
      </c>
      <c r="Y19" s="30">
        <v>5</v>
      </c>
      <c r="Z19" s="30">
        <v>1</v>
      </c>
      <c r="AA19" s="30">
        <v>2</v>
      </c>
      <c r="AB19" s="30">
        <v>1</v>
      </c>
      <c r="AC19" s="30">
        <v>1</v>
      </c>
      <c r="AD19" s="30">
        <v>0</v>
      </c>
      <c r="AE19" s="29">
        <f t="shared" si="2"/>
        <v>5</v>
      </c>
      <c r="AF19" s="30">
        <v>0</v>
      </c>
      <c r="AG19" s="30">
        <v>0</v>
      </c>
      <c r="AN19" s="29">
        <f t="shared" si="3"/>
        <v>0</v>
      </c>
      <c r="AO19" s="30">
        <v>0</v>
      </c>
      <c r="AY19" s="30">
        <v>2</v>
      </c>
      <c r="BA19" s="30">
        <v>20</v>
      </c>
      <c r="BB19" s="30">
        <v>0</v>
      </c>
      <c r="BC19" s="30">
        <v>0</v>
      </c>
      <c r="BD19" s="30">
        <v>0</v>
      </c>
      <c r="BE19" s="30">
        <v>0</v>
      </c>
      <c r="BF19" s="30">
        <v>0</v>
      </c>
      <c r="BG19" s="30">
        <v>0</v>
      </c>
      <c r="BH19" s="30">
        <v>0</v>
      </c>
      <c r="BI19" s="30">
        <v>0</v>
      </c>
      <c r="BJ19" s="30">
        <v>0</v>
      </c>
      <c r="BK19" s="30">
        <v>0</v>
      </c>
      <c r="BL19" s="30">
        <v>0</v>
      </c>
      <c r="BM19" s="30">
        <v>0</v>
      </c>
      <c r="BN19" s="30">
        <v>0</v>
      </c>
      <c r="BO19" s="30">
        <v>0</v>
      </c>
      <c r="BP19" s="30">
        <v>0</v>
      </c>
      <c r="BQ19" s="30">
        <v>0</v>
      </c>
    </row>
    <row r="20" spans="1:70">
      <c r="A20" s="29" t="s">
        <v>58</v>
      </c>
      <c r="B20" s="59">
        <v>42716</v>
      </c>
      <c r="C20" s="29">
        <v>0</v>
      </c>
      <c r="D20" s="59">
        <v>41292</v>
      </c>
      <c r="E20" s="32">
        <f t="shared" si="0"/>
        <v>3.9</v>
      </c>
      <c r="F20" s="29">
        <v>6</v>
      </c>
      <c r="G20" s="60">
        <v>2</v>
      </c>
      <c r="H20" s="32">
        <f t="shared" si="1"/>
        <v>6.125</v>
      </c>
      <c r="I20" s="60">
        <v>0</v>
      </c>
      <c r="J20" s="60">
        <v>0</v>
      </c>
      <c r="K20" s="60">
        <v>0</v>
      </c>
      <c r="L20" s="29">
        <v>1</v>
      </c>
      <c r="M20" s="29" t="s">
        <v>246</v>
      </c>
      <c r="N20" s="29">
        <v>1</v>
      </c>
      <c r="O20" s="29" t="s">
        <v>247</v>
      </c>
      <c r="P20" s="29">
        <v>10</v>
      </c>
      <c r="Q20" s="29">
        <v>2</v>
      </c>
      <c r="R20" s="29">
        <v>4</v>
      </c>
      <c r="S20" s="29">
        <v>7</v>
      </c>
      <c r="T20" s="29" t="s">
        <v>212</v>
      </c>
      <c r="U20" s="29">
        <v>1</v>
      </c>
      <c r="V20" s="63">
        <v>5</v>
      </c>
      <c r="W20" s="63">
        <v>5</v>
      </c>
      <c r="X20" s="29">
        <v>0</v>
      </c>
      <c r="Y20" s="29">
        <v>0</v>
      </c>
      <c r="Z20" s="29">
        <v>0</v>
      </c>
      <c r="AA20" s="29">
        <v>0</v>
      </c>
      <c r="AB20" s="29">
        <v>0</v>
      </c>
      <c r="AC20" s="29">
        <v>0</v>
      </c>
      <c r="AD20" s="29">
        <v>0</v>
      </c>
      <c r="AE20" s="29">
        <f t="shared" si="2"/>
        <v>0</v>
      </c>
      <c r="AF20" s="29">
        <v>0</v>
      </c>
      <c r="AG20" s="29">
        <v>1</v>
      </c>
      <c r="AH20" s="29" t="s">
        <v>214</v>
      </c>
      <c r="AI20" s="29">
        <v>2</v>
      </c>
      <c r="AN20" s="29">
        <f t="shared" si="3"/>
        <v>2</v>
      </c>
      <c r="AO20" s="29">
        <v>0</v>
      </c>
      <c r="AY20" s="29">
        <v>3</v>
      </c>
      <c r="BB20" s="29">
        <v>0</v>
      </c>
      <c r="BC20" s="29">
        <v>0</v>
      </c>
      <c r="BD20" s="29">
        <v>0</v>
      </c>
      <c r="BE20" s="29">
        <v>0</v>
      </c>
      <c r="BF20" s="29">
        <v>1</v>
      </c>
      <c r="BG20" s="29">
        <v>0</v>
      </c>
      <c r="BH20" s="29">
        <v>1</v>
      </c>
      <c r="BI20" s="29">
        <v>0</v>
      </c>
      <c r="BJ20" s="29">
        <v>0</v>
      </c>
      <c r="BK20" s="29">
        <v>0</v>
      </c>
      <c r="BL20" s="29">
        <v>0</v>
      </c>
      <c r="BM20" s="29">
        <v>0</v>
      </c>
      <c r="BN20" s="29">
        <v>0</v>
      </c>
      <c r="BO20" s="29">
        <v>0</v>
      </c>
      <c r="BP20" s="29">
        <v>2</v>
      </c>
      <c r="BQ20" s="29">
        <v>0</v>
      </c>
    </row>
    <row r="21" spans="1:70" s="139" customFormat="1">
      <c r="B21" s="140"/>
      <c r="D21" s="140"/>
      <c r="E21" s="141"/>
      <c r="G21" s="142"/>
      <c r="H21" s="141"/>
      <c r="I21" s="142"/>
      <c r="J21" s="142"/>
      <c r="K21" s="142"/>
      <c r="V21" s="143"/>
      <c r="W21" s="143"/>
      <c r="AE21" s="139">
        <f t="shared" si="2"/>
        <v>0</v>
      </c>
      <c r="AN21" s="139">
        <f t="shared" si="3"/>
        <v>0</v>
      </c>
    </row>
    <row r="22" spans="1:70">
      <c r="A22" s="29" t="s">
        <v>115</v>
      </c>
      <c r="B22" s="59">
        <v>42767</v>
      </c>
      <c r="C22" s="29">
        <v>0</v>
      </c>
      <c r="D22" s="59">
        <v>40640</v>
      </c>
      <c r="E22" s="32">
        <f t="shared" si="0"/>
        <v>5.8166666666666664</v>
      </c>
      <c r="F22" s="29">
        <v>7</v>
      </c>
      <c r="G22" s="60">
        <v>8</v>
      </c>
      <c r="H22" s="32">
        <f t="shared" si="1"/>
        <v>7.5</v>
      </c>
      <c r="I22" s="60">
        <v>0</v>
      </c>
      <c r="J22" s="60">
        <v>0</v>
      </c>
      <c r="K22" s="60">
        <v>0</v>
      </c>
      <c r="L22" s="60">
        <v>2</v>
      </c>
      <c r="M22" s="60" t="s">
        <v>248</v>
      </c>
      <c r="N22" s="60">
        <v>1</v>
      </c>
      <c r="O22" s="29" t="s">
        <v>249</v>
      </c>
      <c r="P22" s="29">
        <v>0</v>
      </c>
      <c r="Q22" s="29">
        <v>0</v>
      </c>
      <c r="R22" s="29">
        <v>12</v>
      </c>
      <c r="S22" s="29">
        <v>10</v>
      </c>
      <c r="T22" s="29" t="s">
        <v>212</v>
      </c>
      <c r="U22" s="29">
        <v>1</v>
      </c>
      <c r="V22" s="64">
        <v>2</v>
      </c>
      <c r="W22" s="63">
        <v>2</v>
      </c>
      <c r="X22" s="29">
        <v>0</v>
      </c>
      <c r="Y22" s="29">
        <v>95</v>
      </c>
      <c r="Z22" s="29">
        <v>2</v>
      </c>
      <c r="AA22" s="29">
        <v>2</v>
      </c>
      <c r="AB22" s="29">
        <v>2</v>
      </c>
      <c r="AC22" s="29">
        <v>1</v>
      </c>
      <c r="AD22" s="29">
        <v>1</v>
      </c>
      <c r="AE22" s="29">
        <f t="shared" si="2"/>
        <v>8</v>
      </c>
      <c r="AF22" s="29">
        <v>0</v>
      </c>
      <c r="AG22" s="29">
        <v>0</v>
      </c>
      <c r="AN22" s="29">
        <f t="shared" si="3"/>
        <v>0</v>
      </c>
      <c r="AO22" s="29">
        <v>0</v>
      </c>
      <c r="AY22" s="29">
        <v>1</v>
      </c>
      <c r="AZ22" s="29">
        <v>22</v>
      </c>
      <c r="BB22" s="29">
        <v>0</v>
      </c>
      <c r="BC22" s="29">
        <v>0</v>
      </c>
      <c r="BD22" s="29">
        <v>0</v>
      </c>
      <c r="BE22" s="29">
        <v>0</v>
      </c>
      <c r="BF22" s="29">
        <v>1</v>
      </c>
      <c r="BG22" s="29">
        <v>1</v>
      </c>
      <c r="BH22" s="29">
        <v>2</v>
      </c>
      <c r="BI22" s="29">
        <v>3</v>
      </c>
      <c r="BJ22" s="29">
        <v>0</v>
      </c>
      <c r="BK22" s="29">
        <v>0</v>
      </c>
      <c r="BL22" s="29">
        <v>0</v>
      </c>
      <c r="BM22" s="29">
        <v>0</v>
      </c>
      <c r="BN22" s="29">
        <v>0</v>
      </c>
      <c r="BO22" s="29">
        <v>0</v>
      </c>
      <c r="BP22" s="29">
        <v>3</v>
      </c>
      <c r="BQ22" s="29">
        <v>0</v>
      </c>
    </row>
    <row r="23" spans="1:70">
      <c r="A23" s="29" t="s">
        <v>60</v>
      </c>
      <c r="B23" s="59">
        <v>42767</v>
      </c>
      <c r="C23" s="29">
        <v>1</v>
      </c>
      <c r="D23" s="59">
        <v>40808</v>
      </c>
      <c r="E23" s="32">
        <f t="shared" si="0"/>
        <v>5.3583333333333334</v>
      </c>
      <c r="F23" s="29">
        <v>9</v>
      </c>
      <c r="G23" s="60">
        <v>2</v>
      </c>
      <c r="H23" s="32">
        <f t="shared" si="1"/>
        <v>9.125</v>
      </c>
      <c r="I23" s="60">
        <v>0</v>
      </c>
      <c r="J23" s="60">
        <v>0</v>
      </c>
      <c r="K23" s="60">
        <v>0</v>
      </c>
      <c r="L23" s="60">
        <v>3</v>
      </c>
      <c r="M23" s="60" t="s">
        <v>250</v>
      </c>
      <c r="N23" s="60">
        <v>2</v>
      </c>
      <c r="O23" s="60" t="s">
        <v>251</v>
      </c>
      <c r="P23" s="29">
        <v>48</v>
      </c>
      <c r="Q23" s="29">
        <v>0</v>
      </c>
      <c r="R23" s="29">
        <v>0</v>
      </c>
      <c r="S23" s="65">
        <v>9</v>
      </c>
      <c r="U23" s="29">
        <v>1</v>
      </c>
      <c r="V23" s="64">
        <v>5</v>
      </c>
      <c r="W23" s="63">
        <v>5</v>
      </c>
      <c r="X23" s="29">
        <v>1</v>
      </c>
      <c r="Y23" s="29">
        <v>25</v>
      </c>
      <c r="Z23" s="29">
        <v>0</v>
      </c>
      <c r="AA23" s="29">
        <v>0</v>
      </c>
      <c r="AB23" s="29">
        <v>1</v>
      </c>
      <c r="AC23" s="29">
        <v>0</v>
      </c>
      <c r="AD23" s="29">
        <v>2</v>
      </c>
      <c r="AE23" s="29">
        <f t="shared" si="2"/>
        <v>3</v>
      </c>
      <c r="AF23" s="29">
        <v>0</v>
      </c>
      <c r="AG23" s="29">
        <v>1</v>
      </c>
      <c r="AH23" s="29" t="s">
        <v>252</v>
      </c>
      <c r="AI23" s="29">
        <v>2</v>
      </c>
      <c r="AJ23" s="29" t="s">
        <v>253</v>
      </c>
      <c r="AK23" s="29">
        <v>2</v>
      </c>
      <c r="AL23" s="29" t="s">
        <v>254</v>
      </c>
      <c r="AM23" s="29">
        <v>2</v>
      </c>
      <c r="AN23" s="29">
        <f t="shared" si="3"/>
        <v>2</v>
      </c>
      <c r="AO23" s="29">
        <v>0</v>
      </c>
      <c r="AY23" s="29">
        <v>1</v>
      </c>
      <c r="AZ23" s="29">
        <v>18</v>
      </c>
      <c r="BB23" s="29">
        <v>1</v>
      </c>
      <c r="BC23" s="29">
        <v>0</v>
      </c>
      <c r="BD23" s="29">
        <v>1</v>
      </c>
      <c r="BE23" s="29">
        <v>0</v>
      </c>
      <c r="BF23" s="29">
        <v>0</v>
      </c>
      <c r="BG23" s="29">
        <v>0</v>
      </c>
      <c r="BH23" s="29">
        <v>1</v>
      </c>
      <c r="BI23" s="29">
        <v>3</v>
      </c>
      <c r="BJ23" s="29">
        <v>0</v>
      </c>
      <c r="BK23" s="29">
        <v>0</v>
      </c>
      <c r="BL23" s="29">
        <v>0</v>
      </c>
      <c r="BM23" s="29">
        <v>0</v>
      </c>
      <c r="BN23" s="29">
        <v>0</v>
      </c>
      <c r="BO23" s="29">
        <v>0</v>
      </c>
      <c r="BP23" s="29">
        <v>2</v>
      </c>
      <c r="BQ23" s="29">
        <v>1</v>
      </c>
      <c r="BR23" s="29" t="s">
        <v>255</v>
      </c>
    </row>
    <row r="24" spans="1:70">
      <c r="A24" s="29" t="s">
        <v>61</v>
      </c>
      <c r="B24" s="59">
        <v>42773</v>
      </c>
      <c r="C24" s="29">
        <v>0</v>
      </c>
      <c r="D24" s="59">
        <v>41098</v>
      </c>
      <c r="E24" s="32">
        <f t="shared" si="0"/>
        <v>4.5805555555555557</v>
      </c>
      <c r="F24" s="29">
        <v>8</v>
      </c>
      <c r="G24" s="60">
        <v>7</v>
      </c>
      <c r="H24" s="32">
        <f t="shared" si="1"/>
        <v>8.4375</v>
      </c>
      <c r="I24" s="60">
        <v>0</v>
      </c>
      <c r="J24" s="60">
        <v>0</v>
      </c>
      <c r="K24" s="60">
        <v>0</v>
      </c>
      <c r="L24" s="60">
        <v>0</v>
      </c>
      <c r="M24" s="60"/>
      <c r="N24" s="60">
        <v>0</v>
      </c>
      <c r="O24" s="60"/>
      <c r="P24" s="60">
        <v>15</v>
      </c>
      <c r="Q24" s="60">
        <v>0</v>
      </c>
      <c r="R24" s="60">
        <v>0</v>
      </c>
      <c r="S24" s="60">
        <v>6</v>
      </c>
      <c r="U24" s="29">
        <v>1</v>
      </c>
      <c r="V24" s="64">
        <v>8</v>
      </c>
      <c r="W24" s="63">
        <v>8</v>
      </c>
      <c r="X24" s="29">
        <v>0</v>
      </c>
      <c r="Y24" s="29">
        <v>50</v>
      </c>
      <c r="Z24" s="29">
        <v>0</v>
      </c>
      <c r="AA24" s="29">
        <v>1</v>
      </c>
      <c r="AB24" s="29">
        <v>0</v>
      </c>
      <c r="AC24" s="29">
        <v>1</v>
      </c>
      <c r="AD24" s="29">
        <v>0</v>
      </c>
      <c r="AE24" s="29">
        <f t="shared" si="2"/>
        <v>2</v>
      </c>
      <c r="AF24" s="29">
        <v>0</v>
      </c>
      <c r="AG24" s="29">
        <v>0</v>
      </c>
      <c r="AN24" s="29">
        <f t="shared" si="3"/>
        <v>0</v>
      </c>
      <c r="AO24" s="29">
        <v>0</v>
      </c>
      <c r="AY24" s="29">
        <v>2</v>
      </c>
      <c r="AZ24" s="29">
        <v>24</v>
      </c>
      <c r="BB24" s="29">
        <v>0</v>
      </c>
      <c r="BC24" s="29">
        <v>0</v>
      </c>
      <c r="BD24" s="29">
        <v>0</v>
      </c>
      <c r="BE24" s="29">
        <v>0</v>
      </c>
      <c r="BF24" s="29">
        <v>0</v>
      </c>
      <c r="BG24" s="29">
        <v>0</v>
      </c>
      <c r="BH24" s="29">
        <v>1</v>
      </c>
      <c r="BI24" s="29">
        <v>2</v>
      </c>
      <c r="BJ24" s="29">
        <v>2</v>
      </c>
      <c r="BK24" s="29">
        <v>0</v>
      </c>
      <c r="BL24" s="29">
        <v>0</v>
      </c>
      <c r="BM24" s="29">
        <v>1</v>
      </c>
      <c r="BN24" s="29">
        <v>0</v>
      </c>
      <c r="BO24" s="29">
        <v>1</v>
      </c>
      <c r="BP24" s="29">
        <v>1</v>
      </c>
      <c r="BQ24" s="29">
        <v>0</v>
      </c>
    </row>
    <row r="25" spans="1:70">
      <c r="A25" s="29" t="s">
        <v>63</v>
      </c>
      <c r="B25" s="59">
        <v>42775</v>
      </c>
      <c r="C25" s="29">
        <v>0</v>
      </c>
      <c r="D25" s="59">
        <v>41057</v>
      </c>
      <c r="E25" s="32">
        <f t="shared" si="0"/>
        <v>4.697222222222222</v>
      </c>
      <c r="F25" s="29">
        <v>5</v>
      </c>
      <c r="G25" s="60">
        <v>0</v>
      </c>
      <c r="H25" s="32">
        <f t="shared" si="1"/>
        <v>5</v>
      </c>
      <c r="I25" s="60">
        <v>0</v>
      </c>
      <c r="J25" s="60">
        <v>1</v>
      </c>
      <c r="K25" s="60">
        <v>5</v>
      </c>
      <c r="L25" s="60">
        <v>0</v>
      </c>
      <c r="M25" s="60"/>
      <c r="N25" s="60">
        <v>0</v>
      </c>
      <c r="O25" s="60"/>
      <c r="P25" s="60">
        <v>0</v>
      </c>
      <c r="Q25" s="60">
        <v>3</v>
      </c>
      <c r="R25" s="60">
        <v>9</v>
      </c>
      <c r="S25" s="60">
        <v>6</v>
      </c>
      <c r="T25" s="29" t="s">
        <v>212</v>
      </c>
      <c r="U25" s="29">
        <v>1</v>
      </c>
      <c r="V25" s="64">
        <v>6</v>
      </c>
      <c r="W25" s="63">
        <v>6</v>
      </c>
      <c r="X25" s="29">
        <v>0</v>
      </c>
      <c r="Y25" s="29">
        <v>50</v>
      </c>
      <c r="Z25" s="29">
        <v>0</v>
      </c>
      <c r="AA25" s="29">
        <v>1</v>
      </c>
      <c r="AB25" s="29">
        <v>2</v>
      </c>
      <c r="AC25" s="29">
        <v>3</v>
      </c>
      <c r="AD25" s="29">
        <v>3</v>
      </c>
      <c r="AE25" s="29">
        <f t="shared" si="2"/>
        <v>9</v>
      </c>
      <c r="AF25" s="29">
        <v>0</v>
      </c>
      <c r="AG25" s="29">
        <v>1</v>
      </c>
      <c r="AH25" s="29" t="s">
        <v>256</v>
      </c>
      <c r="AI25" s="29">
        <v>1</v>
      </c>
      <c r="AN25" s="29">
        <f t="shared" si="3"/>
        <v>1</v>
      </c>
      <c r="AO25" s="29">
        <v>0</v>
      </c>
      <c r="AY25" s="29">
        <v>1</v>
      </c>
      <c r="AZ25" s="29">
        <v>24</v>
      </c>
      <c r="BB25" s="29">
        <v>0</v>
      </c>
      <c r="BC25" s="29">
        <v>0</v>
      </c>
      <c r="BD25" s="29">
        <v>0</v>
      </c>
      <c r="BE25" s="29">
        <v>0</v>
      </c>
      <c r="BF25" s="29">
        <v>0</v>
      </c>
      <c r="BG25" s="29">
        <v>0</v>
      </c>
      <c r="BH25" s="29">
        <v>0</v>
      </c>
      <c r="BI25" s="29">
        <v>0</v>
      </c>
      <c r="BJ25" s="29">
        <v>1</v>
      </c>
      <c r="BK25" s="29">
        <v>0</v>
      </c>
      <c r="BL25" s="29">
        <v>0</v>
      </c>
      <c r="BM25" s="29">
        <v>0</v>
      </c>
      <c r="BN25" s="29">
        <v>0</v>
      </c>
      <c r="BO25" s="29">
        <v>0</v>
      </c>
      <c r="BP25" s="29">
        <v>0</v>
      </c>
      <c r="BQ25" s="29">
        <v>0</v>
      </c>
    </row>
    <row r="26" spans="1:70">
      <c r="A26" s="29" t="s">
        <v>64</v>
      </c>
      <c r="B26" s="59">
        <v>42773</v>
      </c>
      <c r="C26" s="29">
        <v>1</v>
      </c>
      <c r="D26" s="59">
        <v>40695</v>
      </c>
      <c r="E26" s="32">
        <f t="shared" si="0"/>
        <v>5.6833333333333336</v>
      </c>
      <c r="F26" s="29">
        <v>7</v>
      </c>
      <c r="G26" s="60">
        <v>7</v>
      </c>
      <c r="H26" s="32">
        <f t="shared" si="1"/>
        <v>7.4375</v>
      </c>
      <c r="I26" s="60">
        <v>1</v>
      </c>
      <c r="J26" s="60">
        <v>0</v>
      </c>
      <c r="K26" s="60">
        <v>0</v>
      </c>
      <c r="L26" s="60">
        <v>1</v>
      </c>
      <c r="M26" s="60" t="s">
        <v>257</v>
      </c>
      <c r="N26" s="60">
        <v>0</v>
      </c>
      <c r="O26" s="60"/>
      <c r="P26" s="60">
        <v>36</v>
      </c>
      <c r="Q26" s="60">
        <v>0</v>
      </c>
      <c r="R26" s="60">
        <v>0</v>
      </c>
      <c r="S26" s="60">
        <v>5</v>
      </c>
      <c r="T26" s="29" t="s">
        <v>258</v>
      </c>
      <c r="U26" s="29">
        <v>0</v>
      </c>
      <c r="V26" s="64"/>
      <c r="W26" s="64"/>
      <c r="X26" s="29">
        <v>0</v>
      </c>
      <c r="Y26" s="29">
        <v>50</v>
      </c>
      <c r="Z26" s="29">
        <v>0</v>
      </c>
      <c r="AA26" s="29">
        <v>0</v>
      </c>
      <c r="AB26" s="29">
        <v>0</v>
      </c>
      <c r="AC26" s="29">
        <v>3</v>
      </c>
      <c r="AD26" s="29">
        <v>0</v>
      </c>
      <c r="AE26" s="29">
        <f t="shared" si="2"/>
        <v>3</v>
      </c>
      <c r="AF26" s="29">
        <v>0</v>
      </c>
      <c r="AG26" s="29">
        <v>1</v>
      </c>
      <c r="AH26" s="29" t="s">
        <v>214</v>
      </c>
      <c r="AI26" s="29">
        <v>3</v>
      </c>
      <c r="AJ26" s="29" t="s">
        <v>215</v>
      </c>
      <c r="AK26" s="29">
        <v>3</v>
      </c>
      <c r="AN26" s="29">
        <f t="shared" si="3"/>
        <v>3</v>
      </c>
      <c r="AO26" s="29">
        <v>0</v>
      </c>
      <c r="AY26" s="29">
        <v>2</v>
      </c>
      <c r="BA26" s="29">
        <v>13</v>
      </c>
      <c r="BB26" s="29">
        <v>2</v>
      </c>
      <c r="BC26" s="29">
        <v>0</v>
      </c>
      <c r="BD26" s="29">
        <v>0</v>
      </c>
      <c r="BE26" s="29">
        <v>0</v>
      </c>
      <c r="BF26" s="29">
        <v>0</v>
      </c>
      <c r="BG26" s="29">
        <v>0</v>
      </c>
      <c r="BH26" s="29">
        <v>0</v>
      </c>
      <c r="BI26" s="29">
        <v>0</v>
      </c>
      <c r="BJ26" s="29">
        <v>1</v>
      </c>
      <c r="BK26" s="29">
        <v>0</v>
      </c>
      <c r="BL26" s="29">
        <v>0</v>
      </c>
      <c r="BM26" s="29">
        <v>1</v>
      </c>
      <c r="BN26" s="29">
        <v>0</v>
      </c>
      <c r="BO26" s="29">
        <v>0</v>
      </c>
      <c r="BP26" s="29">
        <v>0</v>
      </c>
      <c r="BQ26" s="29">
        <v>0</v>
      </c>
    </row>
    <row r="27" spans="1:70">
      <c r="A27" s="30" t="s">
        <v>116</v>
      </c>
      <c r="B27" s="59">
        <v>42814</v>
      </c>
      <c r="C27" s="29">
        <v>1</v>
      </c>
      <c r="D27" s="59">
        <v>41101</v>
      </c>
      <c r="E27" s="32">
        <f t="shared" si="0"/>
        <v>4.6916666666666664</v>
      </c>
      <c r="F27" s="29">
        <v>5</v>
      </c>
      <c r="G27" s="60">
        <v>11</v>
      </c>
      <c r="H27" s="32">
        <f t="shared" si="1"/>
        <v>5.6875</v>
      </c>
      <c r="I27" s="60">
        <v>0</v>
      </c>
      <c r="J27" s="60">
        <v>0</v>
      </c>
      <c r="K27" s="60"/>
      <c r="L27" s="60">
        <v>0</v>
      </c>
      <c r="M27" s="60"/>
      <c r="N27" s="60">
        <v>1</v>
      </c>
      <c r="O27" s="60" t="s">
        <v>259</v>
      </c>
      <c r="P27" s="60">
        <v>10</v>
      </c>
      <c r="Q27" s="60">
        <v>1</v>
      </c>
      <c r="R27" s="60">
        <v>1</v>
      </c>
      <c r="S27" s="60">
        <v>6</v>
      </c>
      <c r="T27" s="29" t="s">
        <v>260</v>
      </c>
      <c r="U27" s="29">
        <v>1</v>
      </c>
      <c r="V27" s="64">
        <v>-24</v>
      </c>
      <c r="W27" s="63">
        <v>0</v>
      </c>
      <c r="X27" s="29">
        <v>0</v>
      </c>
      <c r="Y27" s="29">
        <v>25</v>
      </c>
      <c r="Z27" s="29">
        <v>0</v>
      </c>
      <c r="AA27" s="29">
        <v>0</v>
      </c>
      <c r="AB27" s="29">
        <v>0</v>
      </c>
      <c r="AC27" s="29">
        <v>1</v>
      </c>
      <c r="AD27" s="29">
        <v>0</v>
      </c>
      <c r="AE27" s="29">
        <f t="shared" si="2"/>
        <v>1</v>
      </c>
      <c r="AF27" s="29">
        <v>0</v>
      </c>
      <c r="AG27" s="29">
        <v>0</v>
      </c>
      <c r="AN27" s="29">
        <f t="shared" si="3"/>
        <v>0</v>
      </c>
      <c r="AO27" s="29">
        <v>1</v>
      </c>
      <c r="AP27" s="29" t="s">
        <v>261</v>
      </c>
      <c r="AQ27" s="29">
        <v>1</v>
      </c>
      <c r="AX27" s="29">
        <v>1</v>
      </c>
      <c r="AY27" s="29">
        <v>1</v>
      </c>
      <c r="AZ27" s="29">
        <v>14</v>
      </c>
      <c r="BB27" s="29">
        <v>0</v>
      </c>
      <c r="BC27" s="29">
        <v>0</v>
      </c>
      <c r="BD27" s="29">
        <v>0</v>
      </c>
      <c r="BE27" s="29">
        <v>0</v>
      </c>
      <c r="BF27" s="29">
        <v>0</v>
      </c>
      <c r="BG27" s="29">
        <v>0</v>
      </c>
      <c r="BH27" s="29">
        <v>1</v>
      </c>
      <c r="BI27" s="29">
        <v>0</v>
      </c>
      <c r="BJ27" s="29">
        <v>1</v>
      </c>
      <c r="BK27" s="29">
        <v>0</v>
      </c>
      <c r="BL27" s="29">
        <v>0</v>
      </c>
      <c r="BM27" s="29">
        <v>0</v>
      </c>
      <c r="BN27" s="29">
        <v>0</v>
      </c>
      <c r="BO27" s="29">
        <v>0</v>
      </c>
      <c r="BP27" s="29">
        <v>1</v>
      </c>
      <c r="BQ27" s="29">
        <v>0</v>
      </c>
    </row>
    <row r="28" spans="1:70">
      <c r="A28" s="30" t="s">
        <v>66</v>
      </c>
      <c r="B28" s="59">
        <v>42841</v>
      </c>
      <c r="C28" s="29">
        <v>0</v>
      </c>
      <c r="D28" s="59">
        <v>40674</v>
      </c>
      <c r="E28" s="32">
        <f t="shared" si="0"/>
        <v>5.9305555555555554</v>
      </c>
      <c r="F28" s="29">
        <v>7</v>
      </c>
      <c r="G28" s="60">
        <v>15</v>
      </c>
      <c r="H28" s="32">
        <f t="shared" si="1"/>
        <v>7.9375</v>
      </c>
      <c r="I28" s="60">
        <v>0</v>
      </c>
      <c r="J28" s="60">
        <v>0</v>
      </c>
      <c r="K28" s="60">
        <v>0</v>
      </c>
      <c r="L28" s="60">
        <v>0</v>
      </c>
      <c r="M28" s="60"/>
      <c r="N28" s="60">
        <v>0</v>
      </c>
      <c r="O28" s="60"/>
      <c r="P28" s="60">
        <v>12</v>
      </c>
      <c r="Q28" s="60">
        <v>0</v>
      </c>
      <c r="R28" s="60">
        <v>0</v>
      </c>
      <c r="S28" s="60">
        <v>6</v>
      </c>
      <c r="U28" s="29">
        <v>1</v>
      </c>
      <c r="V28" s="64">
        <v>4</v>
      </c>
      <c r="W28" s="63">
        <v>4</v>
      </c>
      <c r="X28" s="29">
        <v>0</v>
      </c>
      <c r="Y28" s="29">
        <v>30</v>
      </c>
      <c r="Z28" s="29">
        <v>0</v>
      </c>
      <c r="AA28" s="29">
        <v>0</v>
      </c>
      <c r="AB28" s="29">
        <v>0</v>
      </c>
      <c r="AC28" s="29">
        <v>1</v>
      </c>
      <c r="AD28" s="29">
        <v>2</v>
      </c>
      <c r="AE28" s="29">
        <f t="shared" si="2"/>
        <v>3</v>
      </c>
      <c r="AF28" s="29">
        <v>0</v>
      </c>
      <c r="AG28" s="29">
        <v>0</v>
      </c>
      <c r="AN28" s="29">
        <f t="shared" si="3"/>
        <v>0</v>
      </c>
      <c r="AO28" s="29">
        <v>0</v>
      </c>
      <c r="AY28" s="29">
        <v>3</v>
      </c>
      <c r="BB28" s="29">
        <v>0</v>
      </c>
      <c r="BC28" s="29">
        <v>0</v>
      </c>
      <c r="BD28" s="29">
        <v>0</v>
      </c>
      <c r="BE28" s="29">
        <v>0</v>
      </c>
      <c r="BF28" s="29">
        <v>0</v>
      </c>
      <c r="BG28" s="29">
        <v>0</v>
      </c>
      <c r="BH28" s="29">
        <v>1</v>
      </c>
      <c r="BI28" s="29">
        <v>0</v>
      </c>
      <c r="BJ28" s="29">
        <v>0</v>
      </c>
      <c r="BK28" s="29">
        <v>0</v>
      </c>
      <c r="BL28" s="29">
        <v>0</v>
      </c>
      <c r="BM28" s="29">
        <v>0</v>
      </c>
      <c r="BN28" s="29">
        <v>1</v>
      </c>
      <c r="BO28" s="29">
        <v>0</v>
      </c>
      <c r="BP28" s="29">
        <v>1</v>
      </c>
      <c r="BQ28" s="29">
        <v>0</v>
      </c>
    </row>
    <row r="29" spans="1:70">
      <c r="A29" s="30" t="s">
        <v>67</v>
      </c>
      <c r="B29" s="59">
        <v>42847</v>
      </c>
      <c r="C29" s="29">
        <v>0</v>
      </c>
      <c r="D29" s="59">
        <v>41569</v>
      </c>
      <c r="E29" s="32">
        <f t="shared" si="0"/>
        <v>3.5</v>
      </c>
      <c r="F29" s="29">
        <v>6</v>
      </c>
      <c r="G29" s="60">
        <v>7</v>
      </c>
      <c r="H29" s="32">
        <f t="shared" si="1"/>
        <v>6.4375</v>
      </c>
      <c r="I29" s="60">
        <v>1</v>
      </c>
      <c r="J29" s="60">
        <v>0</v>
      </c>
      <c r="K29" s="60"/>
      <c r="L29" s="60">
        <v>2</v>
      </c>
      <c r="M29" s="60" t="s">
        <v>262</v>
      </c>
      <c r="N29" s="60">
        <v>0</v>
      </c>
      <c r="O29" s="60"/>
      <c r="P29" s="60">
        <v>3</v>
      </c>
      <c r="Q29" s="60">
        <v>5</v>
      </c>
      <c r="R29" s="60">
        <v>20</v>
      </c>
      <c r="S29" s="60">
        <v>6</v>
      </c>
      <c r="T29" s="29" t="s">
        <v>228</v>
      </c>
      <c r="U29" s="29">
        <v>1</v>
      </c>
      <c r="V29" s="64">
        <v>4</v>
      </c>
      <c r="W29" s="63">
        <v>4</v>
      </c>
      <c r="X29" s="29">
        <v>0</v>
      </c>
      <c r="Y29" s="29">
        <v>50</v>
      </c>
      <c r="Z29" s="29">
        <v>0</v>
      </c>
      <c r="AA29" s="29">
        <v>1</v>
      </c>
      <c r="AB29" s="29">
        <v>0</v>
      </c>
      <c r="AC29" s="29">
        <v>0</v>
      </c>
      <c r="AD29" s="29">
        <v>0</v>
      </c>
      <c r="AE29" s="29">
        <f t="shared" si="2"/>
        <v>1</v>
      </c>
      <c r="AF29" s="29">
        <v>0</v>
      </c>
      <c r="AG29" s="29">
        <v>1</v>
      </c>
      <c r="AH29" s="29" t="s">
        <v>263</v>
      </c>
      <c r="AI29" s="29">
        <v>3</v>
      </c>
      <c r="AJ29" s="29" t="s">
        <v>264</v>
      </c>
      <c r="AK29" s="29">
        <v>3</v>
      </c>
      <c r="AL29" s="29" t="s">
        <v>265</v>
      </c>
      <c r="AM29" s="29">
        <v>2</v>
      </c>
      <c r="AN29" s="29">
        <f t="shared" si="3"/>
        <v>3</v>
      </c>
      <c r="AO29" s="29">
        <v>1</v>
      </c>
      <c r="AP29" s="29" t="s">
        <v>261</v>
      </c>
      <c r="AQ29" s="29">
        <v>2</v>
      </c>
      <c r="AR29" s="29" t="s">
        <v>266</v>
      </c>
      <c r="AS29" s="29">
        <v>2</v>
      </c>
      <c r="AT29" s="29" t="s">
        <v>267</v>
      </c>
      <c r="AU29" s="29">
        <v>2</v>
      </c>
      <c r="AV29" s="29" t="s">
        <v>268</v>
      </c>
      <c r="AW29" s="29">
        <v>2</v>
      </c>
      <c r="AX29" s="30">
        <v>2</v>
      </c>
      <c r="AY29" s="29">
        <v>1</v>
      </c>
      <c r="AZ29" s="29">
        <v>12</v>
      </c>
      <c r="BB29" s="29">
        <v>0</v>
      </c>
      <c r="BC29" s="29">
        <v>0</v>
      </c>
      <c r="BD29" s="29">
        <v>0</v>
      </c>
      <c r="BE29" s="29">
        <v>0</v>
      </c>
      <c r="BF29" s="29">
        <v>1</v>
      </c>
      <c r="BG29" s="29">
        <v>1</v>
      </c>
      <c r="BH29" s="29">
        <v>3</v>
      </c>
      <c r="BI29" s="29">
        <v>2</v>
      </c>
      <c r="BJ29" s="29">
        <v>2</v>
      </c>
      <c r="BK29" s="29">
        <v>0</v>
      </c>
      <c r="BL29" s="29">
        <v>0</v>
      </c>
      <c r="BM29" s="29">
        <v>0</v>
      </c>
      <c r="BN29" s="29">
        <v>1</v>
      </c>
      <c r="BO29" s="29">
        <v>0</v>
      </c>
      <c r="BP29" s="29">
        <v>3</v>
      </c>
      <c r="BQ29" s="29">
        <v>0</v>
      </c>
      <c r="BR29" s="29" t="s">
        <v>269</v>
      </c>
    </row>
    <row r="30" spans="1:70">
      <c r="A30" s="29" t="s">
        <v>68</v>
      </c>
      <c r="B30" s="59">
        <v>42872</v>
      </c>
      <c r="C30" s="29">
        <v>1</v>
      </c>
      <c r="D30" s="59">
        <v>41888</v>
      </c>
      <c r="E30" s="32">
        <f t="shared" si="0"/>
        <v>2.6972222222222224</v>
      </c>
      <c r="F30" s="29">
        <v>5</v>
      </c>
      <c r="G30" s="60">
        <v>8</v>
      </c>
      <c r="H30" s="32">
        <f t="shared" si="1"/>
        <v>5.5</v>
      </c>
      <c r="I30" s="60">
        <v>1</v>
      </c>
      <c r="J30" s="60">
        <v>1</v>
      </c>
      <c r="K30" s="60">
        <v>36</v>
      </c>
      <c r="L30" s="60">
        <v>0</v>
      </c>
      <c r="M30" s="60"/>
      <c r="N30" s="60">
        <v>0</v>
      </c>
      <c r="O30" s="60"/>
      <c r="P30" s="60">
        <v>0</v>
      </c>
      <c r="Q30" s="60">
        <v>22</v>
      </c>
      <c r="R30" s="60">
        <v>0</v>
      </c>
      <c r="S30" s="60">
        <v>6</v>
      </c>
      <c r="T30" s="29" t="s">
        <v>260</v>
      </c>
      <c r="U30" s="29">
        <v>1</v>
      </c>
      <c r="V30" s="64">
        <v>-30</v>
      </c>
      <c r="W30" s="63">
        <v>0</v>
      </c>
      <c r="X30" s="29">
        <v>0</v>
      </c>
      <c r="Y30" s="29">
        <v>10</v>
      </c>
      <c r="Z30" s="29">
        <v>0</v>
      </c>
      <c r="AA30" s="29">
        <v>0</v>
      </c>
      <c r="AB30" s="29">
        <v>1</v>
      </c>
      <c r="AC30" s="29">
        <v>1</v>
      </c>
      <c r="AD30" s="29">
        <v>0</v>
      </c>
      <c r="AE30" s="29">
        <f t="shared" si="2"/>
        <v>2</v>
      </c>
      <c r="AF30" s="29">
        <v>0</v>
      </c>
      <c r="AG30" s="29">
        <v>0</v>
      </c>
      <c r="AN30" s="29">
        <f t="shared" si="3"/>
        <v>0</v>
      </c>
      <c r="AO30" s="29">
        <v>0</v>
      </c>
      <c r="AY30" s="29">
        <v>1</v>
      </c>
      <c r="AZ30" s="29">
        <v>18</v>
      </c>
      <c r="BB30" s="29">
        <v>1</v>
      </c>
      <c r="BC30" s="29">
        <v>0</v>
      </c>
      <c r="BD30" s="29">
        <v>0</v>
      </c>
      <c r="BE30" s="29">
        <v>0</v>
      </c>
      <c r="BF30" s="29">
        <v>0</v>
      </c>
      <c r="BG30" s="29">
        <v>0</v>
      </c>
      <c r="BH30" s="29">
        <v>1</v>
      </c>
      <c r="BI30" s="29">
        <v>0</v>
      </c>
      <c r="BJ30" s="29">
        <v>1</v>
      </c>
      <c r="BK30" s="29">
        <v>2</v>
      </c>
      <c r="BL30" s="29">
        <v>0</v>
      </c>
      <c r="BM30" s="29">
        <v>1</v>
      </c>
      <c r="BN30" s="29">
        <v>0</v>
      </c>
      <c r="BO30" s="29">
        <v>1</v>
      </c>
      <c r="BP30" s="29">
        <v>1</v>
      </c>
      <c r="BQ30" s="29">
        <v>1</v>
      </c>
      <c r="BR30" s="29" t="s">
        <v>270</v>
      </c>
    </row>
    <row r="31" spans="1:70">
      <c r="A31" s="29" t="s">
        <v>69</v>
      </c>
      <c r="B31" s="59">
        <v>42867</v>
      </c>
      <c r="C31" s="29">
        <v>0</v>
      </c>
      <c r="D31" s="59">
        <v>41123</v>
      </c>
      <c r="E31" s="32">
        <f>YEARFRAC(D31,B31)</f>
        <v>4.7777777777777777</v>
      </c>
      <c r="F31" s="29">
        <v>5</v>
      </c>
      <c r="G31" s="60">
        <v>6</v>
      </c>
      <c r="H31" s="32">
        <f t="shared" si="1"/>
        <v>5.375</v>
      </c>
      <c r="I31" s="60">
        <v>0</v>
      </c>
      <c r="J31" s="60">
        <v>1</v>
      </c>
      <c r="K31" s="60">
        <v>4</v>
      </c>
      <c r="L31" s="60">
        <v>2</v>
      </c>
      <c r="M31" s="60" t="s">
        <v>271</v>
      </c>
      <c r="N31" s="60">
        <v>0</v>
      </c>
      <c r="O31" s="60"/>
      <c r="P31" s="60">
        <v>0</v>
      </c>
      <c r="Q31" s="60">
        <v>6</v>
      </c>
      <c r="R31" s="60">
        <v>0</v>
      </c>
      <c r="S31" s="60">
        <v>6</v>
      </c>
      <c r="T31" s="29" t="s">
        <v>260</v>
      </c>
      <c r="U31" s="29">
        <v>1</v>
      </c>
      <c r="V31" s="64">
        <v>4</v>
      </c>
      <c r="W31" s="63">
        <v>4</v>
      </c>
      <c r="X31" s="29">
        <v>0</v>
      </c>
      <c r="Y31" s="29">
        <v>2</v>
      </c>
      <c r="Z31" s="29">
        <v>0</v>
      </c>
      <c r="AA31" s="29">
        <v>0</v>
      </c>
      <c r="AB31" s="29">
        <v>1</v>
      </c>
      <c r="AC31" s="29">
        <v>1</v>
      </c>
      <c r="AD31" s="29">
        <v>0</v>
      </c>
      <c r="AE31" s="29">
        <f t="shared" si="2"/>
        <v>2</v>
      </c>
      <c r="AF31" s="29">
        <v>0</v>
      </c>
      <c r="AG31" s="29">
        <v>0</v>
      </c>
      <c r="AN31" s="29">
        <f t="shared" si="3"/>
        <v>0</v>
      </c>
      <c r="AO31" s="29">
        <v>1</v>
      </c>
      <c r="AP31" s="29" t="s">
        <v>272</v>
      </c>
      <c r="AY31" s="29">
        <v>2</v>
      </c>
      <c r="BA31" s="29">
        <v>23</v>
      </c>
      <c r="BB31" s="29">
        <v>1</v>
      </c>
      <c r="BC31" s="29">
        <v>0</v>
      </c>
      <c r="BD31" s="29">
        <v>0</v>
      </c>
      <c r="BE31" s="29">
        <v>0</v>
      </c>
      <c r="BF31" s="29">
        <v>0</v>
      </c>
      <c r="BG31" s="29">
        <v>0</v>
      </c>
      <c r="BH31" s="29">
        <v>2</v>
      </c>
      <c r="BI31" s="29">
        <v>0</v>
      </c>
      <c r="BJ31" s="29">
        <v>0</v>
      </c>
      <c r="BK31" s="29">
        <v>0</v>
      </c>
      <c r="BL31" s="29">
        <v>1</v>
      </c>
      <c r="BM31" s="29">
        <v>0</v>
      </c>
      <c r="BN31" s="29">
        <v>0</v>
      </c>
      <c r="BO31" s="29">
        <v>0</v>
      </c>
      <c r="BP31" s="29">
        <v>2</v>
      </c>
      <c r="BQ31" s="29">
        <v>0</v>
      </c>
    </row>
    <row r="32" spans="1:70">
      <c r="A32" s="29" t="s">
        <v>70</v>
      </c>
      <c r="B32" s="59"/>
      <c r="C32" s="30">
        <v>0</v>
      </c>
      <c r="D32" s="59"/>
      <c r="E32" s="32"/>
      <c r="G32" s="60"/>
      <c r="H32" s="32"/>
      <c r="I32" s="60"/>
      <c r="J32" s="60"/>
      <c r="K32" s="60"/>
      <c r="L32" s="60"/>
      <c r="M32" s="60"/>
      <c r="N32" s="60"/>
      <c r="O32" s="60"/>
      <c r="P32" s="60"/>
      <c r="Q32" s="60"/>
      <c r="R32" s="60"/>
      <c r="S32" s="60"/>
      <c r="V32" s="64"/>
      <c r="W32" s="64"/>
      <c r="AE32" s="29">
        <f t="shared" si="2"/>
        <v>0</v>
      </c>
      <c r="AN32" s="29">
        <f t="shared" si="3"/>
        <v>0</v>
      </c>
    </row>
    <row r="33" spans="1:70">
      <c r="A33" s="29" t="s">
        <v>71</v>
      </c>
      <c r="B33" s="59">
        <v>42935</v>
      </c>
      <c r="C33" s="29">
        <v>1</v>
      </c>
      <c r="D33" s="59">
        <v>41269</v>
      </c>
      <c r="E33" s="32">
        <f>YEARFRAC(D33,B33)</f>
        <v>4.5638888888888891</v>
      </c>
      <c r="F33" s="29">
        <v>6</v>
      </c>
      <c r="G33" s="60">
        <v>0</v>
      </c>
      <c r="H33" s="32">
        <f>F33+(G33/16)</f>
        <v>6</v>
      </c>
      <c r="I33" s="60">
        <v>0</v>
      </c>
      <c r="J33" s="60">
        <v>0</v>
      </c>
      <c r="K33" s="60">
        <v>0</v>
      </c>
      <c r="L33" s="60">
        <v>0</v>
      </c>
      <c r="M33" s="60"/>
      <c r="N33" s="60">
        <v>0</v>
      </c>
      <c r="O33" s="60"/>
      <c r="P33" s="60">
        <v>12</v>
      </c>
      <c r="Q33" s="95">
        <v>0</v>
      </c>
      <c r="R33" s="95">
        <v>0</v>
      </c>
      <c r="S33" s="60">
        <v>6</v>
      </c>
      <c r="U33" s="29">
        <v>1</v>
      </c>
      <c r="V33" s="64">
        <v>8</v>
      </c>
      <c r="W33" s="63">
        <v>8</v>
      </c>
      <c r="X33" s="29">
        <v>0</v>
      </c>
      <c r="Y33" s="29">
        <v>0</v>
      </c>
      <c r="Z33" s="29">
        <v>0</v>
      </c>
      <c r="AA33" s="29">
        <v>0</v>
      </c>
      <c r="AB33" s="29">
        <v>0</v>
      </c>
      <c r="AC33" s="29">
        <v>0</v>
      </c>
      <c r="AD33" s="29">
        <v>0</v>
      </c>
      <c r="AE33" s="29">
        <f t="shared" si="2"/>
        <v>0</v>
      </c>
      <c r="AF33" s="29">
        <v>0</v>
      </c>
      <c r="AG33" s="29">
        <v>0</v>
      </c>
      <c r="AN33" s="29">
        <f t="shared" si="3"/>
        <v>0</v>
      </c>
      <c r="AO33" s="29">
        <v>0</v>
      </c>
      <c r="AY33" s="29">
        <v>1</v>
      </c>
      <c r="AZ33" s="29">
        <v>18</v>
      </c>
      <c r="BB33" s="29">
        <v>0</v>
      </c>
      <c r="BC33" s="29">
        <v>0</v>
      </c>
      <c r="BD33" s="29">
        <v>0</v>
      </c>
      <c r="BE33" s="29">
        <v>0</v>
      </c>
      <c r="BF33" s="29">
        <v>0</v>
      </c>
      <c r="BG33" s="29">
        <v>0</v>
      </c>
      <c r="BH33" s="29">
        <v>0</v>
      </c>
      <c r="BI33" s="29">
        <v>0</v>
      </c>
      <c r="BJ33" s="29">
        <v>0</v>
      </c>
      <c r="BK33" s="29">
        <v>0</v>
      </c>
      <c r="BL33" s="29">
        <v>0</v>
      </c>
      <c r="BM33" s="29">
        <v>0</v>
      </c>
      <c r="BN33" s="29">
        <v>0</v>
      </c>
      <c r="BO33" s="29">
        <v>0</v>
      </c>
      <c r="BP33" s="29">
        <v>0</v>
      </c>
      <c r="BQ33" s="29">
        <v>0</v>
      </c>
    </row>
    <row r="34" spans="1:70" s="135" customFormat="1">
      <c r="B34" s="136"/>
      <c r="D34" s="136"/>
      <c r="E34" s="136"/>
      <c r="F34" s="136"/>
      <c r="G34" s="136"/>
      <c r="H34" s="136"/>
      <c r="I34" s="136"/>
      <c r="J34" s="137"/>
      <c r="K34" s="137"/>
      <c r="L34" s="137"/>
      <c r="M34" s="137"/>
      <c r="N34" s="137"/>
      <c r="O34" s="137"/>
      <c r="P34" s="137"/>
      <c r="Q34" s="137"/>
      <c r="R34" s="137"/>
      <c r="S34" s="137"/>
      <c r="V34" s="138"/>
      <c r="W34" s="138"/>
      <c r="AE34" s="135">
        <f t="shared" si="2"/>
        <v>0</v>
      </c>
      <c r="AN34" s="135">
        <f t="shared" si="3"/>
        <v>0</v>
      </c>
    </row>
    <row r="35" spans="1:70">
      <c r="A35" s="29" t="s">
        <v>72</v>
      </c>
      <c r="B35" s="59">
        <v>42670</v>
      </c>
      <c r="C35" s="29">
        <v>0</v>
      </c>
      <c r="D35" s="59">
        <v>41132</v>
      </c>
      <c r="E35" s="32">
        <f t="shared" si="0"/>
        <v>4.2111111111111112</v>
      </c>
      <c r="F35" s="60">
        <v>6</v>
      </c>
      <c r="G35" s="60">
        <v>12</v>
      </c>
      <c r="H35" s="32">
        <f t="shared" si="1"/>
        <v>6.75</v>
      </c>
      <c r="I35" s="60">
        <v>1</v>
      </c>
      <c r="J35" s="60">
        <v>1</v>
      </c>
      <c r="K35" s="60">
        <v>4</v>
      </c>
      <c r="L35" s="60">
        <v>2</v>
      </c>
      <c r="M35" s="29" t="s">
        <v>273</v>
      </c>
      <c r="N35" s="29">
        <v>0</v>
      </c>
      <c r="P35" s="29">
        <v>0.5</v>
      </c>
      <c r="Q35" s="29">
        <v>0.5</v>
      </c>
      <c r="R35" s="29">
        <v>13</v>
      </c>
      <c r="S35" s="30">
        <v>5</v>
      </c>
      <c r="T35" s="29" t="s">
        <v>212</v>
      </c>
      <c r="U35" s="29">
        <v>0</v>
      </c>
      <c r="X35" s="29">
        <v>0</v>
      </c>
      <c r="Y35" s="29">
        <v>5</v>
      </c>
      <c r="Z35" s="29">
        <v>0</v>
      </c>
      <c r="AA35" s="29">
        <v>1</v>
      </c>
      <c r="AB35" s="29">
        <v>1</v>
      </c>
      <c r="AC35" s="29">
        <v>0</v>
      </c>
      <c r="AD35" s="29">
        <v>0</v>
      </c>
      <c r="AE35" s="29">
        <f t="shared" si="2"/>
        <v>2</v>
      </c>
      <c r="AF35" s="29">
        <v>3</v>
      </c>
      <c r="AG35" s="29">
        <v>0</v>
      </c>
      <c r="AN35" s="29">
        <f t="shared" si="3"/>
        <v>0</v>
      </c>
      <c r="AO35" s="29">
        <v>0</v>
      </c>
      <c r="AY35" s="29">
        <v>4</v>
      </c>
      <c r="BB35" s="29">
        <v>0</v>
      </c>
      <c r="BC35" s="29">
        <v>0</v>
      </c>
      <c r="BD35" s="29">
        <v>0</v>
      </c>
      <c r="BE35" s="29">
        <v>0</v>
      </c>
      <c r="BF35" s="29">
        <v>3</v>
      </c>
      <c r="BG35" s="29">
        <v>0</v>
      </c>
      <c r="BH35" s="29">
        <v>1</v>
      </c>
      <c r="BI35" s="29">
        <v>0</v>
      </c>
      <c r="BJ35" s="29">
        <v>0</v>
      </c>
      <c r="BK35" s="29">
        <v>0</v>
      </c>
      <c r="BL35" s="29">
        <v>0</v>
      </c>
      <c r="BM35" s="29">
        <v>0</v>
      </c>
      <c r="BN35" s="29">
        <v>0</v>
      </c>
      <c r="BO35" s="29">
        <v>1</v>
      </c>
      <c r="BP35" s="29">
        <v>2</v>
      </c>
      <c r="BQ35" s="29">
        <v>1</v>
      </c>
    </row>
    <row r="36" spans="1:70">
      <c r="A36" s="29" t="s">
        <v>74</v>
      </c>
      <c r="B36" s="59">
        <v>42621</v>
      </c>
      <c r="C36" s="29">
        <v>1</v>
      </c>
      <c r="D36" s="59">
        <v>41772</v>
      </c>
      <c r="E36" s="32">
        <f t="shared" si="0"/>
        <v>2.3194444444444446</v>
      </c>
      <c r="F36" s="60">
        <v>7</v>
      </c>
      <c r="G36" s="60">
        <v>0</v>
      </c>
      <c r="H36" s="32">
        <f t="shared" si="1"/>
        <v>7</v>
      </c>
      <c r="I36" s="60">
        <v>0</v>
      </c>
      <c r="J36" s="60">
        <v>0</v>
      </c>
      <c r="K36" s="60">
        <v>0</v>
      </c>
      <c r="L36" s="60">
        <v>0</v>
      </c>
      <c r="N36" s="29">
        <v>0</v>
      </c>
      <c r="P36" s="29">
        <v>0</v>
      </c>
      <c r="Q36" s="29">
        <v>2</v>
      </c>
      <c r="R36" s="29">
        <v>10</v>
      </c>
      <c r="S36" s="29">
        <v>6</v>
      </c>
      <c r="T36" s="29" t="s">
        <v>212</v>
      </c>
      <c r="U36" s="29">
        <v>1</v>
      </c>
      <c r="V36" s="29">
        <v>2</v>
      </c>
      <c r="W36" s="30">
        <v>2</v>
      </c>
      <c r="X36" s="66">
        <v>0</v>
      </c>
      <c r="Y36" s="29">
        <v>5</v>
      </c>
      <c r="Z36" s="29">
        <v>0</v>
      </c>
      <c r="AA36" s="29">
        <v>1</v>
      </c>
      <c r="AB36" s="29">
        <v>1</v>
      </c>
      <c r="AC36" s="29">
        <v>1</v>
      </c>
      <c r="AE36" s="29">
        <f t="shared" si="2"/>
        <v>3</v>
      </c>
      <c r="AF36" s="29">
        <v>0</v>
      </c>
      <c r="AG36" s="29">
        <v>0</v>
      </c>
      <c r="AN36" s="29">
        <f t="shared" si="3"/>
        <v>0</v>
      </c>
      <c r="AO36" s="29">
        <v>0</v>
      </c>
      <c r="AY36" s="29">
        <v>4</v>
      </c>
      <c r="BB36" s="29">
        <v>0</v>
      </c>
      <c r="BC36" s="29">
        <v>0</v>
      </c>
      <c r="BD36" s="29">
        <v>0</v>
      </c>
      <c r="BE36" s="29">
        <v>0</v>
      </c>
      <c r="BF36" s="29">
        <v>0</v>
      </c>
      <c r="BG36" s="29">
        <v>1</v>
      </c>
      <c r="BH36" s="29">
        <v>1</v>
      </c>
      <c r="BI36" s="29">
        <v>0</v>
      </c>
      <c r="BJ36" s="29">
        <v>0</v>
      </c>
      <c r="BK36" s="29">
        <v>0</v>
      </c>
      <c r="BL36" s="29">
        <v>0</v>
      </c>
      <c r="BM36" s="29">
        <v>0</v>
      </c>
      <c r="BN36" s="29">
        <v>0</v>
      </c>
      <c r="BO36" s="29">
        <v>0</v>
      </c>
      <c r="BP36" s="29">
        <v>0</v>
      </c>
      <c r="BQ36" s="29">
        <v>0</v>
      </c>
    </row>
    <row r="37" spans="1:70">
      <c r="A37" s="29" t="s">
        <v>76</v>
      </c>
      <c r="B37" s="59">
        <v>42636</v>
      </c>
      <c r="C37" s="29">
        <v>1</v>
      </c>
      <c r="D37" s="59">
        <v>41599</v>
      </c>
      <c r="E37" s="32">
        <f t="shared" si="0"/>
        <v>2.838888888888889</v>
      </c>
      <c r="F37" s="67">
        <v>7</v>
      </c>
      <c r="G37" s="60">
        <v>2</v>
      </c>
      <c r="H37" s="32">
        <f t="shared" si="1"/>
        <v>7.125</v>
      </c>
      <c r="I37" s="60">
        <v>0</v>
      </c>
      <c r="J37" s="60">
        <v>0</v>
      </c>
      <c r="K37" s="60">
        <v>0</v>
      </c>
      <c r="L37" s="60">
        <v>0</v>
      </c>
      <c r="N37" s="29">
        <v>1</v>
      </c>
      <c r="O37" s="29" t="s">
        <v>274</v>
      </c>
      <c r="P37" s="29">
        <v>14</v>
      </c>
      <c r="Q37" s="29">
        <v>0</v>
      </c>
      <c r="R37" s="29">
        <v>0</v>
      </c>
      <c r="S37" s="29">
        <v>5</v>
      </c>
      <c r="U37" s="29">
        <v>0</v>
      </c>
      <c r="X37" s="29">
        <v>1</v>
      </c>
      <c r="Y37" s="29">
        <v>1</v>
      </c>
      <c r="Z37" s="29">
        <v>1</v>
      </c>
      <c r="AA37" s="29">
        <v>1</v>
      </c>
      <c r="AB37" s="29">
        <v>1</v>
      </c>
      <c r="AC37" s="29">
        <v>5</v>
      </c>
      <c r="AD37" s="29">
        <v>0</v>
      </c>
      <c r="AE37" s="29">
        <f t="shared" si="2"/>
        <v>8</v>
      </c>
      <c r="AF37" s="29">
        <v>0</v>
      </c>
      <c r="AG37" s="29">
        <v>0</v>
      </c>
      <c r="AN37" s="29">
        <f t="shared" si="3"/>
        <v>0</v>
      </c>
      <c r="AO37" s="29">
        <v>0</v>
      </c>
      <c r="AY37" s="29">
        <v>4</v>
      </c>
      <c r="BB37" s="29">
        <v>0</v>
      </c>
      <c r="BC37" s="29">
        <v>0</v>
      </c>
      <c r="BD37" s="29">
        <v>0</v>
      </c>
      <c r="BE37" s="29">
        <v>0</v>
      </c>
      <c r="BF37" s="29">
        <v>0</v>
      </c>
      <c r="BG37" s="29">
        <v>1</v>
      </c>
      <c r="BH37" s="29">
        <v>0</v>
      </c>
      <c r="BI37" s="29">
        <v>0</v>
      </c>
      <c r="BJ37" s="29">
        <v>0</v>
      </c>
      <c r="BK37" s="29">
        <v>0</v>
      </c>
      <c r="BL37" s="29">
        <v>0</v>
      </c>
      <c r="BM37" s="29">
        <v>0</v>
      </c>
      <c r="BN37" s="29">
        <v>0</v>
      </c>
      <c r="BO37" s="29">
        <v>0</v>
      </c>
      <c r="BP37" s="29">
        <v>0</v>
      </c>
      <c r="BQ37" s="29">
        <v>0</v>
      </c>
    </row>
    <row r="38" spans="1:70">
      <c r="A38" s="29" t="s">
        <v>77</v>
      </c>
      <c r="B38" s="59">
        <v>42653</v>
      </c>
      <c r="C38" s="29">
        <v>1</v>
      </c>
      <c r="D38" s="59">
        <v>41110</v>
      </c>
      <c r="E38" s="32">
        <f t="shared" si="0"/>
        <v>4.2222222222222223</v>
      </c>
      <c r="H38" s="32"/>
      <c r="I38" s="60">
        <v>1</v>
      </c>
      <c r="J38" s="60">
        <v>0</v>
      </c>
      <c r="K38" s="60">
        <v>0</v>
      </c>
      <c r="L38" s="60">
        <v>1</v>
      </c>
      <c r="M38" s="29" t="s">
        <v>275</v>
      </c>
      <c r="N38" s="29">
        <v>0</v>
      </c>
      <c r="P38" s="29">
        <v>6</v>
      </c>
      <c r="Q38" s="29">
        <v>3</v>
      </c>
      <c r="R38" s="29">
        <v>3</v>
      </c>
      <c r="S38" s="29">
        <v>12</v>
      </c>
      <c r="T38" s="29" t="s">
        <v>212</v>
      </c>
      <c r="U38" s="29">
        <v>1</v>
      </c>
      <c r="V38" s="29">
        <v>12</v>
      </c>
      <c r="W38" s="30">
        <v>12</v>
      </c>
      <c r="X38" s="29">
        <v>0</v>
      </c>
      <c r="Y38" s="29">
        <v>0</v>
      </c>
      <c r="Z38" s="29">
        <v>0</v>
      </c>
      <c r="AA38" s="29">
        <v>1</v>
      </c>
      <c r="AB38" s="29">
        <v>1</v>
      </c>
      <c r="AC38" s="29">
        <v>0</v>
      </c>
      <c r="AD38" s="29">
        <v>0</v>
      </c>
      <c r="AE38" s="29">
        <f t="shared" si="2"/>
        <v>2</v>
      </c>
      <c r="AF38" s="29">
        <v>0</v>
      </c>
      <c r="AG38" s="29">
        <v>0</v>
      </c>
      <c r="AN38" s="29">
        <f t="shared" si="3"/>
        <v>0</v>
      </c>
      <c r="AO38" s="29">
        <v>0</v>
      </c>
      <c r="AY38" s="30">
        <v>4</v>
      </c>
      <c r="BB38" s="29">
        <v>0</v>
      </c>
      <c r="BC38" s="29">
        <v>0</v>
      </c>
      <c r="BD38" s="29">
        <v>0</v>
      </c>
      <c r="BE38" s="29">
        <v>0</v>
      </c>
      <c r="BF38" s="29">
        <v>0</v>
      </c>
      <c r="BG38" s="29">
        <v>0</v>
      </c>
      <c r="BH38" s="29">
        <v>1</v>
      </c>
      <c r="BI38" s="29">
        <v>0</v>
      </c>
      <c r="BJ38" s="29">
        <v>0</v>
      </c>
      <c r="BK38" s="29">
        <v>0</v>
      </c>
      <c r="BL38" s="29">
        <v>0</v>
      </c>
      <c r="BM38" s="29">
        <v>0</v>
      </c>
      <c r="BN38" s="29">
        <v>0</v>
      </c>
      <c r="BO38" s="29">
        <v>0</v>
      </c>
      <c r="BP38" s="29">
        <v>1</v>
      </c>
      <c r="BQ38" s="29">
        <v>0</v>
      </c>
    </row>
    <row r="39" spans="1:70">
      <c r="A39" s="29" t="s">
        <v>78</v>
      </c>
      <c r="B39" s="59">
        <v>42972</v>
      </c>
      <c r="C39" s="29">
        <v>1</v>
      </c>
      <c r="D39" s="59">
        <v>40959</v>
      </c>
      <c r="E39" s="32">
        <f t="shared" si="0"/>
        <v>5.5138888888888893</v>
      </c>
      <c r="F39" s="29">
        <v>6.6</v>
      </c>
      <c r="G39" s="29">
        <v>0</v>
      </c>
      <c r="H39" s="32">
        <f t="shared" si="1"/>
        <v>6.6</v>
      </c>
      <c r="I39" s="60">
        <v>1</v>
      </c>
      <c r="J39" s="60">
        <v>1</v>
      </c>
      <c r="K39" s="60">
        <v>4</v>
      </c>
      <c r="L39" s="60">
        <v>2</v>
      </c>
      <c r="M39" s="29" t="s">
        <v>276</v>
      </c>
      <c r="N39" s="29">
        <v>0</v>
      </c>
      <c r="P39" s="29">
        <v>36</v>
      </c>
      <c r="Q39" s="29">
        <v>0</v>
      </c>
      <c r="R39" s="29">
        <v>0</v>
      </c>
      <c r="S39" s="29">
        <v>5</v>
      </c>
      <c r="T39" s="29" t="s">
        <v>277</v>
      </c>
      <c r="U39" s="29">
        <v>1</v>
      </c>
      <c r="V39" s="29">
        <v>12</v>
      </c>
      <c r="W39" s="30">
        <v>12</v>
      </c>
      <c r="X39" s="29">
        <v>0</v>
      </c>
      <c r="Y39" s="29">
        <v>30</v>
      </c>
      <c r="Z39" s="29">
        <v>0</v>
      </c>
      <c r="AA39" s="29">
        <v>1</v>
      </c>
      <c r="AB39" s="29">
        <v>1</v>
      </c>
      <c r="AC39" s="29">
        <v>2</v>
      </c>
      <c r="AD39" s="29">
        <v>1</v>
      </c>
      <c r="AE39" s="29">
        <f t="shared" si="2"/>
        <v>5</v>
      </c>
      <c r="AF39" s="29">
        <v>0</v>
      </c>
      <c r="AG39" s="29">
        <v>0</v>
      </c>
      <c r="AN39" s="29">
        <f t="shared" si="3"/>
        <v>0</v>
      </c>
      <c r="AP39" s="29">
        <v>0</v>
      </c>
      <c r="AY39" s="30">
        <v>4</v>
      </c>
      <c r="BB39" s="29">
        <v>0</v>
      </c>
      <c r="BC39" s="29">
        <v>0</v>
      </c>
      <c r="BD39" s="29">
        <v>0</v>
      </c>
      <c r="BE39" s="29">
        <v>0</v>
      </c>
      <c r="BF39" s="29">
        <v>0</v>
      </c>
      <c r="BG39" s="29">
        <v>0</v>
      </c>
      <c r="BH39" s="29">
        <v>1</v>
      </c>
      <c r="BI39" s="29">
        <v>0</v>
      </c>
      <c r="BJ39" s="29">
        <v>0</v>
      </c>
      <c r="BK39" s="29">
        <v>0</v>
      </c>
      <c r="BL39" s="29">
        <v>0</v>
      </c>
      <c r="BM39" s="29">
        <v>0</v>
      </c>
      <c r="BN39" s="29">
        <v>0</v>
      </c>
      <c r="BO39" s="29">
        <v>0</v>
      </c>
      <c r="BP39" s="29">
        <v>0</v>
      </c>
      <c r="BQ39" s="29">
        <v>1</v>
      </c>
    </row>
    <row r="40" spans="1:70">
      <c r="A40" s="30" t="s">
        <v>79</v>
      </c>
      <c r="B40" s="59">
        <v>42847</v>
      </c>
      <c r="C40" s="29">
        <v>1</v>
      </c>
      <c r="D40" s="59">
        <v>40630</v>
      </c>
      <c r="E40" s="32">
        <f t="shared" si="0"/>
        <v>6.0666666666666664</v>
      </c>
      <c r="F40" s="29">
        <v>8</v>
      </c>
      <c r="G40" s="29">
        <v>0.1</v>
      </c>
      <c r="H40" s="32">
        <f t="shared" si="1"/>
        <v>8.0062499999999996</v>
      </c>
      <c r="I40" s="60">
        <v>0</v>
      </c>
      <c r="J40" s="60">
        <v>0</v>
      </c>
      <c r="K40" s="60">
        <v>0</v>
      </c>
      <c r="L40" s="60">
        <v>1</v>
      </c>
      <c r="M40" s="29" t="s">
        <v>278</v>
      </c>
      <c r="N40" s="29">
        <v>1</v>
      </c>
      <c r="P40" s="29">
        <v>10</v>
      </c>
      <c r="Q40" s="29">
        <v>0</v>
      </c>
      <c r="R40" s="29">
        <v>0</v>
      </c>
      <c r="S40" s="113" t="s">
        <v>279</v>
      </c>
      <c r="T40" s="29" t="s">
        <v>258</v>
      </c>
      <c r="U40" s="29">
        <v>1</v>
      </c>
      <c r="V40" s="29">
        <v>-2</v>
      </c>
      <c r="W40" s="30">
        <v>0</v>
      </c>
      <c r="X40" s="29">
        <v>0</v>
      </c>
      <c r="Y40" s="29">
        <v>25</v>
      </c>
      <c r="Z40" s="30">
        <v>0</v>
      </c>
      <c r="AA40" s="30">
        <v>0</v>
      </c>
      <c r="AB40" s="30">
        <v>0</v>
      </c>
      <c r="AC40" s="30">
        <v>0</v>
      </c>
      <c r="AD40" s="30">
        <v>0</v>
      </c>
      <c r="AE40" s="29">
        <f t="shared" si="2"/>
        <v>0</v>
      </c>
      <c r="AF40" s="30">
        <v>0</v>
      </c>
      <c r="AG40" s="30">
        <v>0</v>
      </c>
      <c r="AN40" s="29">
        <f t="shared" si="3"/>
        <v>0</v>
      </c>
      <c r="AO40" s="29">
        <v>0</v>
      </c>
      <c r="AY40" s="30">
        <v>4</v>
      </c>
      <c r="BB40" s="29">
        <v>2</v>
      </c>
      <c r="BC40" s="29">
        <v>0</v>
      </c>
      <c r="BD40" s="29">
        <v>0</v>
      </c>
      <c r="BE40" s="29">
        <v>0</v>
      </c>
      <c r="BF40" s="29">
        <v>1</v>
      </c>
      <c r="BG40" s="29">
        <v>0</v>
      </c>
      <c r="BH40" s="29">
        <v>2</v>
      </c>
      <c r="BI40" s="29">
        <v>2</v>
      </c>
      <c r="BJ40" s="29">
        <v>1</v>
      </c>
      <c r="BK40" s="29">
        <v>0</v>
      </c>
      <c r="BL40" s="29">
        <v>0</v>
      </c>
      <c r="BM40" s="29">
        <v>0</v>
      </c>
      <c r="BN40" s="29">
        <v>0</v>
      </c>
      <c r="BO40" s="29">
        <v>0</v>
      </c>
      <c r="BP40" s="29" t="s">
        <v>279</v>
      </c>
      <c r="BQ40" s="29">
        <v>0</v>
      </c>
    </row>
    <row r="41" spans="1:70">
      <c r="A41" s="29" t="s">
        <v>80</v>
      </c>
      <c r="B41" s="59">
        <v>42743</v>
      </c>
      <c r="C41" s="29">
        <v>0</v>
      </c>
      <c r="D41" s="59">
        <v>41227</v>
      </c>
      <c r="E41" s="32">
        <f t="shared" si="0"/>
        <v>4.1500000000000004</v>
      </c>
      <c r="F41" s="60">
        <v>7</v>
      </c>
      <c r="G41" s="60">
        <v>11</v>
      </c>
      <c r="H41" s="32">
        <f t="shared" si="1"/>
        <v>7.6875</v>
      </c>
      <c r="I41" s="60">
        <v>1</v>
      </c>
      <c r="J41" s="60">
        <v>0</v>
      </c>
      <c r="K41" s="60">
        <v>0</v>
      </c>
      <c r="L41" s="60">
        <v>0</v>
      </c>
      <c r="N41" s="29">
        <v>0</v>
      </c>
      <c r="P41" s="29">
        <v>6</v>
      </c>
      <c r="Q41" s="29">
        <v>6</v>
      </c>
      <c r="R41" s="29">
        <v>0</v>
      </c>
      <c r="S41" s="29">
        <v>14</v>
      </c>
      <c r="T41" s="29" t="s">
        <v>212</v>
      </c>
      <c r="U41" s="29">
        <v>1</v>
      </c>
      <c r="V41" s="29">
        <v>4</v>
      </c>
      <c r="W41" s="30">
        <v>4</v>
      </c>
      <c r="X41" s="29">
        <v>0</v>
      </c>
      <c r="Y41" s="29">
        <v>10</v>
      </c>
      <c r="Z41" s="29">
        <v>0</v>
      </c>
      <c r="AA41" s="29">
        <v>1</v>
      </c>
      <c r="AB41" s="29">
        <v>0</v>
      </c>
      <c r="AC41" s="29">
        <v>0</v>
      </c>
      <c r="AD41" s="29">
        <v>0</v>
      </c>
      <c r="AE41" s="29">
        <f t="shared" si="2"/>
        <v>1</v>
      </c>
      <c r="AF41" s="29">
        <v>1</v>
      </c>
      <c r="AG41" s="29">
        <v>0</v>
      </c>
      <c r="AN41" s="29">
        <f t="shared" si="3"/>
        <v>0</v>
      </c>
      <c r="AO41" s="29">
        <v>0</v>
      </c>
      <c r="AY41" s="30">
        <v>4</v>
      </c>
      <c r="BB41" s="29">
        <v>0</v>
      </c>
      <c r="BC41" s="29">
        <v>0</v>
      </c>
      <c r="BD41" s="29">
        <v>0</v>
      </c>
      <c r="BE41" s="29">
        <v>0</v>
      </c>
      <c r="BF41" s="29">
        <v>0</v>
      </c>
      <c r="BG41" s="29">
        <v>0</v>
      </c>
      <c r="BH41" s="29">
        <v>2</v>
      </c>
      <c r="BI41" s="29">
        <v>0</v>
      </c>
      <c r="BJ41" s="29">
        <v>0</v>
      </c>
      <c r="BK41" s="29">
        <v>0</v>
      </c>
      <c r="BL41" s="29">
        <v>0</v>
      </c>
      <c r="BM41" s="29">
        <v>0</v>
      </c>
      <c r="BN41" s="29">
        <v>0</v>
      </c>
      <c r="BO41" s="29">
        <v>0</v>
      </c>
      <c r="BP41" s="29">
        <v>2</v>
      </c>
      <c r="BQ41" s="29">
        <v>0</v>
      </c>
      <c r="BR41" s="29" t="s">
        <v>280</v>
      </c>
    </row>
    <row r="42" spans="1:70">
      <c r="A42" s="29" t="s">
        <v>81</v>
      </c>
      <c r="B42" s="59">
        <v>42725</v>
      </c>
      <c r="C42" s="29">
        <v>1</v>
      </c>
      <c r="D42" s="59">
        <v>41849</v>
      </c>
      <c r="E42" s="32">
        <f t="shared" si="0"/>
        <v>2.3944444444444444</v>
      </c>
      <c r="F42" s="60">
        <v>6</v>
      </c>
      <c r="G42" s="60">
        <v>0</v>
      </c>
      <c r="H42" s="32">
        <f t="shared" si="1"/>
        <v>6</v>
      </c>
      <c r="I42" s="60">
        <v>1</v>
      </c>
      <c r="J42" s="60">
        <v>1</v>
      </c>
      <c r="K42" s="60">
        <v>5</v>
      </c>
      <c r="L42" s="60">
        <v>0</v>
      </c>
      <c r="N42" s="29">
        <v>1</v>
      </c>
      <c r="O42" s="29" t="s">
        <v>281</v>
      </c>
      <c r="P42" s="29">
        <v>7</v>
      </c>
      <c r="Q42" s="29">
        <v>1</v>
      </c>
      <c r="R42" s="29">
        <v>4</v>
      </c>
      <c r="S42" s="29">
        <v>7</v>
      </c>
      <c r="U42" s="29">
        <v>1</v>
      </c>
      <c r="V42" s="29">
        <v>6</v>
      </c>
      <c r="W42" s="30">
        <v>6</v>
      </c>
      <c r="X42" s="29">
        <v>0</v>
      </c>
      <c r="Y42" s="29">
        <v>10</v>
      </c>
      <c r="Z42" s="29">
        <v>0</v>
      </c>
      <c r="AA42" s="29">
        <v>0</v>
      </c>
      <c r="AB42" s="29">
        <v>9</v>
      </c>
      <c r="AC42" s="29">
        <v>1</v>
      </c>
      <c r="AD42" s="29" t="s">
        <v>237</v>
      </c>
      <c r="AE42" s="29">
        <f t="shared" si="2"/>
        <v>10</v>
      </c>
      <c r="AF42" s="29">
        <v>0</v>
      </c>
      <c r="AG42" s="29">
        <v>0</v>
      </c>
      <c r="AN42" s="29">
        <f t="shared" si="3"/>
        <v>0</v>
      </c>
      <c r="AO42" s="29">
        <v>1</v>
      </c>
      <c r="AP42" s="29" t="s">
        <v>282</v>
      </c>
      <c r="AQ42" s="29">
        <v>2</v>
      </c>
      <c r="AX42" s="29">
        <v>2</v>
      </c>
      <c r="AY42" s="31">
        <v>1</v>
      </c>
      <c r="AZ42" s="29">
        <v>6</v>
      </c>
      <c r="BB42" s="29">
        <v>2</v>
      </c>
      <c r="BC42" s="29">
        <v>0</v>
      </c>
      <c r="BD42" s="29">
        <v>0</v>
      </c>
      <c r="BE42" s="29">
        <v>0</v>
      </c>
      <c r="BF42" s="29">
        <v>3</v>
      </c>
      <c r="BG42" s="29">
        <v>1</v>
      </c>
      <c r="BH42" s="29">
        <v>2</v>
      </c>
      <c r="BI42" s="29">
        <v>0</v>
      </c>
      <c r="BJ42" s="29">
        <v>0</v>
      </c>
      <c r="BK42" s="29">
        <v>0</v>
      </c>
      <c r="BL42" s="29">
        <v>0</v>
      </c>
      <c r="BM42" s="29">
        <v>0</v>
      </c>
      <c r="BN42" s="29">
        <v>0</v>
      </c>
      <c r="BO42" s="29">
        <v>0</v>
      </c>
      <c r="BP42" s="29">
        <v>2</v>
      </c>
      <c r="BQ42" s="29">
        <v>1</v>
      </c>
      <c r="BR42" s="29" t="s">
        <v>283</v>
      </c>
    </row>
    <row r="43" spans="1:70">
      <c r="A43" s="29" t="s">
        <v>82</v>
      </c>
      <c r="B43" s="59">
        <v>42785</v>
      </c>
      <c r="C43" s="29">
        <v>1</v>
      </c>
      <c r="D43" s="59">
        <v>41103</v>
      </c>
      <c r="E43" s="32">
        <f t="shared" si="0"/>
        <v>4.5999999999999996</v>
      </c>
      <c r="F43" s="60">
        <v>6</v>
      </c>
      <c r="G43" s="60">
        <v>15</v>
      </c>
      <c r="H43" s="32">
        <f t="shared" si="1"/>
        <v>6.9375</v>
      </c>
      <c r="I43" s="60">
        <v>0</v>
      </c>
      <c r="J43" s="60">
        <v>0</v>
      </c>
      <c r="K43" s="60">
        <v>0</v>
      </c>
      <c r="L43" s="60">
        <v>0</v>
      </c>
      <c r="N43" s="29">
        <v>0</v>
      </c>
      <c r="P43" s="29">
        <v>18</v>
      </c>
      <c r="Q43" s="29">
        <v>0</v>
      </c>
      <c r="R43" s="29">
        <v>0</v>
      </c>
      <c r="S43" s="29">
        <v>5</v>
      </c>
      <c r="T43" s="29" t="s">
        <v>284</v>
      </c>
      <c r="U43" s="29">
        <v>1</v>
      </c>
      <c r="V43" s="30">
        <v>-52</v>
      </c>
      <c r="W43" s="30">
        <v>0</v>
      </c>
      <c r="X43" s="29">
        <v>1</v>
      </c>
      <c r="Y43" s="29">
        <v>30</v>
      </c>
      <c r="Z43" s="29">
        <v>0</v>
      </c>
      <c r="AA43" s="29">
        <v>0</v>
      </c>
      <c r="AB43" s="29">
        <v>0</v>
      </c>
      <c r="AC43" s="29">
        <v>0</v>
      </c>
      <c r="AD43" s="29">
        <v>0</v>
      </c>
      <c r="AE43" s="29">
        <f t="shared" si="2"/>
        <v>0</v>
      </c>
      <c r="AF43" s="29">
        <v>0</v>
      </c>
      <c r="AG43" s="29">
        <v>1</v>
      </c>
      <c r="AH43" s="29" t="s">
        <v>285</v>
      </c>
      <c r="AI43" s="29">
        <v>2</v>
      </c>
      <c r="AN43" s="29">
        <f t="shared" si="3"/>
        <v>2</v>
      </c>
      <c r="AO43" s="29">
        <v>1</v>
      </c>
      <c r="AP43" s="29" t="s">
        <v>286</v>
      </c>
      <c r="AQ43" s="29">
        <v>2</v>
      </c>
      <c r="AR43" s="29" t="s">
        <v>287</v>
      </c>
      <c r="AS43" s="29">
        <v>1</v>
      </c>
      <c r="AX43" s="29">
        <v>2</v>
      </c>
      <c r="AY43" s="30">
        <v>4</v>
      </c>
      <c r="BB43" s="29">
        <v>0</v>
      </c>
      <c r="BC43" s="29">
        <v>0</v>
      </c>
      <c r="BD43" s="29">
        <v>0</v>
      </c>
      <c r="BE43" s="29">
        <v>0</v>
      </c>
      <c r="BF43" s="29">
        <v>0</v>
      </c>
      <c r="BG43" s="29">
        <v>0</v>
      </c>
      <c r="BH43" s="29">
        <v>0</v>
      </c>
      <c r="BI43" s="29">
        <v>0</v>
      </c>
      <c r="BJ43" s="29">
        <v>0</v>
      </c>
      <c r="BK43" s="29">
        <v>0</v>
      </c>
      <c r="BL43" s="29">
        <v>0</v>
      </c>
      <c r="BM43" s="29">
        <v>0</v>
      </c>
      <c r="BN43" s="29">
        <v>0</v>
      </c>
      <c r="BO43" s="29">
        <v>1</v>
      </c>
      <c r="BP43" s="29">
        <v>3</v>
      </c>
      <c r="BQ43" s="29">
        <v>1</v>
      </c>
    </row>
    <row r="44" spans="1:70">
      <c r="A44" s="29" t="s">
        <v>83</v>
      </c>
      <c r="B44" s="59">
        <v>42746</v>
      </c>
      <c r="C44" s="29">
        <v>0</v>
      </c>
      <c r="D44" s="59">
        <v>41914</v>
      </c>
      <c r="E44" s="32">
        <f t="shared" si="0"/>
        <v>2.2749999999999999</v>
      </c>
      <c r="F44" s="60">
        <v>8</v>
      </c>
      <c r="G44" s="60">
        <v>7</v>
      </c>
      <c r="H44" s="32">
        <f t="shared" si="1"/>
        <v>8.4375</v>
      </c>
      <c r="I44" s="60">
        <v>0</v>
      </c>
      <c r="J44" s="60">
        <v>0</v>
      </c>
      <c r="K44" s="60">
        <v>0</v>
      </c>
      <c r="L44" s="60">
        <v>2</v>
      </c>
      <c r="M44" s="29" t="s">
        <v>288</v>
      </c>
      <c r="N44" s="29">
        <v>2</v>
      </c>
      <c r="O44" s="29" t="s">
        <v>289</v>
      </c>
      <c r="P44" s="29">
        <v>0</v>
      </c>
      <c r="Q44" s="29">
        <v>0</v>
      </c>
      <c r="R44" s="29">
        <v>12</v>
      </c>
      <c r="S44" s="29">
        <v>6</v>
      </c>
      <c r="T44" s="29" t="s">
        <v>290</v>
      </c>
      <c r="U44" s="29">
        <v>1</v>
      </c>
      <c r="V44" s="29">
        <v>7</v>
      </c>
      <c r="W44" s="30">
        <v>7</v>
      </c>
      <c r="X44" s="29">
        <v>0</v>
      </c>
      <c r="Y44" s="29">
        <v>10</v>
      </c>
      <c r="Z44" s="29">
        <v>1</v>
      </c>
      <c r="AA44" s="29">
        <v>1</v>
      </c>
      <c r="AB44" s="29">
        <v>1</v>
      </c>
      <c r="AC44" s="29">
        <v>0</v>
      </c>
      <c r="AD44" s="29">
        <v>0</v>
      </c>
      <c r="AE44" s="29">
        <f t="shared" si="2"/>
        <v>3</v>
      </c>
      <c r="AF44" s="29">
        <v>0</v>
      </c>
      <c r="AG44" s="29">
        <v>1</v>
      </c>
      <c r="AH44" s="29" t="s">
        <v>291</v>
      </c>
      <c r="AI44" s="29">
        <v>2</v>
      </c>
      <c r="AN44" s="29">
        <f t="shared" si="3"/>
        <v>2</v>
      </c>
      <c r="AO44" s="29">
        <v>1</v>
      </c>
      <c r="AP44" s="29" t="s">
        <v>242</v>
      </c>
      <c r="AQ44" s="29">
        <v>2</v>
      </c>
      <c r="AX44" s="29">
        <v>2</v>
      </c>
      <c r="AY44" s="30">
        <v>4</v>
      </c>
      <c r="BB44" s="29">
        <v>3</v>
      </c>
      <c r="BC44" s="29">
        <v>0</v>
      </c>
      <c r="BD44" s="29">
        <v>0</v>
      </c>
      <c r="BE44" s="29">
        <v>1</v>
      </c>
      <c r="BF44" s="29">
        <v>0</v>
      </c>
      <c r="BG44" s="29">
        <v>1</v>
      </c>
      <c r="BH44" s="29">
        <v>1</v>
      </c>
      <c r="BI44" s="29">
        <v>3</v>
      </c>
      <c r="BJ44" s="29">
        <v>1</v>
      </c>
      <c r="BK44" s="29">
        <v>0</v>
      </c>
      <c r="BL44" s="29">
        <v>0</v>
      </c>
      <c r="BM44" s="29">
        <v>1</v>
      </c>
      <c r="BN44" s="29">
        <v>2</v>
      </c>
      <c r="BO44" s="29">
        <v>0</v>
      </c>
      <c r="BP44" s="29">
        <v>2</v>
      </c>
      <c r="BQ44" s="29">
        <v>0</v>
      </c>
    </row>
    <row r="45" spans="1:70">
      <c r="A45" s="29" t="s">
        <v>84</v>
      </c>
      <c r="B45" s="59">
        <v>42765</v>
      </c>
      <c r="C45" s="29">
        <v>1</v>
      </c>
      <c r="D45" s="59">
        <v>41684</v>
      </c>
      <c r="E45" s="32">
        <f t="shared" si="0"/>
        <v>2.9611111111111112</v>
      </c>
      <c r="F45" s="60">
        <v>8</v>
      </c>
      <c r="G45" s="60">
        <v>3</v>
      </c>
      <c r="H45" s="32">
        <f t="shared" si="1"/>
        <v>8.1875</v>
      </c>
      <c r="I45" s="60">
        <v>1</v>
      </c>
      <c r="J45" s="60">
        <v>0</v>
      </c>
      <c r="K45" s="60">
        <v>0</v>
      </c>
      <c r="L45" s="60">
        <v>1</v>
      </c>
      <c r="M45" s="29" t="s">
        <v>292</v>
      </c>
      <c r="N45" s="29">
        <v>2</v>
      </c>
      <c r="O45" s="29" t="s">
        <v>293</v>
      </c>
      <c r="P45" s="29">
        <v>0.5</v>
      </c>
      <c r="Q45" s="29">
        <v>3.5</v>
      </c>
      <c r="R45" s="29">
        <v>8</v>
      </c>
      <c r="S45" s="29">
        <v>4</v>
      </c>
      <c r="T45" s="29" t="s">
        <v>212</v>
      </c>
      <c r="U45" s="29">
        <v>1</v>
      </c>
      <c r="V45" s="29">
        <v>-6</v>
      </c>
      <c r="W45" s="30">
        <v>0</v>
      </c>
      <c r="X45" s="29">
        <v>1</v>
      </c>
      <c r="Y45" s="29">
        <v>20</v>
      </c>
      <c r="Z45" s="29">
        <v>0</v>
      </c>
      <c r="AA45" s="29">
        <v>0</v>
      </c>
      <c r="AB45" s="29">
        <v>0</v>
      </c>
      <c r="AC45" s="29">
        <v>0</v>
      </c>
      <c r="AD45" s="29">
        <v>0</v>
      </c>
      <c r="AE45" s="29">
        <f t="shared" si="2"/>
        <v>0</v>
      </c>
      <c r="AF45" s="29">
        <v>0</v>
      </c>
      <c r="AG45" s="29">
        <v>0</v>
      </c>
      <c r="AN45" s="29">
        <f t="shared" si="3"/>
        <v>0</v>
      </c>
      <c r="AO45" s="29">
        <v>1</v>
      </c>
      <c r="AP45" s="29" t="s">
        <v>282</v>
      </c>
      <c r="AQ45" s="29">
        <v>1</v>
      </c>
      <c r="AX45" s="30">
        <v>1</v>
      </c>
      <c r="AY45" s="30">
        <v>4</v>
      </c>
      <c r="BB45" s="29">
        <v>1</v>
      </c>
      <c r="BC45" s="29">
        <v>0</v>
      </c>
      <c r="BD45" s="29">
        <v>0</v>
      </c>
      <c r="BE45" s="29">
        <v>0</v>
      </c>
      <c r="BF45" s="29">
        <v>2</v>
      </c>
      <c r="BG45" s="29">
        <v>0</v>
      </c>
      <c r="BH45" s="29">
        <v>2</v>
      </c>
      <c r="BI45" s="29">
        <v>1</v>
      </c>
      <c r="BJ45" s="29">
        <v>0</v>
      </c>
      <c r="BK45" s="29">
        <v>0</v>
      </c>
      <c r="BL45" s="29">
        <v>0</v>
      </c>
      <c r="BM45" s="29">
        <v>0</v>
      </c>
      <c r="BN45" s="29">
        <v>1</v>
      </c>
      <c r="BO45" s="29">
        <v>0</v>
      </c>
      <c r="BP45" s="29">
        <v>2</v>
      </c>
      <c r="BQ45" s="29">
        <v>0</v>
      </c>
    </row>
    <row r="46" spans="1:70">
      <c r="A46" s="29" t="s">
        <v>85</v>
      </c>
      <c r="B46" s="59">
        <v>42756</v>
      </c>
      <c r="C46" s="29">
        <v>0</v>
      </c>
      <c r="D46" s="59">
        <v>41745</v>
      </c>
      <c r="E46" s="32">
        <f t="shared" si="0"/>
        <v>2.7638888888888888</v>
      </c>
      <c r="F46" s="60">
        <v>8</v>
      </c>
      <c r="G46" s="60">
        <v>11</v>
      </c>
      <c r="H46" s="32">
        <f t="shared" si="1"/>
        <v>8.6875</v>
      </c>
      <c r="I46" s="60">
        <v>0</v>
      </c>
      <c r="J46" s="60">
        <v>0</v>
      </c>
      <c r="K46" s="60">
        <v>0</v>
      </c>
      <c r="L46" s="60">
        <v>0</v>
      </c>
      <c r="N46" s="29">
        <v>1</v>
      </c>
      <c r="O46" s="29" t="s">
        <v>294</v>
      </c>
      <c r="P46" s="29">
        <v>3</v>
      </c>
      <c r="Q46" s="29">
        <v>1</v>
      </c>
      <c r="R46" s="29">
        <v>8</v>
      </c>
      <c r="S46" s="29">
        <v>5</v>
      </c>
      <c r="T46" s="29" t="s">
        <v>212</v>
      </c>
      <c r="U46" s="29">
        <v>1</v>
      </c>
      <c r="V46" s="29">
        <v>-8</v>
      </c>
      <c r="W46" s="30">
        <v>0</v>
      </c>
      <c r="X46" s="29">
        <v>0</v>
      </c>
      <c r="Y46" s="29">
        <v>50</v>
      </c>
      <c r="Z46" s="29">
        <v>0</v>
      </c>
      <c r="AA46" s="29">
        <v>4</v>
      </c>
      <c r="AB46" s="29">
        <v>3</v>
      </c>
      <c r="AC46" s="29">
        <v>2</v>
      </c>
      <c r="AD46" s="29">
        <v>0</v>
      </c>
      <c r="AE46" s="29">
        <f t="shared" si="2"/>
        <v>9</v>
      </c>
      <c r="AF46" s="29">
        <v>0</v>
      </c>
      <c r="AG46" s="29">
        <v>0</v>
      </c>
      <c r="AN46" s="29">
        <f t="shared" si="3"/>
        <v>0</v>
      </c>
      <c r="AO46" s="29">
        <v>0</v>
      </c>
      <c r="AY46" s="30">
        <v>4</v>
      </c>
      <c r="BB46" s="29">
        <v>0</v>
      </c>
      <c r="BC46" s="29">
        <v>0</v>
      </c>
      <c r="BD46" s="29">
        <v>0</v>
      </c>
      <c r="BE46" s="29">
        <v>0</v>
      </c>
      <c r="BF46" s="29">
        <v>0</v>
      </c>
      <c r="BG46" s="29">
        <v>0</v>
      </c>
      <c r="BH46" s="29">
        <v>1</v>
      </c>
      <c r="BI46" s="29">
        <v>0</v>
      </c>
      <c r="BJ46" s="29">
        <v>0</v>
      </c>
      <c r="BK46" s="29">
        <v>0</v>
      </c>
      <c r="BL46" s="29">
        <v>0</v>
      </c>
      <c r="BM46" s="29">
        <v>0</v>
      </c>
      <c r="BN46" s="29">
        <v>1</v>
      </c>
      <c r="BO46" s="29">
        <v>0</v>
      </c>
      <c r="BP46" s="29">
        <v>1</v>
      </c>
      <c r="BQ46" s="29">
        <v>1</v>
      </c>
    </row>
    <row r="47" spans="1:70">
      <c r="A47" s="29" t="s">
        <v>86</v>
      </c>
      <c r="B47" s="59">
        <v>42768</v>
      </c>
      <c r="C47" s="29">
        <v>0</v>
      </c>
      <c r="D47" s="59">
        <v>41991</v>
      </c>
      <c r="E47" s="32">
        <f t="shared" si="0"/>
        <v>2.1222222222222222</v>
      </c>
      <c r="F47" s="60">
        <v>7</v>
      </c>
      <c r="G47" s="60">
        <v>5</v>
      </c>
      <c r="H47" s="32">
        <f t="shared" si="1"/>
        <v>7.3125</v>
      </c>
      <c r="I47" s="60">
        <v>1</v>
      </c>
      <c r="J47" s="60">
        <v>0</v>
      </c>
      <c r="K47" s="60">
        <v>0</v>
      </c>
      <c r="L47" s="60">
        <v>1</v>
      </c>
      <c r="M47" s="29" t="s">
        <v>295</v>
      </c>
      <c r="N47" s="29">
        <v>1</v>
      </c>
      <c r="O47" s="29" t="s">
        <v>296</v>
      </c>
      <c r="P47" s="29">
        <v>6</v>
      </c>
      <c r="Q47" s="29">
        <v>1</v>
      </c>
      <c r="R47" s="29">
        <v>5</v>
      </c>
      <c r="S47" s="29">
        <v>6</v>
      </c>
      <c r="T47" s="29" t="s">
        <v>212</v>
      </c>
      <c r="U47" s="29">
        <v>1</v>
      </c>
      <c r="V47" s="29">
        <v>-4</v>
      </c>
      <c r="W47" s="30">
        <v>0</v>
      </c>
      <c r="X47" s="29">
        <v>0</v>
      </c>
      <c r="Y47" s="29">
        <v>0</v>
      </c>
      <c r="Z47" s="29">
        <v>0</v>
      </c>
      <c r="AA47" s="29">
        <v>0</v>
      </c>
      <c r="AB47" s="29">
        <v>2</v>
      </c>
      <c r="AC47" s="29">
        <v>0</v>
      </c>
      <c r="AD47" s="29">
        <v>0</v>
      </c>
      <c r="AE47" s="29">
        <f t="shared" si="2"/>
        <v>2</v>
      </c>
      <c r="AF47" s="29">
        <v>0</v>
      </c>
      <c r="AG47" s="29">
        <v>0</v>
      </c>
      <c r="AN47" s="29">
        <f t="shared" si="3"/>
        <v>0</v>
      </c>
      <c r="AO47" s="29">
        <v>0</v>
      </c>
      <c r="AY47" s="30">
        <v>4</v>
      </c>
      <c r="BB47" s="29">
        <v>1</v>
      </c>
      <c r="BC47" s="29">
        <v>0</v>
      </c>
      <c r="BD47" s="29">
        <v>0</v>
      </c>
      <c r="BE47" s="29">
        <v>0</v>
      </c>
      <c r="BF47" s="29">
        <v>1</v>
      </c>
      <c r="BG47" s="29">
        <v>0</v>
      </c>
      <c r="BH47" s="29">
        <v>2</v>
      </c>
      <c r="BI47" s="29">
        <v>0</v>
      </c>
      <c r="BJ47" s="29">
        <v>2</v>
      </c>
      <c r="BK47" s="29">
        <v>0</v>
      </c>
      <c r="BL47" s="29">
        <v>0</v>
      </c>
      <c r="BM47" s="29">
        <v>0</v>
      </c>
      <c r="BN47" s="29">
        <v>0</v>
      </c>
      <c r="BO47" s="29">
        <v>0</v>
      </c>
      <c r="BP47" s="29">
        <v>2</v>
      </c>
      <c r="BQ47" s="29">
        <v>0</v>
      </c>
      <c r="BR47" s="29" t="s">
        <v>297</v>
      </c>
    </row>
    <row r="48" spans="1:70">
      <c r="A48" s="29" t="s">
        <v>87</v>
      </c>
      <c r="B48" s="59">
        <v>42764</v>
      </c>
      <c r="C48" s="29">
        <v>0</v>
      </c>
      <c r="D48" s="59">
        <v>40735</v>
      </c>
      <c r="E48" s="32">
        <f t="shared" si="0"/>
        <v>5.55</v>
      </c>
      <c r="F48" s="60">
        <v>6</v>
      </c>
      <c r="G48" s="60">
        <v>9</v>
      </c>
      <c r="H48" s="32">
        <f t="shared" si="1"/>
        <v>6.5625</v>
      </c>
      <c r="I48" s="60">
        <v>0</v>
      </c>
      <c r="J48" s="60">
        <v>0</v>
      </c>
      <c r="K48" s="60">
        <v>0</v>
      </c>
      <c r="L48" s="60">
        <v>0</v>
      </c>
      <c r="N48" s="29">
        <v>0</v>
      </c>
      <c r="P48" s="29">
        <v>12</v>
      </c>
      <c r="Q48" s="29">
        <v>0</v>
      </c>
      <c r="R48" s="29">
        <v>0</v>
      </c>
      <c r="S48" s="29">
        <v>6</v>
      </c>
      <c r="T48" s="29" t="s">
        <v>284</v>
      </c>
      <c r="U48" s="29">
        <v>1</v>
      </c>
      <c r="V48" s="29">
        <v>-52</v>
      </c>
      <c r="W48" s="30">
        <v>0</v>
      </c>
      <c r="X48" s="29">
        <v>0</v>
      </c>
      <c r="Y48" s="29">
        <v>80</v>
      </c>
      <c r="Z48" s="29">
        <v>0</v>
      </c>
      <c r="AA48" s="29">
        <v>0</v>
      </c>
      <c r="AB48" s="29">
        <v>1</v>
      </c>
      <c r="AC48" s="29">
        <v>0</v>
      </c>
      <c r="AD48" s="29">
        <v>1</v>
      </c>
      <c r="AE48" s="29">
        <f t="shared" si="2"/>
        <v>2</v>
      </c>
      <c r="AF48" s="29">
        <v>2</v>
      </c>
      <c r="AG48" s="29">
        <v>0</v>
      </c>
      <c r="AN48" s="29">
        <f t="shared" si="3"/>
        <v>0</v>
      </c>
      <c r="AO48" s="29">
        <v>1</v>
      </c>
      <c r="AP48" s="29" t="s">
        <v>266</v>
      </c>
      <c r="AQ48" s="29">
        <v>1</v>
      </c>
      <c r="AR48" s="29" t="s">
        <v>268</v>
      </c>
      <c r="AS48" s="29">
        <v>1</v>
      </c>
      <c r="AX48" s="29">
        <v>1</v>
      </c>
      <c r="AY48" s="30">
        <v>4</v>
      </c>
      <c r="BB48" s="29">
        <v>0</v>
      </c>
      <c r="BC48" s="29">
        <v>0</v>
      </c>
      <c r="BD48" s="29">
        <v>0</v>
      </c>
      <c r="BE48" s="29">
        <v>0</v>
      </c>
      <c r="BF48" s="29">
        <v>0</v>
      </c>
      <c r="BG48" s="29">
        <v>0</v>
      </c>
      <c r="BH48" s="29">
        <v>1</v>
      </c>
      <c r="BI48" s="29">
        <v>0</v>
      </c>
      <c r="BJ48" s="29">
        <v>0</v>
      </c>
      <c r="BK48" s="29">
        <v>0</v>
      </c>
      <c r="BL48" s="29">
        <v>0</v>
      </c>
      <c r="BM48" s="29">
        <v>0</v>
      </c>
      <c r="BN48" s="29">
        <v>2</v>
      </c>
      <c r="BO48" s="29">
        <v>0</v>
      </c>
      <c r="BP48" s="29">
        <v>2</v>
      </c>
      <c r="BQ48" s="29">
        <v>1</v>
      </c>
    </row>
    <row r="49" spans="1:70">
      <c r="A49" s="29" t="s">
        <v>88</v>
      </c>
      <c r="B49" s="59">
        <v>42761</v>
      </c>
      <c r="C49" s="29">
        <v>1</v>
      </c>
      <c r="D49" s="59">
        <v>41334</v>
      </c>
      <c r="E49" s="32">
        <f t="shared" si="0"/>
        <v>3.9027777777777777</v>
      </c>
      <c r="F49" s="60">
        <v>7</v>
      </c>
      <c r="G49" s="60">
        <v>1</v>
      </c>
      <c r="H49" s="32">
        <f t="shared" si="1"/>
        <v>7.0625</v>
      </c>
      <c r="I49" s="60">
        <v>0</v>
      </c>
      <c r="J49" s="60">
        <v>0</v>
      </c>
      <c r="K49" s="60">
        <v>0</v>
      </c>
      <c r="L49" s="60">
        <v>1</v>
      </c>
      <c r="M49" s="29" t="s">
        <v>298</v>
      </c>
      <c r="N49" s="29">
        <v>0</v>
      </c>
      <c r="P49" s="29">
        <v>30</v>
      </c>
      <c r="Q49" s="29">
        <v>0</v>
      </c>
      <c r="R49" s="29">
        <v>0</v>
      </c>
      <c r="S49" s="29">
        <v>6</v>
      </c>
      <c r="T49" s="29" t="s">
        <v>258</v>
      </c>
      <c r="U49" s="29">
        <v>1</v>
      </c>
      <c r="V49" s="29">
        <v>4</v>
      </c>
      <c r="W49" s="30">
        <v>4</v>
      </c>
      <c r="X49" s="29">
        <v>0</v>
      </c>
      <c r="Y49" s="29">
        <v>80</v>
      </c>
      <c r="Z49" s="29">
        <v>0</v>
      </c>
      <c r="AA49" s="29">
        <v>0</v>
      </c>
      <c r="AB49" s="29">
        <v>0</v>
      </c>
      <c r="AC49" s="29">
        <v>0</v>
      </c>
      <c r="AD49" s="29">
        <v>0</v>
      </c>
      <c r="AE49" s="29">
        <f t="shared" si="2"/>
        <v>0</v>
      </c>
      <c r="AF49" s="29">
        <v>0</v>
      </c>
      <c r="AG49" s="29">
        <v>0</v>
      </c>
      <c r="AN49" s="29">
        <f t="shared" si="3"/>
        <v>0</v>
      </c>
      <c r="AO49" s="29">
        <v>0</v>
      </c>
      <c r="AY49" s="30">
        <v>4</v>
      </c>
      <c r="BB49" s="29">
        <v>0</v>
      </c>
      <c r="BC49" s="29">
        <v>0</v>
      </c>
      <c r="BD49" s="29">
        <v>0</v>
      </c>
      <c r="BE49" s="29">
        <v>0</v>
      </c>
      <c r="BF49" s="29">
        <v>0</v>
      </c>
      <c r="BG49" s="29">
        <v>0</v>
      </c>
      <c r="BH49" s="29">
        <v>1</v>
      </c>
      <c r="BI49" s="29">
        <v>0</v>
      </c>
      <c r="BJ49" s="29">
        <v>0</v>
      </c>
      <c r="BK49" s="29">
        <v>0</v>
      </c>
      <c r="BL49" s="29">
        <v>0</v>
      </c>
      <c r="BM49" s="29">
        <v>0</v>
      </c>
      <c r="BN49" s="29">
        <v>0</v>
      </c>
      <c r="BO49" s="29">
        <v>0</v>
      </c>
      <c r="BP49" s="29">
        <v>1</v>
      </c>
      <c r="BQ49" s="29">
        <v>0</v>
      </c>
    </row>
    <row r="50" spans="1:70" s="30" customFormat="1">
      <c r="A50" s="126" t="s">
        <v>768</v>
      </c>
      <c r="B50" s="127">
        <v>42772</v>
      </c>
      <c r="C50" s="126">
        <v>1</v>
      </c>
      <c r="D50" s="127">
        <v>41028</v>
      </c>
      <c r="E50" s="129">
        <v>4.7694444444444448</v>
      </c>
      <c r="F50" s="128">
        <v>9</v>
      </c>
      <c r="G50" s="128">
        <v>4</v>
      </c>
      <c r="H50" s="129">
        <v>9.25</v>
      </c>
      <c r="I50" s="128">
        <v>0</v>
      </c>
      <c r="J50" s="128">
        <v>0</v>
      </c>
      <c r="K50" s="128">
        <v>0</v>
      </c>
      <c r="L50" s="128">
        <v>0</v>
      </c>
      <c r="M50" s="126"/>
      <c r="N50" s="126">
        <v>2</v>
      </c>
      <c r="O50" s="126" t="s">
        <v>781</v>
      </c>
      <c r="P50" s="126">
        <v>30</v>
      </c>
      <c r="Q50" s="126">
        <v>0</v>
      </c>
      <c r="R50" s="126">
        <v>0</v>
      </c>
      <c r="S50" s="126">
        <v>12</v>
      </c>
      <c r="T50" s="126" t="s">
        <v>258</v>
      </c>
      <c r="U50" s="126">
        <v>1</v>
      </c>
      <c r="V50" s="126">
        <v>5</v>
      </c>
      <c r="W50" s="126">
        <v>0</v>
      </c>
      <c r="X50" s="126">
        <v>25</v>
      </c>
      <c r="Y50" s="126">
        <v>0</v>
      </c>
      <c r="Z50" s="126">
        <v>0</v>
      </c>
      <c r="AA50" s="126">
        <v>0</v>
      </c>
      <c r="AB50" s="126">
        <v>0</v>
      </c>
      <c r="AC50" s="126">
        <v>0</v>
      </c>
      <c r="AD50" s="126">
        <v>0</v>
      </c>
      <c r="AE50" s="126">
        <v>0</v>
      </c>
      <c r="AF50" s="126"/>
      <c r="AG50" s="126"/>
      <c r="AH50" s="126"/>
      <c r="AI50" s="126"/>
      <c r="AJ50" s="126"/>
      <c r="AK50" s="126"/>
      <c r="AL50" s="126"/>
      <c r="AM50" s="126"/>
      <c r="AN50" s="126"/>
      <c r="AO50" s="126">
        <v>0</v>
      </c>
      <c r="AP50" s="126"/>
      <c r="AQ50" s="126"/>
      <c r="AR50" s="126"/>
      <c r="AS50" s="126"/>
      <c r="AT50" s="126"/>
      <c r="AU50" s="126"/>
      <c r="AV50" s="126"/>
      <c r="AW50" s="126"/>
      <c r="AX50" s="126"/>
      <c r="AY50" s="126">
        <v>4</v>
      </c>
      <c r="AZ50" s="126"/>
      <c r="BA50" s="126"/>
      <c r="BB50" s="126">
        <v>0</v>
      </c>
      <c r="BC50" s="126">
        <v>0</v>
      </c>
      <c r="BD50" s="126">
        <v>0</v>
      </c>
      <c r="BE50" s="126">
        <v>0</v>
      </c>
      <c r="BF50" s="126">
        <v>0</v>
      </c>
      <c r="BG50" s="126">
        <v>0</v>
      </c>
      <c r="BH50" s="126">
        <v>1</v>
      </c>
      <c r="BI50" s="126">
        <v>0</v>
      </c>
      <c r="BJ50" s="126">
        <v>0</v>
      </c>
      <c r="BK50" s="126">
        <v>0</v>
      </c>
      <c r="BL50" s="126">
        <v>0</v>
      </c>
      <c r="BM50" s="126">
        <v>0</v>
      </c>
      <c r="BN50" s="126">
        <v>0</v>
      </c>
      <c r="BO50" s="126">
        <v>0</v>
      </c>
      <c r="BP50" s="126">
        <v>0</v>
      </c>
      <c r="BQ50" s="126">
        <v>0</v>
      </c>
      <c r="BR50" s="126"/>
    </row>
    <row r="51" spans="1:70">
      <c r="A51" s="29" t="s">
        <v>90</v>
      </c>
      <c r="B51" s="59">
        <v>42765</v>
      </c>
      <c r="C51" s="29">
        <v>0</v>
      </c>
      <c r="D51" s="59">
        <v>41186</v>
      </c>
      <c r="E51" s="32">
        <f t="shared" si="0"/>
        <v>4.322222222222222</v>
      </c>
      <c r="F51" s="60">
        <v>7</v>
      </c>
      <c r="G51" s="60">
        <v>5</v>
      </c>
      <c r="H51" s="32">
        <f t="shared" si="1"/>
        <v>7.3125</v>
      </c>
      <c r="I51" s="60">
        <v>0</v>
      </c>
      <c r="J51" s="60">
        <v>0</v>
      </c>
      <c r="K51" s="60">
        <v>0</v>
      </c>
      <c r="L51" s="60">
        <v>0</v>
      </c>
      <c r="N51" s="29">
        <v>0</v>
      </c>
      <c r="P51" s="29">
        <v>4</v>
      </c>
      <c r="Q51" s="29">
        <v>9</v>
      </c>
      <c r="R51" s="29">
        <v>3</v>
      </c>
      <c r="S51" s="29">
        <v>4</v>
      </c>
      <c r="T51" s="29" t="s">
        <v>212</v>
      </c>
      <c r="U51" s="29">
        <v>1</v>
      </c>
      <c r="V51" s="29">
        <v>2</v>
      </c>
      <c r="W51" s="30">
        <v>2</v>
      </c>
      <c r="X51" s="29">
        <v>0</v>
      </c>
      <c r="Y51" s="29">
        <v>20</v>
      </c>
      <c r="Z51" s="29">
        <v>1</v>
      </c>
      <c r="AA51" s="29">
        <v>1</v>
      </c>
      <c r="AB51" s="29">
        <v>1</v>
      </c>
      <c r="AC51" s="29">
        <v>2</v>
      </c>
      <c r="AD51" s="29">
        <v>2</v>
      </c>
      <c r="AE51" s="29">
        <f t="shared" si="2"/>
        <v>7</v>
      </c>
      <c r="AF51" s="29">
        <v>1</v>
      </c>
      <c r="AG51" s="29">
        <v>0</v>
      </c>
      <c r="AN51" s="29">
        <f t="shared" si="3"/>
        <v>0</v>
      </c>
      <c r="AO51" s="29">
        <v>1</v>
      </c>
      <c r="AP51" s="29" t="s">
        <v>303</v>
      </c>
      <c r="AQ51" s="29">
        <v>1</v>
      </c>
      <c r="AX51" s="29">
        <v>1</v>
      </c>
      <c r="AY51" s="30">
        <v>4</v>
      </c>
      <c r="BB51" s="29">
        <v>3</v>
      </c>
      <c r="BC51" s="29">
        <v>0</v>
      </c>
      <c r="BD51" s="29">
        <v>0</v>
      </c>
      <c r="BE51" s="29">
        <v>0</v>
      </c>
      <c r="BF51" s="29">
        <v>0</v>
      </c>
      <c r="BG51" s="29">
        <v>1</v>
      </c>
      <c r="BH51" s="29">
        <v>3</v>
      </c>
      <c r="BI51" s="29">
        <v>2</v>
      </c>
      <c r="BJ51" s="29">
        <v>0</v>
      </c>
      <c r="BK51" s="29">
        <v>0</v>
      </c>
      <c r="BL51" s="29">
        <v>0</v>
      </c>
      <c r="BM51" s="29">
        <v>0</v>
      </c>
      <c r="BN51" s="29">
        <v>3</v>
      </c>
      <c r="BO51" s="29">
        <v>0</v>
      </c>
      <c r="BP51" s="29">
        <v>3</v>
      </c>
      <c r="BQ51" s="29">
        <v>0</v>
      </c>
    </row>
    <row r="52" spans="1:70">
      <c r="A52" s="29" t="s">
        <v>91</v>
      </c>
      <c r="B52" s="59">
        <v>42411</v>
      </c>
      <c r="C52" s="29">
        <v>0</v>
      </c>
      <c r="D52" s="59">
        <v>41112</v>
      </c>
      <c r="E52" s="32">
        <f t="shared" si="0"/>
        <v>3.5527777777777776</v>
      </c>
      <c r="F52" s="60">
        <v>8</v>
      </c>
      <c r="G52" s="60">
        <v>11</v>
      </c>
      <c r="H52" s="32">
        <f t="shared" si="1"/>
        <v>8.6875</v>
      </c>
      <c r="I52" s="60">
        <v>0</v>
      </c>
      <c r="J52" s="60">
        <v>0</v>
      </c>
      <c r="K52" s="60">
        <v>0</v>
      </c>
      <c r="L52" s="60">
        <v>0</v>
      </c>
      <c r="N52" s="29">
        <v>0</v>
      </c>
      <c r="P52" s="29">
        <v>3</v>
      </c>
      <c r="Q52" s="29">
        <v>6</v>
      </c>
      <c r="R52" s="29">
        <v>6</v>
      </c>
      <c r="S52" s="29">
        <v>4</v>
      </c>
      <c r="T52" s="29" t="s">
        <v>212</v>
      </c>
      <c r="U52" s="29">
        <v>1</v>
      </c>
      <c r="V52" s="29">
        <v>8</v>
      </c>
      <c r="W52" s="30">
        <v>8</v>
      </c>
      <c r="X52" s="29">
        <v>0</v>
      </c>
      <c r="Y52" s="29">
        <v>30</v>
      </c>
      <c r="Z52" s="29">
        <v>1</v>
      </c>
      <c r="AA52" s="29">
        <v>1</v>
      </c>
      <c r="AB52" s="29">
        <v>1</v>
      </c>
      <c r="AC52" s="29">
        <v>2</v>
      </c>
      <c r="AD52" s="29">
        <v>1</v>
      </c>
      <c r="AE52" s="29">
        <f t="shared" si="2"/>
        <v>6</v>
      </c>
      <c r="AF52" s="29">
        <v>0</v>
      </c>
      <c r="AG52" s="29">
        <v>0</v>
      </c>
      <c r="AN52" s="29">
        <f t="shared" si="3"/>
        <v>0</v>
      </c>
      <c r="AO52" s="29">
        <v>0</v>
      </c>
      <c r="AY52" s="30">
        <v>4</v>
      </c>
      <c r="BB52" s="29">
        <v>0</v>
      </c>
      <c r="BC52" s="29">
        <v>0</v>
      </c>
      <c r="BD52" s="29">
        <v>0</v>
      </c>
      <c r="BE52" s="29">
        <v>0</v>
      </c>
      <c r="BF52" s="29">
        <v>0</v>
      </c>
      <c r="BG52" s="29">
        <v>0</v>
      </c>
      <c r="BH52" s="29">
        <v>0</v>
      </c>
      <c r="BI52" s="29">
        <v>0</v>
      </c>
      <c r="BJ52" s="29">
        <v>0</v>
      </c>
      <c r="BK52" s="29">
        <v>0</v>
      </c>
      <c r="BL52" s="29">
        <v>0</v>
      </c>
      <c r="BM52" s="29">
        <v>0</v>
      </c>
      <c r="BN52" s="29">
        <v>1</v>
      </c>
      <c r="BO52" s="29">
        <v>0</v>
      </c>
      <c r="BP52" s="29">
        <v>0</v>
      </c>
      <c r="BQ52" s="29">
        <v>0</v>
      </c>
    </row>
    <row r="53" spans="1:70">
      <c r="A53" s="29" t="s">
        <v>92</v>
      </c>
      <c r="B53" s="59">
        <v>42769</v>
      </c>
      <c r="C53" s="29">
        <v>1</v>
      </c>
      <c r="D53" s="59">
        <v>42060</v>
      </c>
      <c r="E53" s="32">
        <f t="shared" si="0"/>
        <v>1.9388888888888889</v>
      </c>
      <c r="F53" s="60">
        <v>6</v>
      </c>
      <c r="G53" s="60">
        <v>8</v>
      </c>
      <c r="H53" s="32">
        <f t="shared" si="1"/>
        <v>6.5</v>
      </c>
      <c r="I53" s="60">
        <v>0</v>
      </c>
      <c r="J53" s="60">
        <v>0</v>
      </c>
      <c r="K53" s="60">
        <v>0</v>
      </c>
      <c r="L53" s="60">
        <v>2</v>
      </c>
      <c r="M53" s="29" t="s">
        <v>244</v>
      </c>
      <c r="N53" s="29">
        <v>0</v>
      </c>
      <c r="P53" s="29">
        <v>5</v>
      </c>
      <c r="Q53" s="29">
        <v>2</v>
      </c>
      <c r="R53" s="29">
        <v>5</v>
      </c>
      <c r="S53" s="29">
        <v>4</v>
      </c>
      <c r="T53" s="29" t="s">
        <v>212</v>
      </c>
      <c r="U53" s="29">
        <v>1</v>
      </c>
      <c r="V53" s="29">
        <v>4</v>
      </c>
      <c r="W53" s="30">
        <v>4</v>
      </c>
      <c r="X53" s="29">
        <v>0</v>
      </c>
      <c r="Y53" s="29">
        <v>0</v>
      </c>
      <c r="Z53" s="29">
        <v>1</v>
      </c>
      <c r="AA53" s="29">
        <v>3</v>
      </c>
      <c r="AB53" s="29">
        <v>3</v>
      </c>
      <c r="AC53" s="29">
        <v>0</v>
      </c>
      <c r="AD53" s="29">
        <v>0</v>
      </c>
      <c r="AE53" s="29">
        <f t="shared" si="2"/>
        <v>7</v>
      </c>
      <c r="AF53" s="29">
        <v>0</v>
      </c>
      <c r="AG53" s="29">
        <v>0</v>
      </c>
      <c r="AN53" s="29">
        <f t="shared" si="3"/>
        <v>0</v>
      </c>
      <c r="AO53" s="29">
        <v>0</v>
      </c>
      <c r="AY53" s="29">
        <v>4</v>
      </c>
      <c r="BB53" s="29">
        <v>0</v>
      </c>
      <c r="BC53" s="29">
        <v>0</v>
      </c>
      <c r="BD53" s="29">
        <v>0</v>
      </c>
      <c r="BE53" s="29">
        <v>0</v>
      </c>
      <c r="BF53" s="29">
        <v>0</v>
      </c>
      <c r="BG53" s="29">
        <v>0</v>
      </c>
      <c r="BH53" s="29">
        <v>2</v>
      </c>
      <c r="BI53" s="29">
        <v>1</v>
      </c>
      <c r="BJ53" s="29">
        <v>2</v>
      </c>
      <c r="BK53" s="29">
        <v>0</v>
      </c>
      <c r="BL53" s="29">
        <v>0</v>
      </c>
      <c r="BM53" s="29">
        <v>1</v>
      </c>
      <c r="BN53" s="29">
        <v>0</v>
      </c>
      <c r="BO53" s="29">
        <v>0</v>
      </c>
      <c r="BP53" s="29">
        <v>2</v>
      </c>
      <c r="BQ53" s="29">
        <v>0</v>
      </c>
    </row>
    <row r="54" spans="1:70" s="30" customFormat="1">
      <c r="A54" s="29" t="s">
        <v>118</v>
      </c>
      <c r="B54" s="61">
        <v>42852</v>
      </c>
      <c r="C54" s="30">
        <v>1</v>
      </c>
      <c r="D54" s="61">
        <v>40629</v>
      </c>
      <c r="E54" s="32">
        <f t="shared" si="0"/>
        <v>6.083333333333333</v>
      </c>
      <c r="F54" s="62">
        <v>8</v>
      </c>
      <c r="G54" s="62">
        <v>6</v>
      </c>
      <c r="H54" s="32">
        <f t="shared" si="1"/>
        <v>8.375</v>
      </c>
      <c r="I54" s="62">
        <v>0</v>
      </c>
      <c r="J54" s="62">
        <v>0</v>
      </c>
      <c r="K54" s="62">
        <v>0</v>
      </c>
      <c r="L54" s="62">
        <v>0</v>
      </c>
      <c r="N54" s="30">
        <v>0</v>
      </c>
      <c r="P54" s="30">
        <v>18</v>
      </c>
      <c r="Q54" s="30">
        <v>0</v>
      </c>
      <c r="R54" s="30">
        <v>0</v>
      </c>
      <c r="S54" s="30">
        <v>10</v>
      </c>
      <c r="U54" s="30">
        <v>1</v>
      </c>
      <c r="V54" s="30">
        <v>4</v>
      </c>
      <c r="W54" s="30">
        <v>4</v>
      </c>
      <c r="X54" s="30">
        <v>0</v>
      </c>
      <c r="Y54" s="30">
        <v>10</v>
      </c>
      <c r="Z54" s="30">
        <v>0</v>
      </c>
      <c r="AA54" s="30">
        <v>0</v>
      </c>
      <c r="AB54" s="30">
        <v>0</v>
      </c>
      <c r="AC54" s="30">
        <v>0</v>
      </c>
      <c r="AD54" s="30">
        <v>0</v>
      </c>
      <c r="AE54" s="29">
        <f t="shared" si="2"/>
        <v>0</v>
      </c>
      <c r="AF54" s="30">
        <v>0</v>
      </c>
      <c r="AG54" s="30">
        <v>0</v>
      </c>
      <c r="AN54" s="29">
        <f t="shared" si="3"/>
        <v>0</v>
      </c>
      <c r="AO54" s="30">
        <v>0</v>
      </c>
      <c r="AY54" s="30">
        <v>4</v>
      </c>
      <c r="BB54" s="30">
        <v>0</v>
      </c>
      <c r="BC54" s="30">
        <v>0</v>
      </c>
      <c r="BD54" s="30">
        <v>0</v>
      </c>
      <c r="BE54" s="30">
        <v>0</v>
      </c>
      <c r="BF54" s="30">
        <v>2</v>
      </c>
      <c r="BG54" s="30">
        <v>0</v>
      </c>
      <c r="BH54" s="30">
        <v>1</v>
      </c>
      <c r="BI54" s="30">
        <v>1</v>
      </c>
      <c r="BJ54" s="30">
        <v>0</v>
      </c>
      <c r="BK54" s="30">
        <v>0</v>
      </c>
      <c r="BL54" s="30">
        <v>0</v>
      </c>
      <c r="BM54" s="30">
        <v>0</v>
      </c>
      <c r="BN54" s="30">
        <v>0</v>
      </c>
      <c r="BO54" s="30">
        <v>0</v>
      </c>
      <c r="BP54" s="30">
        <v>0</v>
      </c>
      <c r="BQ54" s="30">
        <v>0</v>
      </c>
    </row>
    <row r="55" spans="1:70">
      <c r="A55" s="29" t="s">
        <v>94</v>
      </c>
      <c r="B55" s="59">
        <v>42788</v>
      </c>
      <c r="C55" s="29">
        <v>0</v>
      </c>
      <c r="D55" s="59">
        <v>42005</v>
      </c>
      <c r="E55" s="32">
        <f t="shared" si="0"/>
        <v>2.1416666666666666</v>
      </c>
      <c r="F55" s="60">
        <v>5</v>
      </c>
      <c r="G55" s="60">
        <v>10</v>
      </c>
      <c r="H55" s="32">
        <f t="shared" si="1"/>
        <v>5.625</v>
      </c>
      <c r="I55" s="60">
        <v>0</v>
      </c>
      <c r="J55" s="60">
        <v>0</v>
      </c>
      <c r="K55" s="60">
        <v>0</v>
      </c>
      <c r="L55" s="60">
        <v>0</v>
      </c>
      <c r="N55" s="29">
        <v>3</v>
      </c>
      <c r="O55" s="29" t="s">
        <v>304</v>
      </c>
      <c r="P55" s="31">
        <v>0</v>
      </c>
      <c r="Q55" s="29">
        <v>15</v>
      </c>
      <c r="R55" s="29">
        <v>0</v>
      </c>
      <c r="S55" s="29">
        <v>4</v>
      </c>
      <c r="U55" s="29">
        <v>1</v>
      </c>
      <c r="V55" s="31" t="s">
        <v>770</v>
      </c>
      <c r="X55" s="29">
        <v>0</v>
      </c>
      <c r="Y55" s="29">
        <v>25</v>
      </c>
      <c r="Z55" s="29">
        <v>2</v>
      </c>
      <c r="AA55" s="29">
        <v>2</v>
      </c>
      <c r="AB55" s="29">
        <v>2</v>
      </c>
      <c r="AE55" s="29">
        <f t="shared" si="2"/>
        <v>6</v>
      </c>
      <c r="AF55" s="29">
        <v>1</v>
      </c>
      <c r="AG55" s="29">
        <v>0</v>
      </c>
      <c r="AN55" s="29">
        <f t="shared" si="3"/>
        <v>0</v>
      </c>
      <c r="AO55" s="29">
        <v>0</v>
      </c>
      <c r="AY55" s="29">
        <v>4</v>
      </c>
      <c r="BB55" s="29">
        <v>0</v>
      </c>
      <c r="BC55" s="29">
        <v>0</v>
      </c>
      <c r="BD55" s="29">
        <v>0</v>
      </c>
      <c r="BE55" s="29">
        <v>0</v>
      </c>
      <c r="BF55" s="29">
        <v>0</v>
      </c>
      <c r="BG55" s="29">
        <v>0</v>
      </c>
      <c r="BH55" s="29">
        <v>0</v>
      </c>
      <c r="BI55" s="29">
        <v>0</v>
      </c>
      <c r="BJ55" s="29">
        <v>0</v>
      </c>
      <c r="BK55" s="29">
        <v>0</v>
      </c>
      <c r="BL55" s="29">
        <v>0</v>
      </c>
      <c r="BM55" s="29">
        <v>0</v>
      </c>
      <c r="BN55" s="29">
        <v>0</v>
      </c>
      <c r="BO55" s="29">
        <v>0</v>
      </c>
      <c r="BP55" s="29">
        <v>0</v>
      </c>
      <c r="BQ55" s="29">
        <v>0</v>
      </c>
    </row>
    <row r="56" spans="1:70">
      <c r="A56" s="30" t="s">
        <v>95</v>
      </c>
      <c r="B56" s="59">
        <v>42809</v>
      </c>
      <c r="C56" s="29">
        <v>0</v>
      </c>
      <c r="D56" s="59">
        <v>40732</v>
      </c>
      <c r="E56" s="32">
        <f t="shared" si="0"/>
        <v>5.6861111111111109</v>
      </c>
      <c r="F56" s="60">
        <v>7</v>
      </c>
      <c r="G56" s="60">
        <v>11</v>
      </c>
      <c r="H56" s="32">
        <f t="shared" si="1"/>
        <v>7.6875</v>
      </c>
      <c r="I56" s="60">
        <v>0</v>
      </c>
      <c r="J56" s="60">
        <v>0</v>
      </c>
      <c r="K56" s="60">
        <v>0</v>
      </c>
      <c r="L56" s="60">
        <v>0</v>
      </c>
      <c r="N56" s="29">
        <v>0</v>
      </c>
      <c r="P56" s="29">
        <v>4</v>
      </c>
      <c r="Q56" s="29">
        <v>8</v>
      </c>
      <c r="R56" s="29">
        <v>0</v>
      </c>
      <c r="S56" s="29">
        <v>5</v>
      </c>
      <c r="T56" s="29" t="s">
        <v>260</v>
      </c>
      <c r="U56" s="29">
        <v>1</v>
      </c>
      <c r="V56" s="29">
        <v>-8</v>
      </c>
      <c r="W56" s="30">
        <v>0</v>
      </c>
      <c r="X56" s="29">
        <v>0</v>
      </c>
      <c r="Y56" s="29">
        <v>2</v>
      </c>
      <c r="Z56" s="29">
        <v>0</v>
      </c>
      <c r="AA56" s="29">
        <v>0</v>
      </c>
      <c r="AB56" s="29">
        <v>1</v>
      </c>
      <c r="AC56" s="29">
        <v>1</v>
      </c>
      <c r="AD56" s="29">
        <v>0</v>
      </c>
      <c r="AE56" s="29">
        <f t="shared" si="2"/>
        <v>2</v>
      </c>
      <c r="AF56" s="29">
        <v>0</v>
      </c>
      <c r="AG56" s="29">
        <v>0</v>
      </c>
      <c r="AN56" s="29">
        <f t="shared" si="3"/>
        <v>0</v>
      </c>
      <c r="AO56" s="29">
        <v>1</v>
      </c>
      <c r="AP56" s="29" t="s">
        <v>242</v>
      </c>
      <c r="AQ56" s="29">
        <v>1</v>
      </c>
      <c r="AX56" s="29">
        <v>1</v>
      </c>
      <c r="AY56" s="29">
        <v>4</v>
      </c>
      <c r="BB56" s="29">
        <v>1</v>
      </c>
      <c r="BC56" s="29">
        <v>0</v>
      </c>
      <c r="BD56" s="29">
        <v>0</v>
      </c>
      <c r="BE56" s="29">
        <v>1</v>
      </c>
      <c r="BF56" s="29">
        <v>0</v>
      </c>
      <c r="BG56" s="29">
        <v>0</v>
      </c>
      <c r="BH56" s="29">
        <v>1</v>
      </c>
      <c r="BI56" s="29">
        <v>0</v>
      </c>
      <c r="BJ56" s="29">
        <v>0</v>
      </c>
      <c r="BK56" s="29">
        <v>0</v>
      </c>
      <c r="BL56" s="29">
        <v>0</v>
      </c>
      <c r="BM56" s="29">
        <v>2</v>
      </c>
      <c r="BN56" s="29">
        <v>1</v>
      </c>
      <c r="BO56" s="29">
        <v>0</v>
      </c>
      <c r="BP56" s="29">
        <v>1</v>
      </c>
      <c r="BQ56" s="29">
        <v>0</v>
      </c>
      <c r="BR56" s="29" t="s">
        <v>306</v>
      </c>
    </row>
    <row r="57" spans="1:70">
      <c r="A57" s="29" t="s">
        <v>96</v>
      </c>
      <c r="B57" s="59">
        <v>42775</v>
      </c>
      <c r="C57" s="29">
        <v>0</v>
      </c>
      <c r="D57" s="59">
        <v>40928</v>
      </c>
      <c r="E57" s="32">
        <f t="shared" si="0"/>
        <v>5.052777777777778</v>
      </c>
      <c r="F57" s="60">
        <v>6</v>
      </c>
      <c r="G57" s="60">
        <v>11</v>
      </c>
      <c r="H57" s="32">
        <f t="shared" si="1"/>
        <v>6.6875</v>
      </c>
      <c r="I57" s="60">
        <v>0</v>
      </c>
      <c r="J57" s="60">
        <v>0</v>
      </c>
      <c r="K57" s="60">
        <v>0</v>
      </c>
      <c r="L57" s="60">
        <v>1</v>
      </c>
      <c r="M57" s="29" t="s">
        <v>307</v>
      </c>
      <c r="N57" s="29">
        <v>1</v>
      </c>
      <c r="O57" s="29" t="s">
        <v>308</v>
      </c>
      <c r="P57" s="29">
        <v>24</v>
      </c>
      <c r="Q57" s="29">
        <v>0</v>
      </c>
      <c r="R57" s="29">
        <v>0</v>
      </c>
      <c r="S57" s="29">
        <v>4</v>
      </c>
      <c r="T57" s="29" t="s">
        <v>258</v>
      </c>
      <c r="U57" s="29">
        <v>1</v>
      </c>
      <c r="V57" s="29">
        <v>-9</v>
      </c>
      <c r="W57" s="30">
        <v>0</v>
      </c>
      <c r="X57" s="29">
        <v>0</v>
      </c>
      <c r="Y57" s="29">
        <v>75</v>
      </c>
      <c r="Z57" s="29">
        <v>0</v>
      </c>
      <c r="AA57" s="29">
        <v>1</v>
      </c>
      <c r="AB57" s="29">
        <v>1</v>
      </c>
      <c r="AC57" s="29">
        <v>1</v>
      </c>
      <c r="AD57" s="29">
        <v>1</v>
      </c>
      <c r="AE57" s="29">
        <f t="shared" si="2"/>
        <v>4</v>
      </c>
      <c r="AF57" s="29">
        <v>0</v>
      </c>
      <c r="AG57" s="29">
        <v>0</v>
      </c>
      <c r="AN57" s="29">
        <f t="shared" si="3"/>
        <v>0</v>
      </c>
      <c r="AO57" s="29">
        <v>1</v>
      </c>
      <c r="AP57" s="29" t="s">
        <v>242</v>
      </c>
      <c r="AQ57" s="29">
        <v>1</v>
      </c>
      <c r="AX57" s="29">
        <v>1</v>
      </c>
      <c r="AY57" s="29">
        <v>4</v>
      </c>
      <c r="BB57" s="29">
        <v>0</v>
      </c>
      <c r="BC57" s="29">
        <v>0</v>
      </c>
      <c r="BD57" s="29">
        <v>0</v>
      </c>
      <c r="BE57" s="29">
        <v>0</v>
      </c>
      <c r="BF57" s="29">
        <v>0</v>
      </c>
      <c r="BG57" s="29">
        <v>2</v>
      </c>
      <c r="BH57" s="29">
        <v>1</v>
      </c>
      <c r="BI57" s="29">
        <v>0</v>
      </c>
      <c r="BJ57" s="29">
        <v>0</v>
      </c>
      <c r="BK57" s="29">
        <v>0</v>
      </c>
      <c r="BL57" s="29">
        <v>0</v>
      </c>
      <c r="BM57" s="29">
        <v>0</v>
      </c>
      <c r="BN57" s="29">
        <v>0</v>
      </c>
      <c r="BO57" s="29">
        <v>0</v>
      </c>
      <c r="BP57" s="29">
        <v>1</v>
      </c>
      <c r="BQ57" s="29">
        <v>0</v>
      </c>
      <c r="BR57" s="29" t="s">
        <v>309</v>
      </c>
    </row>
    <row r="58" spans="1:70">
      <c r="A58" s="30" t="s">
        <v>119</v>
      </c>
      <c r="B58" s="59">
        <v>42796</v>
      </c>
      <c r="C58" s="29">
        <v>1</v>
      </c>
      <c r="D58" s="59">
        <v>41645</v>
      </c>
      <c r="E58" s="32">
        <f t="shared" si="0"/>
        <v>3.1555555555555554</v>
      </c>
      <c r="F58" s="60">
        <v>8</v>
      </c>
      <c r="G58" s="60">
        <v>3</v>
      </c>
      <c r="H58" s="32">
        <f t="shared" si="1"/>
        <v>8.1875</v>
      </c>
      <c r="I58" s="60">
        <v>0</v>
      </c>
      <c r="J58" s="60">
        <v>0</v>
      </c>
      <c r="K58" s="60">
        <v>0</v>
      </c>
      <c r="L58" s="60">
        <v>0</v>
      </c>
      <c r="N58" s="29">
        <v>0</v>
      </c>
      <c r="P58" s="29">
        <v>2</v>
      </c>
      <c r="Q58" s="29">
        <v>0</v>
      </c>
      <c r="R58" s="29">
        <v>2</v>
      </c>
      <c r="S58" s="29">
        <v>4</v>
      </c>
      <c r="T58" s="29" t="s">
        <v>260</v>
      </c>
      <c r="U58" s="29">
        <v>1</v>
      </c>
      <c r="V58" s="29">
        <v>4</v>
      </c>
      <c r="W58" s="30">
        <v>4</v>
      </c>
      <c r="X58" s="29">
        <v>0</v>
      </c>
      <c r="Y58" s="29">
        <v>0</v>
      </c>
      <c r="Z58" s="29">
        <v>0</v>
      </c>
      <c r="AA58" s="29">
        <v>1</v>
      </c>
      <c r="AB58" s="29">
        <v>0</v>
      </c>
      <c r="AC58" s="29">
        <v>1</v>
      </c>
      <c r="AD58" s="29">
        <v>0</v>
      </c>
      <c r="AE58" s="29">
        <f t="shared" si="2"/>
        <v>2</v>
      </c>
      <c r="AF58" s="29">
        <v>0</v>
      </c>
      <c r="AG58" s="29">
        <v>1</v>
      </c>
      <c r="AH58" s="29" t="s">
        <v>310</v>
      </c>
      <c r="AI58" s="29">
        <v>1</v>
      </c>
      <c r="AN58" s="29">
        <f t="shared" si="3"/>
        <v>1</v>
      </c>
      <c r="AO58" s="29">
        <v>0</v>
      </c>
      <c r="AY58" s="29">
        <v>4</v>
      </c>
      <c r="BB58" s="29">
        <v>0</v>
      </c>
      <c r="BC58" s="29">
        <v>0</v>
      </c>
      <c r="BD58" s="29">
        <v>0</v>
      </c>
      <c r="BE58" s="29">
        <v>0</v>
      </c>
      <c r="BF58" s="29">
        <v>0</v>
      </c>
      <c r="BG58" s="29">
        <v>0</v>
      </c>
      <c r="BH58" s="29">
        <v>1</v>
      </c>
      <c r="BI58" s="29">
        <v>1</v>
      </c>
      <c r="BJ58" s="29">
        <v>0</v>
      </c>
      <c r="BK58" s="29">
        <v>0</v>
      </c>
      <c r="BL58" s="29">
        <v>0</v>
      </c>
      <c r="BM58" s="29">
        <v>0</v>
      </c>
      <c r="BN58" s="29">
        <v>0</v>
      </c>
      <c r="BO58" s="29">
        <v>0</v>
      </c>
      <c r="BP58" s="29">
        <v>1</v>
      </c>
      <c r="BQ58" s="29">
        <v>0</v>
      </c>
    </row>
    <row r="59" spans="1:70">
      <c r="A59" s="29" t="s">
        <v>98</v>
      </c>
      <c r="B59" s="59">
        <v>43003</v>
      </c>
      <c r="C59" s="30">
        <v>0</v>
      </c>
      <c r="D59" s="59">
        <v>41846</v>
      </c>
      <c r="E59" s="32">
        <f t="shared" si="0"/>
        <v>3.1638888888888888</v>
      </c>
      <c r="F59" s="60"/>
      <c r="G59" s="60"/>
      <c r="H59" s="32"/>
      <c r="I59" s="60">
        <v>0</v>
      </c>
      <c r="J59" s="60">
        <v>0</v>
      </c>
      <c r="K59" s="60"/>
      <c r="L59" s="60">
        <v>0</v>
      </c>
      <c r="N59" s="29">
        <v>0</v>
      </c>
      <c r="P59" s="29">
        <v>2</v>
      </c>
      <c r="Q59" s="29">
        <v>28</v>
      </c>
      <c r="R59" s="29">
        <v>0</v>
      </c>
      <c r="S59" s="29">
        <v>6</v>
      </c>
      <c r="T59" s="29" t="s">
        <v>260</v>
      </c>
      <c r="X59" s="29">
        <v>0</v>
      </c>
      <c r="Y59" s="29">
        <v>10</v>
      </c>
      <c r="Z59" s="29">
        <v>1</v>
      </c>
      <c r="AA59" s="29">
        <v>1</v>
      </c>
      <c r="AB59" s="29">
        <v>2</v>
      </c>
      <c r="AC59" s="29">
        <v>1</v>
      </c>
      <c r="AD59" s="29">
        <v>2</v>
      </c>
      <c r="AE59" s="29">
        <f t="shared" si="2"/>
        <v>7</v>
      </c>
      <c r="AF59" s="29">
        <v>0</v>
      </c>
      <c r="AG59" s="29">
        <v>0</v>
      </c>
      <c r="AN59" s="29">
        <f t="shared" si="3"/>
        <v>0</v>
      </c>
      <c r="AO59" s="29">
        <v>0</v>
      </c>
      <c r="AY59" s="29">
        <v>4</v>
      </c>
      <c r="BB59" s="29">
        <v>2</v>
      </c>
      <c r="BC59" s="29">
        <v>0</v>
      </c>
      <c r="BD59" s="29">
        <v>0</v>
      </c>
      <c r="BE59" s="29">
        <v>0</v>
      </c>
      <c r="BF59" s="29">
        <v>0</v>
      </c>
      <c r="BG59" s="29">
        <v>0</v>
      </c>
      <c r="BH59" s="29">
        <v>0</v>
      </c>
      <c r="BI59" s="29">
        <v>0</v>
      </c>
      <c r="BJ59" s="29">
        <v>0</v>
      </c>
      <c r="BK59" s="29">
        <v>0</v>
      </c>
      <c r="BL59" s="29">
        <v>0</v>
      </c>
      <c r="BM59" s="29">
        <v>0</v>
      </c>
      <c r="BN59" s="29">
        <v>0</v>
      </c>
      <c r="BO59" s="29">
        <v>0</v>
      </c>
      <c r="BP59" s="29">
        <v>0</v>
      </c>
      <c r="BQ59" s="29">
        <v>0</v>
      </c>
    </row>
    <row r="60" spans="1:70">
      <c r="A60" s="29" t="s">
        <v>99</v>
      </c>
      <c r="B60" s="59">
        <v>42853</v>
      </c>
      <c r="C60" s="29">
        <v>1</v>
      </c>
      <c r="D60" s="59">
        <v>41219</v>
      </c>
      <c r="E60" s="32">
        <f t="shared" si="0"/>
        <v>4.4777777777777779</v>
      </c>
      <c r="F60" s="60">
        <v>8</v>
      </c>
      <c r="G60" s="60">
        <v>0</v>
      </c>
      <c r="H60" s="32">
        <f t="shared" si="1"/>
        <v>8</v>
      </c>
      <c r="I60" s="60">
        <v>1</v>
      </c>
      <c r="J60" s="60">
        <v>1</v>
      </c>
      <c r="K60" s="60">
        <v>1</v>
      </c>
      <c r="L60" s="60">
        <v>1</v>
      </c>
      <c r="M60" s="29" t="s">
        <v>311</v>
      </c>
      <c r="N60" s="29">
        <v>0</v>
      </c>
      <c r="P60" s="29">
        <v>0</v>
      </c>
      <c r="Q60" s="29">
        <v>7</v>
      </c>
      <c r="R60" s="29">
        <v>0</v>
      </c>
      <c r="S60" s="29">
        <v>6</v>
      </c>
      <c r="T60" s="29" t="s">
        <v>260</v>
      </c>
      <c r="U60" s="29">
        <v>1</v>
      </c>
      <c r="V60" s="29">
        <v>5</v>
      </c>
      <c r="W60" s="30">
        <v>5</v>
      </c>
      <c r="X60" s="29">
        <v>0</v>
      </c>
      <c r="Y60" s="29">
        <v>20</v>
      </c>
      <c r="Z60" s="29">
        <v>0</v>
      </c>
      <c r="AA60" s="29">
        <v>0</v>
      </c>
      <c r="AB60" s="29">
        <v>1</v>
      </c>
      <c r="AC60" s="29">
        <v>0</v>
      </c>
      <c r="AD60" s="29">
        <v>0</v>
      </c>
      <c r="AE60" s="29">
        <f t="shared" si="2"/>
        <v>1</v>
      </c>
      <c r="AF60" s="29">
        <v>0</v>
      </c>
      <c r="AG60" s="29">
        <v>0</v>
      </c>
      <c r="AN60" s="29">
        <f t="shared" si="3"/>
        <v>0</v>
      </c>
      <c r="AO60" s="29">
        <v>0</v>
      </c>
      <c r="AY60" s="29">
        <v>4</v>
      </c>
      <c r="BB60" s="29">
        <v>0</v>
      </c>
      <c r="BC60" s="29">
        <v>0</v>
      </c>
      <c r="BD60" s="29">
        <v>0</v>
      </c>
      <c r="BE60" s="29">
        <v>0</v>
      </c>
      <c r="BF60" s="29">
        <v>1</v>
      </c>
      <c r="BG60" s="29">
        <v>0</v>
      </c>
      <c r="BH60" s="29">
        <v>1</v>
      </c>
      <c r="BI60" s="29">
        <v>0</v>
      </c>
      <c r="BJ60" s="29">
        <v>0</v>
      </c>
      <c r="BK60" s="29">
        <v>0</v>
      </c>
      <c r="BL60" s="29">
        <v>0</v>
      </c>
      <c r="BM60" s="29">
        <v>0</v>
      </c>
      <c r="BN60" s="29">
        <v>0</v>
      </c>
      <c r="BO60" s="29">
        <v>1</v>
      </c>
      <c r="BP60" s="29">
        <v>1</v>
      </c>
      <c r="BQ60" s="29">
        <v>1</v>
      </c>
    </row>
    <row r="61" spans="1:70">
      <c r="A61" s="30" t="s">
        <v>100</v>
      </c>
      <c r="B61" s="59">
        <v>42836</v>
      </c>
      <c r="C61" s="29">
        <v>0</v>
      </c>
      <c r="D61" s="59">
        <v>41029</v>
      </c>
      <c r="E61" s="32">
        <f t="shared" si="0"/>
        <v>4.947222222222222</v>
      </c>
      <c r="F61" s="60">
        <v>7</v>
      </c>
      <c r="G61" s="60">
        <v>11</v>
      </c>
      <c r="H61" s="32">
        <f t="shared" si="1"/>
        <v>7.6875</v>
      </c>
      <c r="I61" s="60">
        <v>0</v>
      </c>
      <c r="J61" s="60">
        <v>0</v>
      </c>
      <c r="K61" s="60">
        <v>0</v>
      </c>
      <c r="L61" s="60">
        <v>0</v>
      </c>
      <c r="N61" s="29">
        <v>0</v>
      </c>
      <c r="P61" s="29">
        <v>7</v>
      </c>
      <c r="Q61" s="29">
        <v>0</v>
      </c>
      <c r="R61" s="29">
        <v>0</v>
      </c>
      <c r="S61" s="29">
        <v>7.5</v>
      </c>
      <c r="T61" s="29" t="s">
        <v>258</v>
      </c>
      <c r="U61" s="29">
        <v>1</v>
      </c>
      <c r="V61" s="29">
        <v>-4</v>
      </c>
      <c r="W61" s="30">
        <v>0</v>
      </c>
      <c r="X61" s="29">
        <v>0</v>
      </c>
      <c r="Y61" s="29">
        <v>62.5</v>
      </c>
      <c r="Z61" s="29">
        <v>0</v>
      </c>
      <c r="AA61" s="29">
        <v>0</v>
      </c>
      <c r="AB61" s="29">
        <v>0</v>
      </c>
      <c r="AC61" s="29">
        <v>0</v>
      </c>
      <c r="AD61" s="29">
        <v>0</v>
      </c>
      <c r="AE61" s="29">
        <f t="shared" si="2"/>
        <v>0</v>
      </c>
      <c r="AF61" s="29">
        <v>0</v>
      </c>
      <c r="AG61" s="29">
        <v>0</v>
      </c>
      <c r="AN61" s="29">
        <f t="shared" si="3"/>
        <v>0</v>
      </c>
      <c r="AO61" s="29">
        <v>1</v>
      </c>
      <c r="AP61" s="29" t="s">
        <v>312</v>
      </c>
      <c r="AQ61" s="29">
        <v>2</v>
      </c>
      <c r="AX61" s="29">
        <v>2</v>
      </c>
      <c r="AY61" s="29">
        <v>4</v>
      </c>
      <c r="BB61" s="29">
        <v>0</v>
      </c>
      <c r="BC61" s="29">
        <v>0</v>
      </c>
      <c r="BD61" s="29">
        <v>0</v>
      </c>
      <c r="BE61" s="29">
        <v>0</v>
      </c>
      <c r="BF61" s="29">
        <v>0</v>
      </c>
      <c r="BG61" s="29">
        <v>0</v>
      </c>
      <c r="BH61" s="29">
        <v>1</v>
      </c>
      <c r="BI61" s="29">
        <v>0</v>
      </c>
      <c r="BJ61" s="29">
        <v>0</v>
      </c>
      <c r="BK61" s="29">
        <v>0</v>
      </c>
      <c r="BL61" s="29">
        <v>0</v>
      </c>
      <c r="BM61" s="29">
        <v>0</v>
      </c>
      <c r="BN61" s="29">
        <v>0</v>
      </c>
      <c r="BO61" s="29">
        <v>0</v>
      </c>
      <c r="BP61" s="29">
        <v>2</v>
      </c>
      <c r="BQ61" s="29">
        <v>1</v>
      </c>
    </row>
    <row r="62" spans="1:70">
      <c r="A62" s="30" t="s">
        <v>101</v>
      </c>
      <c r="B62" s="59">
        <v>42845</v>
      </c>
      <c r="C62" s="29">
        <v>1</v>
      </c>
      <c r="D62" s="59">
        <v>41346</v>
      </c>
      <c r="E62" s="32">
        <f t="shared" si="0"/>
        <v>4.1027777777777779</v>
      </c>
      <c r="F62" s="60">
        <v>6</v>
      </c>
      <c r="G62" s="60">
        <v>2</v>
      </c>
      <c r="H62" s="32">
        <f t="shared" si="1"/>
        <v>6.125</v>
      </c>
      <c r="I62" s="60">
        <v>0</v>
      </c>
      <c r="J62" s="60">
        <v>0</v>
      </c>
      <c r="K62" s="60">
        <v>0</v>
      </c>
      <c r="L62" s="60">
        <v>0</v>
      </c>
      <c r="N62" s="29">
        <v>0</v>
      </c>
      <c r="P62" s="29">
        <v>0</v>
      </c>
      <c r="Q62" s="29">
        <v>24</v>
      </c>
      <c r="R62" s="29">
        <v>0</v>
      </c>
      <c r="S62" s="29">
        <v>5</v>
      </c>
      <c r="T62" s="29" t="s">
        <v>260</v>
      </c>
      <c r="U62" s="29">
        <v>1</v>
      </c>
      <c r="V62" s="29">
        <v>8</v>
      </c>
      <c r="W62" s="30">
        <v>8</v>
      </c>
      <c r="X62" s="29">
        <v>0</v>
      </c>
      <c r="Y62" s="29">
        <v>50</v>
      </c>
      <c r="Z62" s="29">
        <v>0</v>
      </c>
      <c r="AA62" s="29">
        <v>1</v>
      </c>
      <c r="AB62" s="29">
        <v>1</v>
      </c>
      <c r="AC62" s="29">
        <v>0</v>
      </c>
      <c r="AD62" s="29">
        <v>0</v>
      </c>
      <c r="AE62" s="29">
        <f t="shared" si="2"/>
        <v>2</v>
      </c>
      <c r="AF62" s="29">
        <v>0</v>
      </c>
      <c r="AG62" s="29">
        <v>0</v>
      </c>
      <c r="AN62" s="29">
        <f t="shared" si="3"/>
        <v>0</v>
      </c>
      <c r="AO62" s="29">
        <v>0</v>
      </c>
      <c r="AY62" s="29">
        <v>4</v>
      </c>
      <c r="BB62" s="29">
        <v>0</v>
      </c>
      <c r="BC62" s="29">
        <v>0</v>
      </c>
      <c r="BD62" s="29">
        <v>0</v>
      </c>
      <c r="BE62" s="29">
        <v>0</v>
      </c>
      <c r="BF62" s="29">
        <v>0</v>
      </c>
      <c r="BG62" s="29">
        <v>0</v>
      </c>
      <c r="BH62" s="29">
        <v>1</v>
      </c>
      <c r="BI62" s="29">
        <v>0</v>
      </c>
      <c r="BJ62" s="29">
        <v>0</v>
      </c>
      <c r="BK62" s="29">
        <v>0</v>
      </c>
      <c r="BL62" s="29">
        <v>0</v>
      </c>
      <c r="BM62" s="29">
        <v>0</v>
      </c>
      <c r="BN62" s="29">
        <v>0</v>
      </c>
      <c r="BO62" s="29">
        <v>0</v>
      </c>
      <c r="BP62" s="29">
        <v>2</v>
      </c>
      <c r="BQ62" s="29">
        <v>0</v>
      </c>
    </row>
    <row r="63" spans="1:70">
      <c r="A63" s="29" t="s">
        <v>102</v>
      </c>
      <c r="B63" s="59">
        <v>42941</v>
      </c>
      <c r="C63" s="29">
        <v>0</v>
      </c>
      <c r="D63" s="59">
        <v>41530</v>
      </c>
      <c r="E63" s="32">
        <f t="shared" si="0"/>
        <v>3.8666666666666667</v>
      </c>
      <c r="F63" s="60">
        <v>5</v>
      </c>
      <c r="G63" s="60">
        <v>7</v>
      </c>
      <c r="H63" s="32">
        <f t="shared" si="1"/>
        <v>5.4375</v>
      </c>
      <c r="I63" s="60">
        <v>0</v>
      </c>
      <c r="J63" s="60">
        <v>1</v>
      </c>
      <c r="K63" s="60">
        <v>1</v>
      </c>
      <c r="L63" s="60">
        <v>0</v>
      </c>
      <c r="N63" s="29">
        <v>0</v>
      </c>
      <c r="P63" s="29">
        <v>18</v>
      </c>
      <c r="Q63" s="29">
        <v>3</v>
      </c>
      <c r="R63" s="29">
        <v>9</v>
      </c>
      <c r="S63" s="29">
        <v>11</v>
      </c>
      <c r="T63" s="29" t="s">
        <v>260</v>
      </c>
      <c r="U63" s="29">
        <v>1</v>
      </c>
      <c r="V63" s="29">
        <v>-1</v>
      </c>
      <c r="W63" s="30">
        <v>0</v>
      </c>
      <c r="X63" s="29">
        <v>0</v>
      </c>
      <c r="Y63" s="29">
        <v>0</v>
      </c>
      <c r="Z63" s="29">
        <v>0</v>
      </c>
      <c r="AA63" s="29">
        <v>0</v>
      </c>
      <c r="AB63" s="29">
        <v>1</v>
      </c>
      <c r="AC63" s="29">
        <v>1</v>
      </c>
      <c r="AD63" s="29">
        <v>1</v>
      </c>
      <c r="AE63" s="29">
        <f t="shared" si="2"/>
        <v>3</v>
      </c>
      <c r="AF63" s="29">
        <v>0</v>
      </c>
      <c r="AG63" s="29">
        <v>0</v>
      </c>
      <c r="AN63" s="29">
        <f t="shared" si="3"/>
        <v>0</v>
      </c>
      <c r="AO63" s="29">
        <v>0</v>
      </c>
      <c r="AY63" s="29">
        <v>4</v>
      </c>
      <c r="BB63" s="29">
        <v>0</v>
      </c>
      <c r="BC63" s="29">
        <v>0</v>
      </c>
      <c r="BD63" s="29">
        <v>0</v>
      </c>
      <c r="BE63" s="29">
        <v>0</v>
      </c>
      <c r="BF63" s="29">
        <v>1</v>
      </c>
      <c r="BG63" s="29">
        <v>0</v>
      </c>
      <c r="BH63" s="29">
        <v>2</v>
      </c>
      <c r="BI63" s="29">
        <v>0</v>
      </c>
      <c r="BJ63" s="29">
        <v>2</v>
      </c>
      <c r="BK63" s="29">
        <v>0</v>
      </c>
      <c r="BL63" s="29">
        <v>0</v>
      </c>
      <c r="BM63" s="29">
        <v>0</v>
      </c>
      <c r="BN63" s="29">
        <v>0</v>
      </c>
      <c r="BO63" s="29">
        <v>0</v>
      </c>
      <c r="BP63" s="29">
        <v>2</v>
      </c>
      <c r="BQ63" s="29">
        <v>0</v>
      </c>
      <c r="BR63" s="29" t="s">
        <v>313</v>
      </c>
    </row>
    <row r="64" spans="1:70" s="28" customFormat="1">
      <c r="B64" s="77"/>
      <c r="D64" s="77"/>
      <c r="E64" s="68"/>
      <c r="F64" s="78"/>
      <c r="G64" s="78"/>
      <c r="H64" s="68"/>
      <c r="I64" s="78"/>
      <c r="J64" s="78"/>
      <c r="K64" s="78"/>
      <c r="L64" s="78"/>
    </row>
    <row r="65" spans="1:87" s="28" customFormat="1">
      <c r="B65" s="77"/>
      <c r="D65" s="77"/>
      <c r="E65" s="77"/>
      <c r="F65" s="78"/>
      <c r="G65" s="78"/>
      <c r="H65" s="78"/>
      <c r="I65" s="78"/>
      <c r="J65" s="78"/>
      <c r="K65" s="78"/>
      <c r="L65" s="78"/>
    </row>
    <row r="66" spans="1:87" s="28" customFormat="1">
      <c r="A66" s="28" t="s">
        <v>459</v>
      </c>
      <c r="B66" s="77"/>
      <c r="C66" s="28">
        <f t="shared" ref="C66:V66" si="4">COUNT(C3:C33)</f>
        <v>30</v>
      </c>
      <c r="D66" s="28">
        <f t="shared" si="4"/>
        <v>28</v>
      </c>
      <c r="E66" s="28">
        <f t="shared" si="4"/>
        <v>28</v>
      </c>
      <c r="F66" s="28">
        <f t="shared" si="4"/>
        <v>28</v>
      </c>
      <c r="G66" s="28">
        <f t="shared" si="4"/>
        <v>28</v>
      </c>
      <c r="H66" s="28">
        <f t="shared" si="4"/>
        <v>28</v>
      </c>
      <c r="I66" s="28">
        <f t="shared" si="4"/>
        <v>28</v>
      </c>
      <c r="J66" s="28">
        <f t="shared" si="4"/>
        <v>28</v>
      </c>
      <c r="K66" s="28">
        <f t="shared" si="4"/>
        <v>24</v>
      </c>
      <c r="L66" s="28">
        <f t="shared" si="4"/>
        <v>27</v>
      </c>
      <c r="M66" s="28">
        <f t="shared" si="4"/>
        <v>0</v>
      </c>
      <c r="N66" s="28">
        <f t="shared" si="4"/>
        <v>28</v>
      </c>
      <c r="O66" s="28">
        <f t="shared" si="4"/>
        <v>0</v>
      </c>
      <c r="P66" s="28">
        <f t="shared" si="4"/>
        <v>28</v>
      </c>
      <c r="Q66" s="28">
        <f t="shared" si="4"/>
        <v>28</v>
      </c>
      <c r="R66" s="28">
        <f t="shared" si="4"/>
        <v>28</v>
      </c>
      <c r="S66" s="28">
        <f t="shared" si="4"/>
        <v>28</v>
      </c>
      <c r="T66" s="28">
        <f t="shared" si="4"/>
        <v>0</v>
      </c>
      <c r="U66" s="28">
        <f t="shared" si="4"/>
        <v>27</v>
      </c>
      <c r="V66" s="28">
        <f t="shared" si="4"/>
        <v>24</v>
      </c>
      <c r="X66" s="28">
        <f t="shared" ref="X66:AD66" si="5">COUNT(X3:X33)</f>
        <v>28</v>
      </c>
      <c r="Y66" s="28">
        <f t="shared" si="5"/>
        <v>28</v>
      </c>
      <c r="Z66" s="28">
        <f t="shared" si="5"/>
        <v>27</v>
      </c>
      <c r="AA66" s="28">
        <f t="shared" si="5"/>
        <v>26</v>
      </c>
      <c r="AB66" s="28">
        <f t="shared" si="5"/>
        <v>26</v>
      </c>
      <c r="AC66" s="28">
        <f t="shared" si="5"/>
        <v>26</v>
      </c>
      <c r="AD66" s="28">
        <f t="shared" si="5"/>
        <v>26</v>
      </c>
      <c r="AF66" s="28">
        <f t="shared" ref="AF66:AM66" si="6">COUNT(AF3:AF33)</f>
        <v>28</v>
      </c>
      <c r="AG66" s="28">
        <f t="shared" si="6"/>
        <v>28</v>
      </c>
      <c r="AH66" s="28">
        <f t="shared" si="6"/>
        <v>0</v>
      </c>
      <c r="AI66" s="28">
        <f t="shared" si="6"/>
        <v>9</v>
      </c>
      <c r="AJ66" s="28">
        <f t="shared" si="6"/>
        <v>0</v>
      </c>
      <c r="AK66" s="28">
        <f t="shared" si="6"/>
        <v>6</v>
      </c>
      <c r="AL66" s="28">
        <f t="shared" si="6"/>
        <v>0</v>
      </c>
      <c r="AM66" s="28">
        <f t="shared" si="6"/>
        <v>4</v>
      </c>
      <c r="AO66" s="28">
        <f t="shared" ref="AO66:AW66" si="7">COUNT(AO3:AO33)</f>
        <v>28</v>
      </c>
      <c r="AP66" s="28">
        <f t="shared" si="7"/>
        <v>0</v>
      </c>
      <c r="AQ66" s="28">
        <f t="shared" si="7"/>
        <v>3</v>
      </c>
      <c r="AR66" s="28">
        <f t="shared" si="7"/>
        <v>0</v>
      </c>
      <c r="AS66" s="28">
        <f t="shared" si="7"/>
        <v>1</v>
      </c>
      <c r="AT66" s="28">
        <f t="shared" si="7"/>
        <v>0</v>
      </c>
      <c r="AU66" s="28">
        <f t="shared" si="7"/>
        <v>1</v>
      </c>
      <c r="AV66" s="28">
        <f t="shared" si="7"/>
        <v>0</v>
      </c>
      <c r="AW66" s="28">
        <f t="shared" si="7"/>
        <v>1</v>
      </c>
      <c r="AY66" s="28">
        <f t="shared" ref="AY66:BQ66" si="8">COUNT(AY3:AY33)</f>
        <v>28</v>
      </c>
      <c r="AZ66" s="28">
        <f t="shared" si="8"/>
        <v>14</v>
      </c>
      <c r="BA66" s="28">
        <f t="shared" si="8"/>
        <v>10</v>
      </c>
      <c r="BB66" s="28">
        <f t="shared" si="8"/>
        <v>28</v>
      </c>
      <c r="BC66" s="28">
        <f t="shared" si="8"/>
        <v>28</v>
      </c>
      <c r="BD66" s="28">
        <f t="shared" si="8"/>
        <v>28</v>
      </c>
      <c r="BE66" s="28">
        <f t="shared" si="8"/>
        <v>28</v>
      </c>
      <c r="BF66" s="28">
        <f t="shared" si="8"/>
        <v>28</v>
      </c>
      <c r="BG66" s="28">
        <f t="shared" si="8"/>
        <v>28</v>
      </c>
      <c r="BH66" s="28">
        <f t="shared" si="8"/>
        <v>28</v>
      </c>
      <c r="BI66" s="28">
        <f t="shared" si="8"/>
        <v>28</v>
      </c>
      <c r="BJ66" s="28">
        <f t="shared" si="8"/>
        <v>28</v>
      </c>
      <c r="BK66" s="28">
        <f t="shared" si="8"/>
        <v>28</v>
      </c>
      <c r="BL66" s="28">
        <f t="shared" si="8"/>
        <v>28</v>
      </c>
      <c r="BM66" s="28">
        <f t="shared" si="8"/>
        <v>28</v>
      </c>
      <c r="BN66" s="28">
        <f t="shared" si="8"/>
        <v>28</v>
      </c>
      <c r="BO66" s="28">
        <f t="shared" si="8"/>
        <v>26</v>
      </c>
      <c r="BP66" s="28">
        <f t="shared" si="8"/>
        <v>28</v>
      </c>
      <c r="BQ66" s="28">
        <f t="shared" si="8"/>
        <v>28</v>
      </c>
    </row>
    <row r="67" spans="1:87" s="28" customFormat="1">
      <c r="A67" s="28" t="s">
        <v>460</v>
      </c>
      <c r="B67" s="77"/>
      <c r="C67" s="28">
        <f t="shared" ref="C67:V67" si="9">COUNT(C35:C63)</f>
        <v>29</v>
      </c>
      <c r="D67" s="28">
        <f t="shared" si="9"/>
        <v>29</v>
      </c>
      <c r="E67" s="28">
        <f t="shared" si="9"/>
        <v>29</v>
      </c>
      <c r="F67" s="28">
        <f t="shared" si="9"/>
        <v>27</v>
      </c>
      <c r="G67" s="28">
        <f t="shared" si="9"/>
        <v>27</v>
      </c>
      <c r="H67" s="28">
        <f t="shared" si="9"/>
        <v>27</v>
      </c>
      <c r="I67" s="28">
        <f t="shared" si="9"/>
        <v>29</v>
      </c>
      <c r="J67" s="28">
        <f t="shared" si="9"/>
        <v>29</v>
      </c>
      <c r="K67" s="28">
        <f t="shared" si="9"/>
        <v>28</v>
      </c>
      <c r="L67" s="28">
        <f t="shared" si="9"/>
        <v>29</v>
      </c>
      <c r="M67" s="28">
        <f t="shared" si="9"/>
        <v>0</v>
      </c>
      <c r="N67" s="28">
        <f t="shared" si="9"/>
        <v>29</v>
      </c>
      <c r="O67" s="28">
        <f t="shared" si="9"/>
        <v>0</v>
      </c>
      <c r="P67" s="28">
        <f t="shared" si="9"/>
        <v>29</v>
      </c>
      <c r="Q67" s="28">
        <f t="shared" si="9"/>
        <v>29</v>
      </c>
      <c r="R67" s="28">
        <f t="shared" si="9"/>
        <v>29</v>
      </c>
      <c r="S67" s="28">
        <f t="shared" si="9"/>
        <v>28</v>
      </c>
      <c r="T67" s="28">
        <f t="shared" si="9"/>
        <v>0</v>
      </c>
      <c r="U67" s="28">
        <f t="shared" si="9"/>
        <v>28</v>
      </c>
      <c r="V67" s="28">
        <f t="shared" si="9"/>
        <v>25</v>
      </c>
      <c r="X67" s="28">
        <f t="shared" ref="X67:AD67" si="10">COUNT(X35:X63)</f>
        <v>29</v>
      </c>
      <c r="Y67" s="28">
        <f t="shared" si="10"/>
        <v>29</v>
      </c>
      <c r="Z67" s="28">
        <f t="shared" si="10"/>
        <v>29</v>
      </c>
      <c r="AA67" s="28">
        <f t="shared" si="10"/>
        <v>29</v>
      </c>
      <c r="AB67" s="28">
        <f t="shared" si="10"/>
        <v>29</v>
      </c>
      <c r="AC67" s="28">
        <f t="shared" si="10"/>
        <v>28</v>
      </c>
      <c r="AD67" s="28">
        <f t="shared" si="10"/>
        <v>26</v>
      </c>
      <c r="AF67" s="28">
        <f t="shared" ref="AF67:AM67" si="11">COUNT(AF35:AF63)</f>
        <v>28</v>
      </c>
      <c r="AG67" s="28">
        <f t="shared" si="11"/>
        <v>28</v>
      </c>
      <c r="AH67" s="28">
        <f t="shared" si="11"/>
        <v>0</v>
      </c>
      <c r="AI67" s="28">
        <f t="shared" si="11"/>
        <v>3</v>
      </c>
      <c r="AJ67" s="28">
        <f t="shared" si="11"/>
        <v>0</v>
      </c>
      <c r="AK67" s="28">
        <f t="shared" si="11"/>
        <v>0</v>
      </c>
      <c r="AL67" s="28">
        <f t="shared" si="11"/>
        <v>0</v>
      </c>
      <c r="AM67" s="28">
        <f t="shared" si="11"/>
        <v>0</v>
      </c>
      <c r="AO67" s="28">
        <f t="shared" ref="AO67:AW67" si="12">COUNT(AO35:AO63)</f>
        <v>28</v>
      </c>
      <c r="AP67" s="28">
        <f t="shared" si="12"/>
        <v>1</v>
      </c>
      <c r="AQ67" s="28">
        <f t="shared" si="12"/>
        <v>9</v>
      </c>
      <c r="AR67" s="28">
        <f t="shared" si="12"/>
        <v>0</v>
      </c>
      <c r="AS67" s="28">
        <f t="shared" si="12"/>
        <v>2</v>
      </c>
      <c r="AT67" s="28">
        <f t="shared" si="12"/>
        <v>0</v>
      </c>
      <c r="AU67" s="28">
        <f t="shared" si="12"/>
        <v>0</v>
      </c>
      <c r="AV67" s="28">
        <f t="shared" si="12"/>
        <v>0</v>
      </c>
      <c r="AW67" s="28">
        <f t="shared" si="12"/>
        <v>0</v>
      </c>
      <c r="AY67" s="28">
        <f t="shared" ref="AY67:BQ67" si="13">COUNT(AY35:AY63)</f>
        <v>29</v>
      </c>
      <c r="AZ67" s="28">
        <f t="shared" si="13"/>
        <v>1</v>
      </c>
      <c r="BA67" s="28">
        <f t="shared" si="13"/>
        <v>0</v>
      </c>
      <c r="BB67" s="28">
        <f t="shared" si="13"/>
        <v>29</v>
      </c>
      <c r="BC67" s="28">
        <f t="shared" si="13"/>
        <v>29</v>
      </c>
      <c r="BD67" s="28">
        <f t="shared" si="13"/>
        <v>29</v>
      </c>
      <c r="BE67" s="28">
        <f t="shared" si="13"/>
        <v>29</v>
      </c>
      <c r="BF67" s="28">
        <f t="shared" si="13"/>
        <v>29</v>
      </c>
      <c r="BG67" s="28">
        <f t="shared" si="13"/>
        <v>29</v>
      </c>
      <c r="BH67" s="28">
        <f t="shared" si="13"/>
        <v>29</v>
      </c>
      <c r="BI67" s="28">
        <f t="shared" si="13"/>
        <v>29</v>
      </c>
      <c r="BJ67" s="28">
        <f t="shared" si="13"/>
        <v>29</v>
      </c>
      <c r="BK67" s="28">
        <f t="shared" si="13"/>
        <v>29</v>
      </c>
      <c r="BL67" s="28">
        <f t="shared" si="13"/>
        <v>29</v>
      </c>
      <c r="BM67" s="28">
        <f t="shared" si="13"/>
        <v>29</v>
      </c>
      <c r="BN67" s="28">
        <f t="shared" si="13"/>
        <v>29</v>
      </c>
      <c r="BO67" s="28">
        <f t="shared" si="13"/>
        <v>29</v>
      </c>
      <c r="BP67" s="28">
        <f t="shared" si="13"/>
        <v>28</v>
      </c>
      <c r="BQ67" s="28">
        <f t="shared" si="13"/>
        <v>29</v>
      </c>
    </row>
    <row r="68" spans="1:87" s="28" customFormat="1">
      <c r="B68" s="77"/>
      <c r="D68" s="77"/>
      <c r="E68" s="77"/>
      <c r="F68" s="78"/>
      <c r="G68" s="78"/>
      <c r="H68" s="78"/>
      <c r="I68" s="78"/>
      <c r="J68" s="78"/>
      <c r="K68" s="78"/>
      <c r="L68" s="78"/>
    </row>
    <row r="69" spans="1:87">
      <c r="A69" s="29" t="s">
        <v>133</v>
      </c>
      <c r="B69" s="32"/>
      <c r="C69" s="32">
        <f>AVERAGE(C3:C33)</f>
        <v>0.26666666666666666</v>
      </c>
      <c r="D69" s="32"/>
      <c r="E69" s="32">
        <f t="shared" ref="E69:L69" si="14">AVERAGE(E3:E33)</f>
        <v>4.7099206349206346</v>
      </c>
      <c r="F69" s="32">
        <f t="shared" si="14"/>
        <v>6.8214285714285712</v>
      </c>
      <c r="G69" s="32">
        <f t="shared" si="14"/>
        <v>6.25</v>
      </c>
      <c r="H69" s="32">
        <f t="shared" si="14"/>
        <v>7.2120535714285712</v>
      </c>
      <c r="I69" s="32">
        <f t="shared" si="14"/>
        <v>0.42857142857142855</v>
      </c>
      <c r="J69" s="32">
        <f t="shared" si="14"/>
        <v>0.21428571428571427</v>
      </c>
      <c r="K69" s="32">
        <f t="shared" si="14"/>
        <v>3.8333333333333335</v>
      </c>
      <c r="L69" s="32">
        <f t="shared" si="14"/>
        <v>0.77777777777777779</v>
      </c>
      <c r="M69" s="32"/>
      <c r="N69" s="32">
        <f>AVERAGE(N3:N33)</f>
        <v>0.6785714285714286</v>
      </c>
      <c r="O69" s="32"/>
      <c r="P69" s="32">
        <f>AVERAGE(P3:P33)</f>
        <v>9.0714285714285712</v>
      </c>
      <c r="Q69" s="32">
        <f>AVERAGE(Q3:Q33)</f>
        <v>2.8928571428571428</v>
      </c>
      <c r="R69" s="32">
        <f>AVERAGE(R3:R33)</f>
        <v>4.3928571428571432</v>
      </c>
      <c r="S69" s="32">
        <f>AVERAGE(S3:S33)</f>
        <v>6.375</v>
      </c>
      <c r="T69" s="32"/>
      <c r="U69" s="32">
        <f t="shared" ref="U69:AG69" si="15">AVERAGE(U3:U33)</f>
        <v>0.88888888888888884</v>
      </c>
      <c r="V69" s="32">
        <f t="shared" si="15"/>
        <v>-11.958333333333334</v>
      </c>
      <c r="W69" s="32">
        <f t="shared" si="15"/>
        <v>2.7916666666666665</v>
      </c>
      <c r="X69" s="32">
        <f t="shared" si="15"/>
        <v>0.14285714285714285</v>
      </c>
      <c r="Y69" s="32">
        <f t="shared" si="15"/>
        <v>23.821428571428573</v>
      </c>
      <c r="Z69" s="32">
        <f t="shared" si="15"/>
        <v>0.22222222222222221</v>
      </c>
      <c r="AA69" s="32">
        <f t="shared" si="15"/>
        <v>0.73076923076923073</v>
      </c>
      <c r="AB69" s="32">
        <f t="shared" si="15"/>
        <v>1.0769230769230769</v>
      </c>
      <c r="AC69" s="32">
        <f t="shared" si="15"/>
        <v>1.1153846153846154</v>
      </c>
      <c r="AD69" s="32">
        <f t="shared" si="15"/>
        <v>0.76923076923076927</v>
      </c>
      <c r="AE69" s="32">
        <f t="shared" si="15"/>
        <v>3.2903225806451615</v>
      </c>
      <c r="AF69" s="32">
        <f t="shared" si="15"/>
        <v>3.5714285714285712E-2</v>
      </c>
      <c r="AG69" s="32">
        <f t="shared" si="15"/>
        <v>0.32142857142857145</v>
      </c>
      <c r="AH69" s="32"/>
      <c r="AI69" s="32">
        <f>AVERAGE(AI3:AI33)</f>
        <v>2.1111111111111112</v>
      </c>
      <c r="AJ69" s="32"/>
      <c r="AK69" s="32">
        <f>AVERAGE(AK3:AK33)</f>
        <v>2</v>
      </c>
      <c r="AL69" s="32"/>
      <c r="AM69" s="32">
        <f>AVERAGE(AM3:AM33)</f>
        <v>1.75</v>
      </c>
      <c r="AN69" s="32"/>
      <c r="AO69" s="32">
        <f>AVERAGE(AO3:AO33)</f>
        <v>0.14285714285714285</v>
      </c>
      <c r="AP69" s="32"/>
      <c r="AQ69" s="32">
        <f>AVERAGE(AQ3:AQ33)</f>
        <v>1.3333333333333333</v>
      </c>
      <c r="AR69" s="32"/>
      <c r="AS69" s="32">
        <f>AVERAGE(AS3:AS33)</f>
        <v>2</v>
      </c>
      <c r="AT69" s="32"/>
      <c r="AU69" s="32">
        <f>AVERAGE(AU3:AU33)</f>
        <v>2</v>
      </c>
      <c r="AV69" s="32"/>
      <c r="AW69" s="32">
        <f>AVERAGE(AW3:AW33)</f>
        <v>2</v>
      </c>
      <c r="AX69" s="32"/>
      <c r="AY69" s="32">
        <f t="shared" ref="AY69:BQ69" si="16">AVERAGE(AY3:AY33)</f>
        <v>1.6785714285714286</v>
      </c>
      <c r="AZ69" s="32">
        <f t="shared" si="16"/>
        <v>19.214285714285715</v>
      </c>
      <c r="BA69" s="32">
        <f t="shared" si="16"/>
        <v>18.95</v>
      </c>
      <c r="BB69" s="32">
        <f t="shared" si="16"/>
        <v>0.5</v>
      </c>
      <c r="BC69" s="32">
        <f t="shared" si="16"/>
        <v>0</v>
      </c>
      <c r="BD69" s="32">
        <f t="shared" si="16"/>
        <v>3.5714285714285712E-2</v>
      </c>
      <c r="BE69" s="32">
        <f t="shared" si="16"/>
        <v>3.5714285714285712E-2</v>
      </c>
      <c r="BF69" s="32">
        <f t="shared" si="16"/>
        <v>0.21428571428571427</v>
      </c>
      <c r="BG69" s="32">
        <f t="shared" si="16"/>
        <v>0.32142857142857145</v>
      </c>
      <c r="BH69" s="32">
        <f t="shared" si="16"/>
        <v>0.9642857142857143</v>
      </c>
      <c r="BI69" s="32">
        <f t="shared" si="16"/>
        <v>0.42857142857142855</v>
      </c>
      <c r="BJ69" s="32">
        <f t="shared" si="16"/>
        <v>0.35714285714285715</v>
      </c>
      <c r="BK69" s="32">
        <f t="shared" si="16"/>
        <v>0.14285714285714285</v>
      </c>
      <c r="BL69" s="32">
        <f t="shared" si="16"/>
        <v>0.17857142857142858</v>
      </c>
      <c r="BM69" s="32">
        <f t="shared" si="16"/>
        <v>0.17857142857142858</v>
      </c>
      <c r="BN69" s="32">
        <f t="shared" si="16"/>
        <v>0.25</v>
      </c>
      <c r="BO69" s="32">
        <f t="shared" si="16"/>
        <v>0.34615384615384615</v>
      </c>
      <c r="BP69" s="32">
        <f t="shared" si="16"/>
        <v>0.8571428571428571</v>
      </c>
      <c r="BQ69" s="32">
        <f t="shared" si="16"/>
        <v>0.10714285714285714</v>
      </c>
      <c r="BR69" s="30"/>
      <c r="BS69" s="30"/>
      <c r="BT69" s="30"/>
      <c r="BU69" s="30"/>
      <c r="BV69" s="30"/>
      <c r="BW69" s="30"/>
      <c r="BX69" s="30"/>
      <c r="BY69" s="30"/>
      <c r="BZ69" s="30"/>
      <c r="CA69" s="30"/>
      <c r="CB69" s="30"/>
      <c r="CC69" s="30"/>
      <c r="CD69" s="30"/>
      <c r="CE69" s="30"/>
      <c r="CF69" s="30"/>
      <c r="CG69" s="30"/>
      <c r="CH69" s="30"/>
      <c r="CI69" s="30"/>
    </row>
    <row r="70" spans="1:87">
      <c r="A70" s="29" t="s">
        <v>134</v>
      </c>
      <c r="B70" s="32"/>
      <c r="C70" s="32">
        <f>AVERAGE(C35:C63)</f>
        <v>0.51724137931034486</v>
      </c>
      <c r="D70" s="32"/>
      <c r="E70" s="32">
        <f t="shared" ref="E70:L70" si="17">AVERAGE(E35:E63)</f>
        <v>3.9018199233716464</v>
      </c>
      <c r="F70" s="32">
        <f t="shared" si="17"/>
        <v>6.9481481481481477</v>
      </c>
      <c r="G70" s="32">
        <f t="shared" si="17"/>
        <v>6.1148148148148147</v>
      </c>
      <c r="H70" s="32">
        <f t="shared" si="17"/>
        <v>7.330324074074074</v>
      </c>
      <c r="I70" s="32">
        <f t="shared" si="17"/>
        <v>0.27586206896551724</v>
      </c>
      <c r="J70" s="32">
        <f t="shared" si="17"/>
        <v>0.17241379310344829</v>
      </c>
      <c r="K70" s="32">
        <f t="shared" si="17"/>
        <v>0.5357142857142857</v>
      </c>
      <c r="L70" s="32">
        <f t="shared" si="17"/>
        <v>0.51724137931034486</v>
      </c>
      <c r="M70" s="32"/>
      <c r="N70" s="32">
        <f>AVERAGE(N35:N63)</f>
        <v>0.51724137931034486</v>
      </c>
      <c r="O70" s="32"/>
      <c r="P70" s="32">
        <f>AVERAGE(P35:P63)</f>
        <v>9.1724137931034484</v>
      </c>
      <c r="Q70" s="32">
        <f>AVERAGE(Q35:Q63)</f>
        <v>4.1379310344827589</v>
      </c>
      <c r="R70" s="32">
        <f>AVERAGE(R35:R63)</f>
        <v>3.0344827586206895</v>
      </c>
      <c r="S70" s="32">
        <f>AVERAGE(S35:S63)</f>
        <v>6.375</v>
      </c>
      <c r="T70" s="32"/>
      <c r="U70" s="32">
        <f t="shared" ref="U70:AG70" si="18">AVERAGE(U35:U63)</f>
        <v>0.9285714285714286</v>
      </c>
      <c r="V70" s="32">
        <f t="shared" si="18"/>
        <v>-2.36</v>
      </c>
      <c r="W70" s="32">
        <f t="shared" si="18"/>
        <v>3.28</v>
      </c>
      <c r="X70" s="32">
        <f t="shared" si="18"/>
        <v>0.96551724137931039</v>
      </c>
      <c r="Y70" s="32">
        <f t="shared" si="18"/>
        <v>22.775862068965516</v>
      </c>
      <c r="Z70" s="32">
        <f t="shared" si="18"/>
        <v>0.27586206896551724</v>
      </c>
      <c r="AA70" s="32">
        <f t="shared" si="18"/>
        <v>0.75862068965517238</v>
      </c>
      <c r="AB70" s="32">
        <f t="shared" si="18"/>
        <v>1.2068965517241379</v>
      </c>
      <c r="AC70" s="32">
        <f t="shared" si="18"/>
        <v>0.7142857142857143</v>
      </c>
      <c r="AD70" s="32">
        <f t="shared" si="18"/>
        <v>0.34615384615384615</v>
      </c>
      <c r="AE70" s="32">
        <f t="shared" si="18"/>
        <v>3.2413793103448274</v>
      </c>
      <c r="AF70" s="32">
        <f t="shared" si="18"/>
        <v>0.2857142857142857</v>
      </c>
      <c r="AG70" s="32">
        <f t="shared" si="18"/>
        <v>0.10714285714285714</v>
      </c>
      <c r="AH70" s="32"/>
      <c r="AI70" s="32">
        <f>AVERAGE(AI35:AI63)</f>
        <v>1.6666666666666667</v>
      </c>
      <c r="AJ70" s="32"/>
      <c r="AK70" s="32" t="e">
        <f>AVERAGE(AK35:AK63)</f>
        <v>#DIV/0!</v>
      </c>
      <c r="AL70" s="32"/>
      <c r="AM70" s="32" t="e">
        <f>AVERAGE(AM35:AM63)</f>
        <v>#DIV/0!</v>
      </c>
      <c r="AN70" s="32"/>
      <c r="AO70" s="32">
        <f>AVERAGE(AO35:AO63)</f>
        <v>0.32142857142857145</v>
      </c>
      <c r="AP70" s="32"/>
      <c r="AQ70" s="32">
        <f>AVERAGE(AQ35:AQ63)</f>
        <v>1.4444444444444444</v>
      </c>
      <c r="AR70" s="32"/>
      <c r="AS70" s="32">
        <f>AVERAGE(AS35:AS63)</f>
        <v>1</v>
      </c>
      <c r="AT70" s="32"/>
      <c r="AU70" s="32" t="e">
        <f>AVERAGE(AU35:AU63)</f>
        <v>#DIV/0!</v>
      </c>
      <c r="AV70" s="32"/>
      <c r="AW70" s="32" t="e">
        <f>AVERAGE(AW35:AW63)</f>
        <v>#DIV/0!</v>
      </c>
      <c r="AX70" s="32"/>
      <c r="AY70" s="32">
        <f t="shared" ref="AY70:BQ70" si="19">AVERAGE(AY35:AY63)</f>
        <v>3.896551724137931</v>
      </c>
      <c r="AZ70" s="32">
        <f t="shared" si="19"/>
        <v>6</v>
      </c>
      <c r="BA70" s="32" t="e">
        <f t="shared" si="19"/>
        <v>#DIV/0!</v>
      </c>
      <c r="BB70" s="32">
        <f t="shared" si="19"/>
        <v>0.51724137931034486</v>
      </c>
      <c r="BC70" s="32">
        <f t="shared" si="19"/>
        <v>0</v>
      </c>
      <c r="BD70" s="32">
        <f t="shared" si="19"/>
        <v>0</v>
      </c>
      <c r="BE70" s="32">
        <f t="shared" si="19"/>
        <v>6.8965517241379309E-2</v>
      </c>
      <c r="BF70" s="32">
        <f t="shared" si="19"/>
        <v>0.48275862068965519</v>
      </c>
      <c r="BG70" s="32">
        <f t="shared" si="19"/>
        <v>0.2413793103448276</v>
      </c>
      <c r="BH70" s="32">
        <f t="shared" si="19"/>
        <v>1.1379310344827587</v>
      </c>
      <c r="BI70" s="32">
        <f t="shared" si="19"/>
        <v>0.37931034482758619</v>
      </c>
      <c r="BJ70" s="32">
        <f t="shared" si="19"/>
        <v>0.27586206896551724</v>
      </c>
      <c r="BK70" s="32">
        <f t="shared" si="19"/>
        <v>0</v>
      </c>
      <c r="BL70" s="32">
        <f t="shared" si="19"/>
        <v>0</v>
      </c>
      <c r="BM70" s="32">
        <f t="shared" si="19"/>
        <v>0.13793103448275862</v>
      </c>
      <c r="BN70" s="32">
        <f t="shared" si="19"/>
        <v>0.37931034482758619</v>
      </c>
      <c r="BO70" s="32">
        <f t="shared" si="19"/>
        <v>0.10344827586206896</v>
      </c>
      <c r="BP70" s="32">
        <f t="shared" si="19"/>
        <v>1.25</v>
      </c>
      <c r="BQ70" s="32">
        <f t="shared" si="19"/>
        <v>0.27586206896551724</v>
      </c>
      <c r="BR70" s="30"/>
      <c r="BS70" s="30"/>
      <c r="BT70" s="30"/>
      <c r="BU70" s="30"/>
      <c r="BV70" s="30"/>
      <c r="BW70" s="30"/>
      <c r="BX70" s="30"/>
      <c r="BY70" s="30"/>
      <c r="BZ70" s="30"/>
      <c r="CA70" s="30"/>
      <c r="CB70" s="30"/>
      <c r="CC70" s="30"/>
      <c r="CD70" s="30"/>
      <c r="CE70" s="30"/>
      <c r="CF70" s="30"/>
      <c r="CG70" s="30"/>
      <c r="CH70" s="30"/>
      <c r="CI70" s="30"/>
    </row>
    <row r="71" spans="1:87">
      <c r="A71" s="29" t="s">
        <v>20</v>
      </c>
      <c r="B71" s="33"/>
      <c r="C71" s="33">
        <f>TTEST(C3:C33, C35:C63, 2, 3)</f>
        <v>5.0138405774372924E-2</v>
      </c>
      <c r="D71" s="33"/>
      <c r="E71" s="33">
        <f t="shared" ref="E71:L71" si="20">TTEST(E3:E33, E35:E63, 2, 3)</f>
        <v>8.9257067627281084E-3</v>
      </c>
      <c r="F71" s="33">
        <f t="shared" si="20"/>
        <v>0.70080170979840317</v>
      </c>
      <c r="G71" s="33">
        <f t="shared" si="20"/>
        <v>0.91003403744402722</v>
      </c>
      <c r="H71" s="33">
        <f t="shared" si="20"/>
        <v>0.72351752040731299</v>
      </c>
      <c r="I71" s="33">
        <f t="shared" si="20"/>
        <v>0.23552412772463915</v>
      </c>
      <c r="J71" s="33">
        <f t="shared" si="20"/>
        <v>0.69560689197521208</v>
      </c>
      <c r="K71" s="33">
        <f t="shared" si="20"/>
        <v>0.13066270295093396</v>
      </c>
      <c r="L71" s="33">
        <f t="shared" si="20"/>
        <v>0.27966622772349758</v>
      </c>
      <c r="M71" s="33"/>
      <c r="N71" s="33">
        <f>TTEST(N3:N33, N35:N63, 2, 3)</f>
        <v>0.46299907733997914</v>
      </c>
      <c r="O71" s="33"/>
      <c r="P71" s="33">
        <f>TTEST(P3:P33, P35:P63, 2, 3)</f>
        <v>0.97121060289293071</v>
      </c>
      <c r="Q71" s="33">
        <f>TTEST(Q3:Q33, Q35:Q63, 2, 3)</f>
        <v>0.43887391738103065</v>
      </c>
      <c r="R71" s="33">
        <f>TTEST(R3:R33, R35:R63, 2, 3)</f>
        <v>0.31127076238468104</v>
      </c>
      <c r="S71" s="33">
        <f>TTEST(S3:S33, S35:S63, 2, 3)</f>
        <v>1</v>
      </c>
      <c r="T71" s="33"/>
      <c r="U71" s="33">
        <f t="shared" ref="U71:AG71" si="21">TTEST(U3:U33, U35:U63, 2, 3)</f>
        <v>0.61804144796289462</v>
      </c>
      <c r="V71" s="33">
        <f t="shared" si="21"/>
        <v>0.15049310922630846</v>
      </c>
      <c r="W71" s="33">
        <f t="shared" si="21"/>
        <v>0.60879857998984233</v>
      </c>
      <c r="X71" s="33">
        <f t="shared" si="21"/>
        <v>0.34847889873981275</v>
      </c>
      <c r="Y71" s="33">
        <f t="shared" si="21"/>
        <v>0.87919270174956532</v>
      </c>
      <c r="Z71" s="33">
        <f t="shared" si="21"/>
        <v>0.71872147694910105</v>
      </c>
      <c r="AA71" s="33">
        <f t="shared" si="21"/>
        <v>0.92932147911214891</v>
      </c>
      <c r="AB71" s="33">
        <f t="shared" si="21"/>
        <v>0.79933183223555282</v>
      </c>
      <c r="AC71" s="33">
        <f t="shared" si="21"/>
        <v>0.19854417396010179</v>
      </c>
      <c r="AD71" s="33">
        <f t="shared" si="21"/>
        <v>8.9754621466468704E-2</v>
      </c>
      <c r="AE71" s="33">
        <f t="shared" si="21"/>
        <v>0.95818658028467529</v>
      </c>
      <c r="AF71" s="33">
        <f t="shared" si="21"/>
        <v>8.2618577473207375E-2</v>
      </c>
      <c r="AG71" s="33">
        <f t="shared" si="21"/>
        <v>5.2697890488069568E-2</v>
      </c>
      <c r="AH71" s="33"/>
      <c r="AI71" s="33">
        <f>TTEST(AI3:AI33, AI35:AI63, 2, 3)</f>
        <v>0.34400752749830815</v>
      </c>
      <c r="AJ71" s="33"/>
      <c r="AK71" s="33" t="e">
        <f>TTEST(AK3:AK33, AK35:AK63, 2, 3)</f>
        <v>#DIV/0!</v>
      </c>
      <c r="AL71" s="33"/>
      <c r="AM71" s="33" t="e">
        <f>TTEST(AM3:AM33, AM35:AM63, 2, 3)</f>
        <v>#DIV/0!</v>
      </c>
      <c r="AN71" s="33"/>
      <c r="AO71" s="33">
        <f>TTEST(AO3:AO33, AO35:AO63, 2, 3)</f>
        <v>0.11813295822122438</v>
      </c>
      <c r="AP71" s="33"/>
      <c r="AQ71" s="33">
        <f>TTEST(AQ3:AQ33, AQ35:AQ63, 2, 3)</f>
        <v>0.786170248458402</v>
      </c>
      <c r="AR71" s="33"/>
      <c r="AS71" s="33" t="e">
        <f>TTEST(AS3:AS33, AS35:AS63, 2, 3)</f>
        <v>#DIV/0!</v>
      </c>
      <c r="AT71" s="33"/>
      <c r="AU71" s="33" t="e">
        <f>TTEST(AU3:AU33, AU35:AU63, 2, 3)</f>
        <v>#DIV/0!</v>
      </c>
      <c r="AV71" s="33"/>
      <c r="AW71" s="33" t="e">
        <f>TTEST(AW3:AW33, AW35:AW63, 2, 3)</f>
        <v>#DIV/0!</v>
      </c>
      <c r="AX71" s="33"/>
      <c r="AY71" s="33">
        <f t="shared" ref="AY71:BQ71" si="22">TTEST(AY3:AY33, AY35:AY63, 2, 3)</f>
        <v>1.0564317626404374E-17</v>
      </c>
      <c r="AZ71" s="33" t="e">
        <f t="shared" si="22"/>
        <v>#DIV/0!</v>
      </c>
      <c r="BA71" s="33" t="e">
        <f t="shared" si="22"/>
        <v>#DIV/0!</v>
      </c>
      <c r="BB71" s="33">
        <f t="shared" si="22"/>
        <v>0.94089565736013459</v>
      </c>
      <c r="BC71" s="33" t="e">
        <f t="shared" si="22"/>
        <v>#DIV/0!</v>
      </c>
      <c r="BD71" s="33">
        <f t="shared" si="22"/>
        <v>0.32618890067972717</v>
      </c>
      <c r="BE71" s="33">
        <f t="shared" si="22"/>
        <v>0.58021067551465266</v>
      </c>
      <c r="BF71" s="33">
        <f t="shared" si="22"/>
        <v>0.15830432576857231</v>
      </c>
      <c r="BG71" s="33">
        <f t="shared" si="22"/>
        <v>0.63247670867654093</v>
      </c>
      <c r="BH71" s="33">
        <f t="shared" si="22"/>
        <v>0.46126646062057231</v>
      </c>
      <c r="BI71" s="33">
        <f t="shared" si="22"/>
        <v>0.82809782548243804</v>
      </c>
      <c r="BJ71" s="33">
        <f t="shared" si="22"/>
        <v>0.63100511475064303</v>
      </c>
      <c r="BK71" s="33">
        <f t="shared" si="22"/>
        <v>0.16103934953023102</v>
      </c>
      <c r="BL71" s="97">
        <f t="shared" si="22"/>
        <v>2.2388211118330267E-2</v>
      </c>
      <c r="BM71" s="33">
        <f t="shared" si="22"/>
        <v>0.71369444194315657</v>
      </c>
      <c r="BN71" s="33">
        <f t="shared" si="22"/>
        <v>0.46120620445534566</v>
      </c>
      <c r="BO71" s="97">
        <f t="shared" si="22"/>
        <v>8.3044995932930576E-2</v>
      </c>
      <c r="BP71" s="33">
        <f t="shared" si="22"/>
        <v>0.1425094297443962</v>
      </c>
      <c r="BQ71" s="97">
        <f t="shared" si="22"/>
        <v>0.10880257857758578</v>
      </c>
      <c r="BR71" s="30"/>
      <c r="BS71" s="30"/>
      <c r="BT71" s="30"/>
      <c r="BU71" s="30"/>
      <c r="BV71" s="30"/>
      <c r="BW71" s="30"/>
      <c r="BX71" s="30"/>
      <c r="BY71" s="30"/>
      <c r="BZ71" s="30"/>
      <c r="CA71" s="30"/>
      <c r="CB71" s="30"/>
      <c r="CC71" s="30"/>
      <c r="CD71" s="30"/>
      <c r="CE71" s="30"/>
      <c r="CF71" s="30"/>
      <c r="CG71" s="30"/>
      <c r="CH71" s="30"/>
      <c r="CI71" s="30"/>
    </row>
    <row r="72" spans="1:87" s="30" customFormat="1">
      <c r="A72" s="30" t="s">
        <v>21</v>
      </c>
      <c r="B72" s="34"/>
      <c r="C72" s="34">
        <f>-(C70-C69)/C70</f>
        <v>-0.48444444444444451</v>
      </c>
      <c r="D72" s="34"/>
      <c r="E72" s="34">
        <f>-(E70-E69)/E70</f>
        <v>0.20710866401304626</v>
      </c>
      <c r="F72" s="34">
        <f>-(F70-F69)/F70</f>
        <v>-1.8237892171794071E-2</v>
      </c>
      <c r="G72" s="34">
        <f t="shared" ref="G72:BQ72" si="23">-(G70-G69)/G70</f>
        <v>2.2107813446396143E-2</v>
      </c>
      <c r="H72" s="34">
        <f t="shared" si="23"/>
        <v>-1.6134416630200918E-2</v>
      </c>
      <c r="I72" s="34">
        <f t="shared" si="23"/>
        <v>0.55357142857142849</v>
      </c>
      <c r="J72" s="34">
        <f t="shared" si="23"/>
        <v>0.24285714285714272</v>
      </c>
      <c r="K72" s="34">
        <f t="shared" si="23"/>
        <v>6.1555555555555559</v>
      </c>
      <c r="L72" s="34">
        <f t="shared" si="23"/>
        <v>0.50370370370370365</v>
      </c>
      <c r="M72" s="34"/>
      <c r="N72" s="34">
        <f t="shared" si="23"/>
        <v>0.31190476190476185</v>
      </c>
      <c r="O72" s="34"/>
      <c r="P72" s="34">
        <f t="shared" si="23"/>
        <v>-1.1009667024704659E-2</v>
      </c>
      <c r="Q72" s="34">
        <f t="shared" si="23"/>
        <v>-0.30089285714285718</v>
      </c>
      <c r="R72" s="34">
        <f t="shared" si="23"/>
        <v>0.4476461038961041</v>
      </c>
      <c r="S72" s="34">
        <f t="shared" si="23"/>
        <v>0</v>
      </c>
      <c r="T72" s="34"/>
      <c r="U72" s="34">
        <f t="shared" si="23"/>
        <v>-4.2735042735042819E-2</v>
      </c>
      <c r="V72" s="34">
        <f t="shared" si="23"/>
        <v>4.0670903954802267</v>
      </c>
      <c r="W72" s="34">
        <f>-(W70-W69)/W70</f>
        <v>-0.1488821138211382</v>
      </c>
      <c r="X72" s="34">
        <f t="shared" si="23"/>
        <v>-0.85204081632653061</v>
      </c>
      <c r="Y72" s="34">
        <f t="shared" si="23"/>
        <v>4.5906780577484714E-2</v>
      </c>
      <c r="Z72" s="34">
        <f t="shared" si="23"/>
        <v>-0.19444444444444448</v>
      </c>
      <c r="AA72" s="34">
        <f t="shared" si="23"/>
        <v>-3.6713286713286719E-2</v>
      </c>
      <c r="AB72" s="34">
        <f t="shared" si="23"/>
        <v>-0.10769230769230771</v>
      </c>
      <c r="AC72" s="34">
        <f t="shared" si="23"/>
        <v>0.56153846153846154</v>
      </c>
      <c r="AD72" s="34">
        <f t="shared" si="23"/>
        <v>1.2222222222222223</v>
      </c>
      <c r="AE72" s="34">
        <f>-(AE70-AE69)/AE70</f>
        <v>1.5099519560741364E-2</v>
      </c>
      <c r="AF72" s="34">
        <f t="shared" si="23"/>
        <v>-0.875</v>
      </c>
      <c r="AG72" s="34">
        <f t="shared" si="23"/>
        <v>2.0000000000000004</v>
      </c>
      <c r="AH72" s="34"/>
      <c r="AI72" s="34">
        <f t="shared" si="23"/>
        <v>0.26666666666666666</v>
      </c>
      <c r="AJ72" s="34"/>
      <c r="AK72" s="34" t="e">
        <f t="shared" si="23"/>
        <v>#DIV/0!</v>
      </c>
      <c r="AL72" s="34"/>
      <c r="AM72" s="34" t="e">
        <f t="shared" si="23"/>
        <v>#DIV/0!</v>
      </c>
      <c r="AN72" s="34"/>
      <c r="AO72" s="34">
        <f t="shared" si="23"/>
        <v>-0.55555555555555558</v>
      </c>
      <c r="AP72" s="34"/>
      <c r="AQ72" s="34">
        <f t="shared" si="23"/>
        <v>-7.6923076923076955E-2</v>
      </c>
      <c r="AR72" s="34"/>
      <c r="AS72" s="34">
        <f t="shared" si="23"/>
        <v>1</v>
      </c>
      <c r="AT72" s="34"/>
      <c r="AU72" s="34" t="e">
        <f t="shared" si="23"/>
        <v>#DIV/0!</v>
      </c>
      <c r="AV72" s="34"/>
      <c r="AW72" s="34" t="e">
        <f t="shared" si="23"/>
        <v>#DIV/0!</v>
      </c>
      <c r="AX72" s="34"/>
      <c r="AY72" s="34">
        <f t="shared" si="23"/>
        <v>-0.56921618204804048</v>
      </c>
      <c r="AZ72" s="34">
        <f t="shared" si="23"/>
        <v>2.2023809523809526</v>
      </c>
      <c r="BA72" s="34" t="e">
        <f t="shared" si="23"/>
        <v>#DIV/0!</v>
      </c>
      <c r="BB72" s="34">
        <f t="shared" si="23"/>
        <v>-3.3333333333333395E-2</v>
      </c>
      <c r="BC72" s="34" t="e">
        <f t="shared" si="23"/>
        <v>#DIV/0!</v>
      </c>
      <c r="BD72" s="34" t="e">
        <f t="shared" si="23"/>
        <v>#DIV/0!</v>
      </c>
      <c r="BE72" s="34">
        <f t="shared" si="23"/>
        <v>-0.48214285714285715</v>
      </c>
      <c r="BF72" s="34">
        <f t="shared" si="23"/>
        <v>-0.55612244897959195</v>
      </c>
      <c r="BG72" s="34">
        <f t="shared" si="23"/>
        <v>0.33163265306122452</v>
      </c>
      <c r="BH72" s="34">
        <f t="shared" si="23"/>
        <v>-0.15259740259740262</v>
      </c>
      <c r="BI72" s="34">
        <f t="shared" si="23"/>
        <v>0.12987012987012986</v>
      </c>
      <c r="BJ72" s="34">
        <f t="shared" si="23"/>
        <v>0.29464285714285721</v>
      </c>
      <c r="BK72" s="34" t="e">
        <f t="shared" si="23"/>
        <v>#DIV/0!</v>
      </c>
      <c r="BL72" s="34" t="e">
        <f t="shared" si="23"/>
        <v>#DIV/0!</v>
      </c>
      <c r="BM72" s="34">
        <f t="shared" si="23"/>
        <v>0.29464285714285721</v>
      </c>
      <c r="BN72" s="34">
        <f t="shared" si="23"/>
        <v>-0.34090909090909088</v>
      </c>
      <c r="BO72" s="34">
        <f t="shared" si="23"/>
        <v>2.3461538461538463</v>
      </c>
      <c r="BP72" s="34">
        <f t="shared" si="23"/>
        <v>-0.31428571428571433</v>
      </c>
      <c r="BQ72" s="34">
        <f t="shared" si="23"/>
        <v>-0.61160714285714279</v>
      </c>
    </row>
    <row r="73" spans="1:87" s="30" customFormat="1">
      <c r="A73" s="30" t="s">
        <v>465</v>
      </c>
      <c r="B73" s="34"/>
      <c r="C73" s="34"/>
      <c r="D73" s="34"/>
      <c r="E73" s="35">
        <f t="shared" ref="E73:AM73" si="24">STDEV(E3:E33)</f>
        <v>0.9719186558910603</v>
      </c>
      <c r="F73" s="35">
        <f t="shared" si="24"/>
        <v>1.3892063129334611</v>
      </c>
      <c r="G73" s="35">
        <f t="shared" si="24"/>
        <v>4.1777630023379384</v>
      </c>
      <c r="H73" s="35">
        <f t="shared" si="24"/>
        <v>1.4463134895266565</v>
      </c>
      <c r="I73" s="35">
        <f t="shared" si="24"/>
        <v>0.50395263067896967</v>
      </c>
      <c r="J73" s="35">
        <f t="shared" si="24"/>
        <v>0.4178554470186725</v>
      </c>
      <c r="K73" s="35">
        <f t="shared" si="24"/>
        <v>10.239168897432299</v>
      </c>
      <c r="L73" s="35">
        <f t="shared" si="24"/>
        <v>1.0127393670836666</v>
      </c>
      <c r="M73" s="35" t="e">
        <f t="shared" si="24"/>
        <v>#DIV/0!</v>
      </c>
      <c r="N73" s="35">
        <f t="shared" si="24"/>
        <v>0.81892302485332569</v>
      </c>
      <c r="O73" s="35" t="e">
        <f t="shared" si="24"/>
        <v>#DIV/0!</v>
      </c>
      <c r="P73" s="35">
        <f t="shared" si="24"/>
        <v>10.773522314859846</v>
      </c>
      <c r="Q73" s="35">
        <f t="shared" si="24"/>
        <v>4.8100149049918119</v>
      </c>
      <c r="R73" s="35">
        <f t="shared" si="24"/>
        <v>5.7306148963219545</v>
      </c>
      <c r="S73" s="35">
        <f t="shared" si="24"/>
        <v>1.3237502841604283</v>
      </c>
      <c r="T73" s="35" t="e">
        <f t="shared" si="24"/>
        <v>#DIV/0!</v>
      </c>
      <c r="U73" s="35">
        <f t="shared" si="24"/>
        <v>0.32025630761017437</v>
      </c>
      <c r="V73" s="35">
        <f t="shared" si="24"/>
        <v>27.882485022223051</v>
      </c>
      <c r="W73" s="35">
        <f t="shared" si="24"/>
        <v>2.7816036454857676</v>
      </c>
      <c r="X73" s="35">
        <f t="shared" si="24"/>
        <v>0.35634832254989923</v>
      </c>
      <c r="Y73" s="35">
        <f t="shared" si="24"/>
        <v>26.31019176053627</v>
      </c>
      <c r="Z73" s="35">
        <f t="shared" si="24"/>
        <v>0.57735026918962573</v>
      </c>
      <c r="AA73" s="35">
        <f t="shared" si="24"/>
        <v>1.313246124919234</v>
      </c>
      <c r="AB73" s="35">
        <f t="shared" si="24"/>
        <v>2.0183771089283966</v>
      </c>
      <c r="AC73" s="35">
        <f t="shared" si="24"/>
        <v>1.1428708790383304</v>
      </c>
      <c r="AD73" s="35">
        <f t="shared" si="24"/>
        <v>1.0698669938900744</v>
      </c>
      <c r="AE73" s="35">
        <f t="shared" si="24"/>
        <v>4.1165806877965823</v>
      </c>
      <c r="AF73" s="35">
        <f t="shared" si="24"/>
        <v>0.1889822365046136</v>
      </c>
      <c r="AG73" s="35">
        <f t="shared" si="24"/>
        <v>0.47559486560567094</v>
      </c>
      <c r="AH73" s="35" t="e">
        <f t="shared" si="24"/>
        <v>#DIV/0!</v>
      </c>
      <c r="AI73" s="35">
        <f t="shared" si="24"/>
        <v>0.78173595997057133</v>
      </c>
      <c r="AJ73" s="35" t="e">
        <f t="shared" si="24"/>
        <v>#DIV/0!</v>
      </c>
      <c r="AK73" s="35">
        <f t="shared" si="24"/>
        <v>0.89442719099991586</v>
      </c>
      <c r="AL73" s="35" t="e">
        <f t="shared" si="24"/>
        <v>#DIV/0!</v>
      </c>
      <c r="AM73" s="35">
        <f t="shared" si="24"/>
        <v>0.5</v>
      </c>
      <c r="AN73" s="35"/>
      <c r="AO73" s="35">
        <f t="shared" ref="AO73:AW73" si="25">STDEV(AO3:AO33)</f>
        <v>0.35634832254989923</v>
      </c>
      <c r="AP73" s="35" t="e">
        <f t="shared" si="25"/>
        <v>#DIV/0!</v>
      </c>
      <c r="AQ73" s="35">
        <f t="shared" si="25"/>
        <v>0.57735026918962584</v>
      </c>
      <c r="AR73" s="35" t="e">
        <f t="shared" si="25"/>
        <v>#DIV/0!</v>
      </c>
      <c r="AS73" s="35" t="e">
        <f t="shared" si="25"/>
        <v>#DIV/0!</v>
      </c>
      <c r="AT73" s="35" t="e">
        <f t="shared" si="25"/>
        <v>#DIV/0!</v>
      </c>
      <c r="AU73" s="35" t="e">
        <f t="shared" si="25"/>
        <v>#DIV/0!</v>
      </c>
      <c r="AV73" s="35" t="e">
        <f t="shared" si="25"/>
        <v>#DIV/0!</v>
      </c>
      <c r="AW73" s="35" t="e">
        <f t="shared" si="25"/>
        <v>#DIV/0!</v>
      </c>
      <c r="AX73" s="35"/>
      <c r="AY73" s="35">
        <f t="shared" ref="AY73:BQ73" si="26">STDEV(AY3:AY33)</f>
        <v>0.72283246501991916</v>
      </c>
      <c r="AZ73" s="35">
        <f t="shared" si="26"/>
        <v>4.6769248843258531</v>
      </c>
      <c r="BA73" s="35">
        <f t="shared" si="26"/>
        <v>9.1725738542194968</v>
      </c>
      <c r="BB73" s="35">
        <f t="shared" si="26"/>
        <v>0.79349204761587222</v>
      </c>
      <c r="BC73" s="35">
        <f t="shared" si="26"/>
        <v>0</v>
      </c>
      <c r="BD73" s="35">
        <f t="shared" si="26"/>
        <v>0.1889822365046136</v>
      </c>
      <c r="BE73" s="35">
        <f t="shared" si="26"/>
        <v>0.1889822365046136</v>
      </c>
      <c r="BF73" s="35">
        <f t="shared" si="26"/>
        <v>0.4178554470186725</v>
      </c>
      <c r="BG73" s="35">
        <f t="shared" si="26"/>
        <v>0.72283246501991905</v>
      </c>
      <c r="BH73" s="35">
        <f t="shared" si="26"/>
        <v>0.99933840548497321</v>
      </c>
      <c r="BI73" s="35">
        <f t="shared" si="26"/>
        <v>0.9200874124564723</v>
      </c>
      <c r="BJ73" s="35">
        <f t="shared" si="26"/>
        <v>0.6214848238238696</v>
      </c>
      <c r="BK73" s="35">
        <f t="shared" si="26"/>
        <v>0.5245305283129621</v>
      </c>
      <c r="BL73" s="35">
        <f t="shared" si="26"/>
        <v>0.39002102778747982</v>
      </c>
      <c r="BM73" s="35">
        <f t="shared" si="26"/>
        <v>0.39002102778747982</v>
      </c>
      <c r="BN73" s="35">
        <f t="shared" si="26"/>
        <v>0.51818772517160083</v>
      </c>
      <c r="BO73" s="35">
        <f t="shared" si="26"/>
        <v>0.6287961636211018</v>
      </c>
      <c r="BP73" s="35">
        <f t="shared" si="26"/>
        <v>1.0079052613579393</v>
      </c>
      <c r="BQ73" s="35">
        <f t="shared" si="26"/>
        <v>0.31497039417435602</v>
      </c>
    </row>
    <row r="74" spans="1:87" s="30" customFormat="1">
      <c r="A74" s="30" t="s">
        <v>466</v>
      </c>
      <c r="B74" s="34"/>
      <c r="C74" s="34"/>
      <c r="D74" s="34"/>
      <c r="E74" s="35">
        <f t="shared" ref="E74:V74" si="27">STDEV(E35:E63)</f>
        <v>1.2604716308934949</v>
      </c>
      <c r="F74" s="35">
        <f t="shared" si="27"/>
        <v>1.020697487908814</v>
      </c>
      <c r="G74" s="35">
        <f t="shared" si="27"/>
        <v>4.6303932133827805</v>
      </c>
      <c r="H74" s="35">
        <f t="shared" si="27"/>
        <v>0.98249202339396247</v>
      </c>
      <c r="I74" s="35">
        <f t="shared" si="27"/>
        <v>0.45485882614734202</v>
      </c>
      <c r="J74" s="35">
        <f t="shared" si="27"/>
        <v>0.38442587221924479</v>
      </c>
      <c r="K74" s="35">
        <f t="shared" si="27"/>
        <v>1.3738872361173378</v>
      </c>
      <c r="L74" s="35">
        <f t="shared" si="27"/>
        <v>0.73779060401272267</v>
      </c>
      <c r="M74" s="35" t="e">
        <f t="shared" si="27"/>
        <v>#DIV/0!</v>
      </c>
      <c r="N74" s="35">
        <f t="shared" si="27"/>
        <v>0.82897051710335323</v>
      </c>
      <c r="O74" s="35" t="e">
        <f t="shared" si="27"/>
        <v>#DIV/0!</v>
      </c>
      <c r="P74" s="35">
        <f t="shared" si="27"/>
        <v>10.235857719372204</v>
      </c>
      <c r="Q74" s="35">
        <f t="shared" si="27"/>
        <v>7.0608282493275851</v>
      </c>
      <c r="R74" s="35">
        <f t="shared" si="27"/>
        <v>4.1359293187927255</v>
      </c>
      <c r="S74" s="35">
        <f t="shared" si="27"/>
        <v>2.7975683885990863</v>
      </c>
      <c r="T74" s="35" t="e">
        <f t="shared" si="27"/>
        <v>#DIV/0!</v>
      </c>
      <c r="U74" s="35">
        <f t="shared" si="27"/>
        <v>0.2622652641564811</v>
      </c>
      <c r="V74" s="35">
        <f t="shared" si="27"/>
        <v>16.059472801641611</v>
      </c>
      <c r="W74" s="35">
        <f>STDEV(W35:W63)</f>
        <v>3.7916575091464506</v>
      </c>
      <c r="X74" s="35">
        <f t="shared" ref="X74:AM74" si="28">STDEV(X35:X63)</f>
        <v>4.6328235652992564</v>
      </c>
      <c r="Y74" s="35">
        <f t="shared" si="28"/>
        <v>25.34955135095257</v>
      </c>
      <c r="Z74" s="35">
        <f t="shared" si="28"/>
        <v>0.52756527857006408</v>
      </c>
      <c r="AA74" s="35">
        <f t="shared" si="28"/>
        <v>0.95075805897163312</v>
      </c>
      <c r="AB74" s="35">
        <f t="shared" si="28"/>
        <v>1.7192047651837583</v>
      </c>
      <c r="AC74" s="35">
        <f t="shared" si="28"/>
        <v>1.117442279796701</v>
      </c>
      <c r="AD74" s="35">
        <f t="shared" si="28"/>
        <v>0.6287961636211018</v>
      </c>
      <c r="AE74" s="35">
        <f t="shared" si="28"/>
        <v>3.0314444036488273</v>
      </c>
      <c r="AF74" s="35">
        <f t="shared" si="28"/>
        <v>0.71269664509979846</v>
      </c>
      <c r="AG74" s="35">
        <f t="shared" si="28"/>
        <v>0.31497039417435602</v>
      </c>
      <c r="AH74" s="35" t="e">
        <f t="shared" si="28"/>
        <v>#DIV/0!</v>
      </c>
      <c r="AI74" s="35">
        <f t="shared" si="28"/>
        <v>0.57735026918962551</v>
      </c>
      <c r="AJ74" s="35" t="e">
        <f t="shared" si="28"/>
        <v>#DIV/0!</v>
      </c>
      <c r="AK74" s="35" t="e">
        <f t="shared" si="28"/>
        <v>#DIV/0!</v>
      </c>
      <c r="AL74" s="35" t="e">
        <f t="shared" si="28"/>
        <v>#DIV/0!</v>
      </c>
      <c r="AM74" s="35" t="e">
        <f t="shared" si="28"/>
        <v>#DIV/0!</v>
      </c>
      <c r="AN74" s="35"/>
      <c r="AO74" s="35">
        <f t="shared" ref="AO74:AW74" si="29">STDEV(AO35:AO63)</f>
        <v>0.47559486560567094</v>
      </c>
      <c r="AP74" s="35" t="e">
        <f t="shared" si="29"/>
        <v>#DIV/0!</v>
      </c>
      <c r="AQ74" s="35">
        <f t="shared" si="29"/>
        <v>0.52704627669472981</v>
      </c>
      <c r="AR74" s="35" t="e">
        <f t="shared" si="29"/>
        <v>#DIV/0!</v>
      </c>
      <c r="AS74" s="35">
        <f t="shared" si="29"/>
        <v>0</v>
      </c>
      <c r="AT74" s="35" t="e">
        <f t="shared" si="29"/>
        <v>#DIV/0!</v>
      </c>
      <c r="AU74" s="35" t="e">
        <f t="shared" si="29"/>
        <v>#DIV/0!</v>
      </c>
      <c r="AV74" s="35" t="e">
        <f t="shared" si="29"/>
        <v>#DIV/0!</v>
      </c>
      <c r="AW74" s="35" t="e">
        <f t="shared" si="29"/>
        <v>#DIV/0!</v>
      </c>
      <c r="AX74" s="35"/>
      <c r="AY74" s="35">
        <f t="shared" ref="AY74:BQ74" si="30">STDEV(AY35:AY63)</f>
        <v>0.55708601453115514</v>
      </c>
      <c r="AZ74" s="35" t="e">
        <f t="shared" si="30"/>
        <v>#DIV/0!</v>
      </c>
      <c r="BA74" s="35" t="e">
        <f t="shared" si="30"/>
        <v>#DIV/0!</v>
      </c>
      <c r="BB74" s="35">
        <f t="shared" si="30"/>
        <v>0.94946186469616312</v>
      </c>
      <c r="BC74" s="35">
        <f t="shared" si="30"/>
        <v>0</v>
      </c>
      <c r="BD74" s="35">
        <f t="shared" si="30"/>
        <v>0</v>
      </c>
      <c r="BE74" s="35">
        <f t="shared" si="30"/>
        <v>0.25788071477756375</v>
      </c>
      <c r="BF74" s="35">
        <f t="shared" si="30"/>
        <v>0.91107039304531445</v>
      </c>
      <c r="BG74" s="35">
        <f t="shared" si="30"/>
        <v>0.51096354453362369</v>
      </c>
      <c r="BH74" s="35">
        <f t="shared" si="30"/>
        <v>0.74278135270820755</v>
      </c>
      <c r="BI74" s="35">
        <f t="shared" si="30"/>
        <v>0.77523236624568048</v>
      </c>
      <c r="BJ74" s="35">
        <f t="shared" si="30"/>
        <v>0.64898556687329512</v>
      </c>
      <c r="BK74" s="35">
        <f t="shared" si="30"/>
        <v>0</v>
      </c>
      <c r="BL74" s="35">
        <f t="shared" si="30"/>
        <v>0</v>
      </c>
      <c r="BM74" s="35">
        <f t="shared" si="30"/>
        <v>0.44111368238604581</v>
      </c>
      <c r="BN74" s="35">
        <f t="shared" si="30"/>
        <v>0.77523236624568048</v>
      </c>
      <c r="BO74" s="35">
        <f t="shared" si="30"/>
        <v>0.30993404669460345</v>
      </c>
      <c r="BP74" s="35">
        <f t="shared" si="30"/>
        <v>0.96704973252940063</v>
      </c>
      <c r="BQ74" s="35">
        <f t="shared" si="30"/>
        <v>0.45485882614734202</v>
      </c>
    </row>
    <row r="76" spans="1:87">
      <c r="A76" s="30" t="s">
        <v>443</v>
      </c>
      <c r="C76" s="32" t="s">
        <v>462</v>
      </c>
      <c r="D76" s="32"/>
      <c r="E76" s="32"/>
      <c r="F76" s="32"/>
      <c r="G76" s="32"/>
      <c r="H76" s="32"/>
      <c r="I76" s="32" t="s">
        <v>463</v>
      </c>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c r="BI76" s="32"/>
      <c r="BJ76" s="32"/>
      <c r="BK76" s="32"/>
      <c r="BL76" s="32"/>
      <c r="BM76" s="32"/>
      <c r="BN76" s="32"/>
      <c r="BO76" s="32"/>
      <c r="BP76" s="32"/>
      <c r="BQ76" s="32"/>
    </row>
    <row r="77" spans="1:87">
      <c r="A77" s="30" t="s">
        <v>458</v>
      </c>
      <c r="C77" s="29" t="s">
        <v>461</v>
      </c>
    </row>
    <row r="78" spans="1:87">
      <c r="F78" s="60"/>
      <c r="G78" s="60"/>
      <c r="H78" s="60"/>
      <c r="I78" s="60"/>
      <c r="J78" s="60"/>
      <c r="K78" s="60"/>
      <c r="L78" s="60"/>
    </row>
    <row r="79" spans="1:87">
      <c r="A79" s="30"/>
      <c r="D79" s="30"/>
      <c r="F79" s="60"/>
      <c r="G79" s="60"/>
      <c r="H79" s="60"/>
      <c r="I79" s="60"/>
      <c r="J79" s="60"/>
      <c r="K79" s="60"/>
      <c r="L79" s="60"/>
      <c r="AY79" s="52" t="s">
        <v>314</v>
      </c>
    </row>
    <row r="80" spans="1:87">
      <c r="A80" s="30"/>
      <c r="C80" s="30"/>
      <c r="F80" s="60"/>
      <c r="G80" s="60"/>
      <c r="H80" s="60"/>
      <c r="I80" s="60"/>
      <c r="J80" s="60"/>
      <c r="K80" s="60"/>
      <c r="L80" s="60"/>
      <c r="AY80" s="29">
        <v>1</v>
      </c>
      <c r="AZ80" s="29" t="s">
        <v>315</v>
      </c>
    </row>
    <row r="81" spans="1:70">
      <c r="A81" s="30"/>
      <c r="C81" s="30"/>
      <c r="F81" s="60"/>
      <c r="G81" s="60"/>
      <c r="H81" s="60"/>
      <c r="I81" s="60"/>
      <c r="J81" s="60"/>
      <c r="K81" s="60"/>
      <c r="L81" s="60"/>
      <c r="AY81" s="29">
        <v>2</v>
      </c>
      <c r="AZ81" s="29" t="s">
        <v>316</v>
      </c>
    </row>
    <row r="82" spans="1:70">
      <c r="A82" s="30"/>
      <c r="B82" s="30"/>
      <c r="C82" s="30"/>
      <c r="F82" s="60"/>
      <c r="G82" s="60"/>
      <c r="H82" s="60"/>
      <c r="I82" s="60"/>
      <c r="J82" s="60"/>
      <c r="K82" s="60"/>
      <c r="L82" s="60"/>
      <c r="AY82" s="29">
        <v>3</v>
      </c>
      <c r="AZ82" s="29" t="s">
        <v>317</v>
      </c>
    </row>
    <row r="83" spans="1:70">
      <c r="A83" s="30"/>
      <c r="B83" s="94"/>
      <c r="C83" s="94"/>
      <c r="F83" s="60"/>
      <c r="G83" s="60"/>
      <c r="H83" s="60"/>
      <c r="I83" s="60"/>
      <c r="J83" s="60"/>
      <c r="K83" s="60"/>
      <c r="L83" s="60"/>
      <c r="AY83" s="29">
        <v>4</v>
      </c>
      <c r="AZ83" s="29" t="s">
        <v>318</v>
      </c>
    </row>
    <row r="84" spans="1:70">
      <c r="F84" s="60"/>
      <c r="G84" s="60"/>
      <c r="H84" s="60"/>
      <c r="I84" s="60"/>
      <c r="J84" s="60"/>
      <c r="K84" s="60"/>
      <c r="L84" s="60"/>
    </row>
    <row r="85" spans="1:70">
      <c r="F85" s="60"/>
      <c r="G85" s="60"/>
      <c r="H85" s="60"/>
      <c r="I85" s="60"/>
      <c r="J85" s="60"/>
      <c r="K85" s="60"/>
      <c r="L85" s="60"/>
    </row>
    <row r="86" spans="1:70">
      <c r="F86" s="60"/>
      <c r="G86" s="60"/>
      <c r="H86" s="60"/>
      <c r="I86" s="60"/>
      <c r="J86" s="60"/>
      <c r="K86" s="60"/>
      <c r="L86" s="60"/>
    </row>
    <row r="87" spans="1:70">
      <c r="F87" s="60"/>
      <c r="G87" s="60"/>
      <c r="H87" s="60"/>
      <c r="I87" s="60"/>
      <c r="J87" s="60"/>
      <c r="K87" s="60"/>
      <c r="L87" s="60"/>
    </row>
    <row r="88" spans="1:70">
      <c r="A88" s="30" t="s">
        <v>89</v>
      </c>
      <c r="B88" s="59">
        <v>42778</v>
      </c>
      <c r="C88" s="29">
        <v>1</v>
      </c>
      <c r="D88" s="59">
        <v>41262</v>
      </c>
      <c r="E88" s="32">
        <f>YEARFRAC(D88,B88)</f>
        <v>4.1472222222222221</v>
      </c>
      <c r="F88" s="60">
        <v>4</v>
      </c>
      <c r="G88" s="60">
        <v>10</v>
      </c>
      <c r="H88" s="32">
        <f>F88+(G88/16)</f>
        <v>4.625</v>
      </c>
      <c r="I88" s="60">
        <v>0</v>
      </c>
      <c r="J88" s="60">
        <v>0</v>
      </c>
      <c r="K88" s="60">
        <v>0</v>
      </c>
      <c r="L88" s="60">
        <v>0</v>
      </c>
      <c r="N88" s="29">
        <v>0</v>
      </c>
      <c r="P88" s="29">
        <v>3</v>
      </c>
      <c r="Q88" s="29">
        <v>27</v>
      </c>
      <c r="R88" s="29">
        <v>0</v>
      </c>
      <c r="S88" s="29">
        <v>6</v>
      </c>
      <c r="U88" s="29">
        <v>1</v>
      </c>
      <c r="V88" s="29">
        <v>4</v>
      </c>
      <c r="X88" s="29">
        <v>1</v>
      </c>
      <c r="Y88" s="29">
        <v>10</v>
      </c>
      <c r="Z88" s="29">
        <v>0</v>
      </c>
      <c r="AA88" s="29">
        <v>1</v>
      </c>
      <c r="AB88" s="29">
        <v>1</v>
      </c>
      <c r="AC88" s="29">
        <v>1</v>
      </c>
      <c r="AD88" s="29">
        <v>2</v>
      </c>
      <c r="AF88" s="29">
        <v>1</v>
      </c>
      <c r="AG88" s="29">
        <v>1</v>
      </c>
      <c r="AH88" s="29" t="s">
        <v>299</v>
      </c>
      <c r="AI88" s="29">
        <v>2</v>
      </c>
      <c r="AJ88" s="29" t="s">
        <v>300</v>
      </c>
      <c r="AK88" s="29">
        <v>1</v>
      </c>
      <c r="AO88" s="29">
        <v>1</v>
      </c>
      <c r="AP88" s="29" t="s">
        <v>301</v>
      </c>
      <c r="AQ88" s="29">
        <v>2</v>
      </c>
      <c r="AY88" s="30">
        <v>3</v>
      </c>
      <c r="BB88" s="29">
        <v>0</v>
      </c>
      <c r="BC88" s="29">
        <v>0</v>
      </c>
      <c r="BD88" s="29">
        <v>0</v>
      </c>
      <c r="BE88" s="29">
        <v>0</v>
      </c>
      <c r="BF88" s="29">
        <v>2</v>
      </c>
      <c r="BG88" s="29">
        <v>0</v>
      </c>
      <c r="BH88" s="29">
        <v>0</v>
      </c>
      <c r="BI88" s="29">
        <v>2</v>
      </c>
      <c r="BJ88" s="29">
        <v>1</v>
      </c>
      <c r="BK88" s="29">
        <v>0</v>
      </c>
      <c r="BL88" s="29">
        <v>0</v>
      </c>
      <c r="BM88" s="29">
        <v>0</v>
      </c>
      <c r="BN88" s="29">
        <v>0</v>
      </c>
      <c r="BO88" s="29">
        <v>0</v>
      </c>
      <c r="BP88" s="29">
        <v>3</v>
      </c>
      <c r="BQ88" s="29">
        <v>0</v>
      </c>
      <c r="BR88" s="29" t="s">
        <v>302</v>
      </c>
    </row>
    <row r="89" spans="1:70">
      <c r="A89" s="30"/>
      <c r="B89" s="59"/>
      <c r="D89" s="59"/>
      <c r="E89" s="32"/>
      <c r="F89" s="60"/>
      <c r="G89" s="60"/>
      <c r="H89" s="32"/>
      <c r="I89" s="60"/>
      <c r="J89" s="60"/>
      <c r="K89" s="60"/>
      <c r="L89" s="60"/>
      <c r="AN89" s="29" t="s">
        <v>481</v>
      </c>
      <c r="AY89" s="30"/>
    </row>
    <row r="90" spans="1:70">
      <c r="A90" s="30"/>
      <c r="B90" s="59"/>
      <c r="D90" s="59"/>
      <c r="E90" s="32"/>
      <c r="F90" s="60"/>
      <c r="G90" s="60"/>
      <c r="H90" s="32"/>
      <c r="I90" s="60"/>
      <c r="J90" s="60"/>
      <c r="K90" s="60"/>
      <c r="L90" s="60"/>
      <c r="U90" s="29" t="s">
        <v>478</v>
      </c>
      <c r="V90" s="29" t="s">
        <v>474</v>
      </c>
      <c r="AN90" s="29">
        <v>0</v>
      </c>
      <c r="AY90" s="29">
        <v>1</v>
      </c>
      <c r="AZ90" s="29">
        <v>18</v>
      </c>
    </row>
    <row r="91" spans="1:70">
      <c r="F91" s="60"/>
      <c r="G91" s="60"/>
      <c r="H91" s="60"/>
      <c r="I91" s="60"/>
      <c r="J91" s="60"/>
      <c r="K91" s="60"/>
      <c r="L91" s="56" t="s">
        <v>145</v>
      </c>
      <c r="M91" s="51" t="s">
        <v>146</v>
      </c>
      <c r="N91" s="29" t="s">
        <v>467</v>
      </c>
      <c r="U91" s="29">
        <v>0</v>
      </c>
      <c r="AN91" s="29">
        <v>0</v>
      </c>
      <c r="AY91" s="29">
        <v>1</v>
      </c>
      <c r="AZ91" s="29">
        <v>18</v>
      </c>
    </row>
    <row r="92" spans="1:70">
      <c r="F92" s="60"/>
      <c r="G92" s="60"/>
      <c r="H92" s="60"/>
      <c r="I92" s="60"/>
      <c r="J92" s="60"/>
      <c r="K92" s="60"/>
      <c r="L92" s="60">
        <v>0</v>
      </c>
      <c r="N92" s="29">
        <v>0</v>
      </c>
      <c r="U92" s="29">
        <v>0</v>
      </c>
      <c r="AN92" s="29">
        <v>0</v>
      </c>
      <c r="AY92" s="29">
        <v>1</v>
      </c>
      <c r="AZ92" s="29">
        <v>20</v>
      </c>
    </row>
    <row r="93" spans="1:70">
      <c r="F93" s="60"/>
      <c r="G93" s="60"/>
      <c r="H93" s="60"/>
      <c r="I93" s="60"/>
      <c r="J93" s="60"/>
      <c r="K93" s="60"/>
      <c r="L93" s="60">
        <v>0</v>
      </c>
      <c r="N93" s="60">
        <v>0</v>
      </c>
      <c r="U93" s="29">
        <v>0</v>
      </c>
      <c r="V93" s="64"/>
      <c r="W93" s="64"/>
      <c r="AN93" s="29">
        <v>0</v>
      </c>
      <c r="AY93" s="29">
        <v>1</v>
      </c>
      <c r="AZ93" s="29">
        <v>19</v>
      </c>
    </row>
    <row r="94" spans="1:70">
      <c r="F94" s="60"/>
      <c r="G94" s="60"/>
      <c r="H94" s="60"/>
      <c r="I94" s="60"/>
      <c r="J94" s="60"/>
      <c r="K94" s="60"/>
      <c r="L94" s="60">
        <v>0</v>
      </c>
      <c r="M94" s="60"/>
      <c r="N94" s="60">
        <v>0</v>
      </c>
      <c r="U94" s="29">
        <v>1</v>
      </c>
      <c r="V94" s="30">
        <v>0</v>
      </c>
      <c r="W94" s="30"/>
      <c r="X94" s="29" t="s">
        <v>476</v>
      </c>
      <c r="AN94" s="29">
        <v>0</v>
      </c>
      <c r="AY94" s="29">
        <v>1</v>
      </c>
      <c r="AZ94" s="29">
        <v>14</v>
      </c>
    </row>
    <row r="95" spans="1:70">
      <c r="F95" s="60"/>
      <c r="G95" s="60"/>
      <c r="H95" s="60"/>
      <c r="I95" s="60"/>
      <c r="J95" s="60"/>
      <c r="K95" s="60"/>
      <c r="L95" s="60">
        <v>0</v>
      </c>
      <c r="M95" s="60"/>
      <c r="N95" s="29">
        <v>0</v>
      </c>
      <c r="U95" s="29">
        <v>1</v>
      </c>
      <c r="V95" s="29">
        <v>0</v>
      </c>
      <c r="X95" s="29" t="s">
        <v>476</v>
      </c>
      <c r="AN95" s="29">
        <v>0</v>
      </c>
      <c r="AY95" s="29">
        <v>1</v>
      </c>
      <c r="AZ95" s="29">
        <v>30</v>
      </c>
    </row>
    <row r="96" spans="1:70">
      <c r="F96" s="60"/>
      <c r="G96" s="60"/>
      <c r="H96" s="60"/>
      <c r="I96" s="60"/>
      <c r="J96" s="60"/>
      <c r="K96" s="60"/>
      <c r="L96" s="60">
        <v>0</v>
      </c>
      <c r="M96" s="60"/>
      <c r="N96" s="29">
        <v>0</v>
      </c>
      <c r="U96" s="29">
        <v>1</v>
      </c>
      <c r="V96" s="30">
        <v>0</v>
      </c>
      <c r="W96" s="30"/>
      <c r="X96" s="29" t="s">
        <v>476</v>
      </c>
      <c r="AN96" s="29">
        <v>0</v>
      </c>
      <c r="AY96" s="29">
        <v>1</v>
      </c>
      <c r="AZ96" s="29">
        <v>22</v>
      </c>
    </row>
    <row r="97" spans="6:53">
      <c r="F97" s="60"/>
      <c r="G97" s="60"/>
      <c r="H97" s="60"/>
      <c r="I97" s="60"/>
      <c r="J97" s="60"/>
      <c r="K97" s="60"/>
      <c r="L97" s="60">
        <v>0</v>
      </c>
      <c r="N97" s="30">
        <v>0</v>
      </c>
      <c r="O97" s="30"/>
      <c r="U97" s="29">
        <v>1</v>
      </c>
      <c r="V97" s="30">
        <v>0</v>
      </c>
      <c r="W97" s="30"/>
      <c r="X97" s="29" t="s">
        <v>476</v>
      </c>
      <c r="AN97" s="29">
        <v>0</v>
      </c>
      <c r="AY97" s="29">
        <v>1</v>
      </c>
      <c r="AZ97" s="29">
        <v>18</v>
      </c>
    </row>
    <row r="98" spans="6:53">
      <c r="L98" s="60">
        <v>0</v>
      </c>
      <c r="N98" s="60">
        <v>0</v>
      </c>
      <c r="O98" s="60"/>
      <c r="U98" s="29">
        <v>1</v>
      </c>
      <c r="V98" s="64">
        <v>0</v>
      </c>
      <c r="W98" s="64"/>
      <c r="X98" s="29" t="s">
        <v>476</v>
      </c>
      <c r="AN98" s="29">
        <v>0</v>
      </c>
      <c r="AY98" s="29">
        <v>1</v>
      </c>
      <c r="AZ98" s="29">
        <v>24</v>
      </c>
    </row>
    <row r="99" spans="6:53">
      <c r="L99" s="60">
        <v>0</v>
      </c>
      <c r="N99" s="60">
        <v>0</v>
      </c>
      <c r="O99" s="60"/>
      <c r="U99" s="29">
        <v>1</v>
      </c>
      <c r="V99" s="64">
        <v>0</v>
      </c>
      <c r="W99" s="64"/>
      <c r="X99" s="29" t="s">
        <v>476</v>
      </c>
      <c r="AN99" s="29">
        <v>0</v>
      </c>
      <c r="AY99" s="29">
        <v>1</v>
      </c>
      <c r="AZ99" s="29">
        <v>14</v>
      </c>
    </row>
    <row r="100" spans="6:53">
      <c r="L100" s="62">
        <v>0</v>
      </c>
      <c r="M100" s="30"/>
      <c r="N100" s="60">
        <v>0</v>
      </c>
      <c r="O100" s="60"/>
      <c r="U100" s="29">
        <v>1</v>
      </c>
      <c r="V100" s="29">
        <v>0</v>
      </c>
      <c r="X100" s="29" t="s">
        <v>476</v>
      </c>
      <c r="AN100" s="29">
        <v>0</v>
      </c>
      <c r="AY100" s="29">
        <v>1</v>
      </c>
      <c r="AZ100" s="29">
        <v>12</v>
      </c>
    </row>
    <row r="101" spans="6:53">
      <c r="L101" s="60">
        <v>0</v>
      </c>
      <c r="M101" s="60"/>
      <c r="N101" s="60">
        <v>0</v>
      </c>
      <c r="O101" s="60"/>
      <c r="U101" s="29">
        <v>1</v>
      </c>
      <c r="V101" s="29">
        <v>0</v>
      </c>
      <c r="X101" s="29" t="s">
        <v>476</v>
      </c>
      <c r="AN101" s="29">
        <v>0</v>
      </c>
      <c r="AY101" s="29">
        <v>1</v>
      </c>
      <c r="AZ101" s="29">
        <v>18</v>
      </c>
    </row>
    <row r="102" spans="6:53">
      <c r="L102" s="60">
        <v>0</v>
      </c>
      <c r="M102" s="60"/>
      <c r="N102" s="60">
        <v>0</v>
      </c>
      <c r="O102" s="60"/>
      <c r="U102" s="30">
        <v>1</v>
      </c>
      <c r="V102" s="30">
        <v>0</v>
      </c>
      <c r="W102" s="30"/>
      <c r="X102" s="29" t="s">
        <v>476</v>
      </c>
      <c r="AN102" s="29">
        <v>0</v>
      </c>
      <c r="AY102" s="29">
        <v>1</v>
      </c>
      <c r="AZ102" s="29">
        <v>18</v>
      </c>
    </row>
    <row r="103" spans="6:53">
      <c r="L103" s="60">
        <v>0</v>
      </c>
      <c r="M103" s="60"/>
      <c r="N103" s="60">
        <v>0</v>
      </c>
      <c r="O103" s="60"/>
      <c r="U103" s="29">
        <v>1</v>
      </c>
      <c r="V103" s="29">
        <v>0</v>
      </c>
      <c r="X103" s="29" t="s">
        <v>476</v>
      </c>
      <c r="AN103" s="29">
        <v>0</v>
      </c>
      <c r="AY103" s="30">
        <v>2</v>
      </c>
      <c r="BA103" s="29">
        <v>36</v>
      </c>
    </row>
    <row r="104" spans="6:53">
      <c r="L104" s="60">
        <v>0</v>
      </c>
      <c r="M104" s="60"/>
      <c r="N104" s="60">
        <v>0</v>
      </c>
      <c r="O104" s="60"/>
      <c r="U104" s="29">
        <v>1</v>
      </c>
      <c r="V104" s="29">
        <v>2</v>
      </c>
      <c r="AN104" s="29">
        <v>0</v>
      </c>
      <c r="AY104" s="29">
        <v>2</v>
      </c>
      <c r="BA104" s="29">
        <v>12</v>
      </c>
    </row>
    <row r="105" spans="6:53">
      <c r="L105" s="60">
        <v>0</v>
      </c>
      <c r="M105" s="60"/>
      <c r="N105" s="60">
        <v>0</v>
      </c>
      <c r="O105" s="60"/>
      <c r="U105" s="29">
        <v>1</v>
      </c>
      <c r="V105" s="64">
        <v>2</v>
      </c>
      <c r="W105" s="64"/>
      <c r="AN105" s="29">
        <v>0</v>
      </c>
      <c r="AY105" s="29">
        <v>2</v>
      </c>
      <c r="BA105" s="29">
        <v>24</v>
      </c>
    </row>
    <row r="106" spans="6:53">
      <c r="L106" s="60">
        <v>0</v>
      </c>
      <c r="M106" s="60"/>
      <c r="N106" s="29">
        <v>1</v>
      </c>
      <c r="O106" s="29" t="s">
        <v>211</v>
      </c>
      <c r="U106" s="29">
        <v>1</v>
      </c>
      <c r="V106" s="29">
        <v>3</v>
      </c>
      <c r="AN106" s="29">
        <v>0</v>
      </c>
      <c r="AY106" s="29">
        <v>2</v>
      </c>
      <c r="BA106" s="29">
        <v>9.5</v>
      </c>
    </row>
    <row r="107" spans="6:53">
      <c r="L107" s="60">
        <v>1</v>
      </c>
      <c r="M107" s="29" t="s">
        <v>235</v>
      </c>
      <c r="N107" s="60">
        <v>1</v>
      </c>
      <c r="O107" s="29" t="s">
        <v>220</v>
      </c>
      <c r="U107" s="29">
        <v>1</v>
      </c>
      <c r="V107" s="64">
        <v>4</v>
      </c>
      <c r="W107" s="64"/>
      <c r="AN107" s="29">
        <v>0</v>
      </c>
      <c r="AY107" s="29">
        <v>2</v>
      </c>
      <c r="BA107" s="29">
        <v>6</v>
      </c>
    </row>
    <row r="108" spans="6:53">
      <c r="L108" s="60">
        <v>1</v>
      </c>
      <c r="M108" s="29" t="s">
        <v>240</v>
      </c>
      <c r="N108" s="60">
        <v>1</v>
      </c>
      <c r="O108" s="60" t="s">
        <v>232</v>
      </c>
      <c r="U108" s="29">
        <v>1</v>
      </c>
      <c r="V108" s="64">
        <v>4</v>
      </c>
      <c r="W108" s="64"/>
      <c r="AN108" s="29">
        <v>0</v>
      </c>
      <c r="AY108" s="29">
        <v>2</v>
      </c>
      <c r="BA108" s="29">
        <v>28</v>
      </c>
    </row>
    <row r="109" spans="6:53">
      <c r="L109" s="60">
        <v>1</v>
      </c>
      <c r="M109" s="29" t="s">
        <v>244</v>
      </c>
      <c r="N109" s="60">
        <v>1</v>
      </c>
      <c r="O109" s="60" t="s">
        <v>236</v>
      </c>
      <c r="U109" s="29">
        <v>1</v>
      </c>
      <c r="V109" s="64">
        <v>4</v>
      </c>
      <c r="W109" s="64"/>
      <c r="AN109" s="29">
        <v>0</v>
      </c>
      <c r="AY109" s="29">
        <v>2</v>
      </c>
      <c r="BA109" s="29">
        <v>18</v>
      </c>
    </row>
    <row r="110" spans="6:53">
      <c r="L110" s="29">
        <v>1</v>
      </c>
      <c r="M110" s="29" t="s">
        <v>246</v>
      </c>
      <c r="N110" s="60">
        <v>1</v>
      </c>
      <c r="O110" s="60" t="s">
        <v>238</v>
      </c>
      <c r="U110" s="29">
        <v>1</v>
      </c>
      <c r="V110" s="29">
        <v>5</v>
      </c>
      <c r="AN110" s="29">
        <v>0</v>
      </c>
      <c r="AY110" s="30">
        <v>2</v>
      </c>
      <c r="AZ110" s="30"/>
      <c r="BA110" s="30">
        <v>20</v>
      </c>
    </row>
    <row r="111" spans="6:53">
      <c r="L111" s="60">
        <v>1</v>
      </c>
      <c r="M111" s="60" t="s">
        <v>257</v>
      </c>
      <c r="N111" s="29">
        <v>1</v>
      </c>
      <c r="O111" s="29" t="s">
        <v>241</v>
      </c>
      <c r="U111" s="29">
        <v>1</v>
      </c>
      <c r="V111" s="29">
        <v>5</v>
      </c>
      <c r="AN111" s="29">
        <v>0</v>
      </c>
      <c r="AY111" s="29">
        <v>2</v>
      </c>
      <c r="AZ111" s="29">
        <v>24</v>
      </c>
    </row>
    <row r="112" spans="6:53">
      <c r="L112" s="60">
        <v>2</v>
      </c>
      <c r="M112" s="60" t="s">
        <v>225</v>
      </c>
      <c r="N112" s="29">
        <v>1</v>
      </c>
      <c r="O112" s="29" t="s">
        <v>245</v>
      </c>
      <c r="U112" s="29">
        <v>1</v>
      </c>
      <c r="V112" s="63">
        <v>5</v>
      </c>
      <c r="W112" s="63"/>
      <c r="AN112" s="29">
        <v>1</v>
      </c>
      <c r="AY112" s="29">
        <v>2</v>
      </c>
      <c r="BA112" s="29">
        <v>13</v>
      </c>
    </row>
    <row r="113" spans="12:53">
      <c r="L113" s="60">
        <v>2</v>
      </c>
      <c r="M113" s="60" t="s">
        <v>230</v>
      </c>
      <c r="N113" s="29">
        <v>1</v>
      </c>
      <c r="O113" s="29" t="s">
        <v>247</v>
      </c>
      <c r="U113" s="29">
        <v>1</v>
      </c>
      <c r="V113" s="64">
        <v>5</v>
      </c>
      <c r="W113" s="64"/>
      <c r="AN113" s="29">
        <v>1</v>
      </c>
      <c r="AY113" s="29">
        <v>2</v>
      </c>
      <c r="BA113" s="29">
        <v>23</v>
      </c>
    </row>
    <row r="114" spans="12:53">
      <c r="L114" s="60">
        <v>2</v>
      </c>
      <c r="M114" s="60" t="s">
        <v>248</v>
      </c>
      <c r="N114" s="60">
        <v>1</v>
      </c>
      <c r="O114" s="29" t="s">
        <v>249</v>
      </c>
      <c r="U114" s="29">
        <v>1</v>
      </c>
      <c r="V114" s="29">
        <v>6</v>
      </c>
      <c r="AN114" s="29">
        <v>2</v>
      </c>
      <c r="AY114" s="29">
        <v>3</v>
      </c>
    </row>
    <row r="115" spans="12:53">
      <c r="L115" s="60">
        <v>2</v>
      </c>
      <c r="M115" s="60" t="s">
        <v>262</v>
      </c>
      <c r="N115" s="60">
        <v>1</v>
      </c>
      <c r="O115" s="60" t="s">
        <v>259</v>
      </c>
      <c r="U115" s="29">
        <v>1</v>
      </c>
      <c r="V115" s="64">
        <v>6</v>
      </c>
      <c r="W115" s="64"/>
      <c r="AN115" s="29">
        <v>2</v>
      </c>
      <c r="AY115" s="30">
        <v>3</v>
      </c>
    </row>
    <row r="116" spans="12:53">
      <c r="L116" s="60">
        <v>2</v>
      </c>
      <c r="M116" s="60" t="s">
        <v>271</v>
      </c>
      <c r="N116" s="60">
        <v>2</v>
      </c>
      <c r="O116" s="60" t="s">
        <v>226</v>
      </c>
      <c r="U116" s="29">
        <v>1</v>
      </c>
      <c r="V116" s="64">
        <v>8</v>
      </c>
      <c r="W116" s="64"/>
      <c r="AN116" s="29">
        <v>2</v>
      </c>
      <c r="AY116" s="29">
        <v>3</v>
      </c>
    </row>
    <row r="117" spans="12:53">
      <c r="L117" s="60">
        <v>3</v>
      </c>
      <c r="M117" s="29" t="s">
        <v>216</v>
      </c>
      <c r="N117" s="60">
        <v>2</v>
      </c>
      <c r="O117" s="60" t="s">
        <v>231</v>
      </c>
      <c r="U117" s="29">
        <v>1</v>
      </c>
      <c r="V117" s="64">
        <v>8</v>
      </c>
      <c r="W117" s="64"/>
      <c r="AN117" s="29">
        <v>2</v>
      </c>
      <c r="AY117" s="29">
        <v>3</v>
      </c>
    </row>
    <row r="118" spans="12:53">
      <c r="L118" s="60">
        <v>3</v>
      </c>
      <c r="M118" s="60" t="s">
        <v>250</v>
      </c>
      <c r="N118" s="60">
        <v>2</v>
      </c>
      <c r="O118" s="60" t="s">
        <v>251</v>
      </c>
      <c r="AN118" s="29">
        <v>3</v>
      </c>
      <c r="AX118" s="29" t="s">
        <v>483</v>
      </c>
      <c r="AY118" s="94">
        <f>13/28</f>
        <v>0.4642857142857143</v>
      </c>
    </row>
    <row r="119" spans="12:53">
      <c r="L119" s="60"/>
      <c r="N119" s="29">
        <v>3</v>
      </c>
      <c r="O119" s="29" t="s">
        <v>213</v>
      </c>
      <c r="AN119" s="29">
        <v>3</v>
      </c>
      <c r="AX119" s="29" t="s">
        <v>484</v>
      </c>
      <c r="AY119" s="94">
        <f>11/28</f>
        <v>0.39285714285714285</v>
      </c>
    </row>
    <row r="120" spans="12:53">
      <c r="L120" s="29" t="s">
        <v>469</v>
      </c>
      <c r="M120" s="94">
        <f>5/28</f>
        <v>0.17857142857142858</v>
      </c>
      <c r="N120" s="29" t="s">
        <v>469</v>
      </c>
      <c r="O120" s="94">
        <f>10/28</f>
        <v>0.35714285714285715</v>
      </c>
      <c r="U120" s="29" t="s">
        <v>475</v>
      </c>
      <c r="V120" s="96">
        <f>10/27</f>
        <v>0.37037037037037035</v>
      </c>
      <c r="W120" s="96"/>
      <c r="AN120" s="29">
        <v>3</v>
      </c>
      <c r="AX120" s="29" t="s">
        <v>485</v>
      </c>
      <c r="AY120" s="94">
        <f>4/28</f>
        <v>0.14285714285714285</v>
      </c>
    </row>
    <row r="121" spans="12:53">
      <c r="L121" s="29" t="s">
        <v>470</v>
      </c>
      <c r="M121" s="94">
        <f>5/28</f>
        <v>0.17857142857142858</v>
      </c>
      <c r="N121" s="29" t="s">
        <v>470</v>
      </c>
      <c r="O121" s="94">
        <f>3/28</f>
        <v>0.10714285714285714</v>
      </c>
      <c r="V121" s="64"/>
      <c r="W121" s="64"/>
      <c r="AM121" s="29" t="s">
        <v>469</v>
      </c>
      <c r="AN121" s="94">
        <f>2/28</f>
        <v>7.1428571428571425E-2</v>
      </c>
    </row>
    <row r="122" spans="12:53">
      <c r="L122" s="29" t="s">
        <v>471</v>
      </c>
      <c r="M122" s="94">
        <f>2/28</f>
        <v>7.1428571428571425E-2</v>
      </c>
      <c r="N122" s="29" t="s">
        <v>471</v>
      </c>
      <c r="O122" s="94">
        <f>1/28</f>
        <v>3.5714285714285712E-2</v>
      </c>
      <c r="AM122" s="29" t="s">
        <v>470</v>
      </c>
      <c r="AN122" s="94">
        <f>4/28</f>
        <v>0.14285714285714285</v>
      </c>
    </row>
    <row r="123" spans="12:53">
      <c r="L123" s="30" t="s">
        <v>472</v>
      </c>
      <c r="M123" s="94">
        <f>SUM(M120:M122)</f>
        <v>0.4285714285714286</v>
      </c>
      <c r="N123" s="30" t="s">
        <v>472</v>
      </c>
      <c r="O123" s="94">
        <f>SUM(O120:O122)</f>
        <v>0.5</v>
      </c>
      <c r="AM123" s="29" t="s">
        <v>471</v>
      </c>
      <c r="AN123" s="94">
        <f>3/28</f>
        <v>0.10714285714285714</v>
      </c>
    </row>
    <row r="124" spans="12:53">
      <c r="N124" s="30"/>
      <c r="O124" s="94"/>
      <c r="U124" s="29">
        <v>0</v>
      </c>
      <c r="AM124" s="30"/>
    </row>
    <row r="125" spans="12:53">
      <c r="L125" s="30" t="s">
        <v>473</v>
      </c>
      <c r="N125" s="29" t="s">
        <v>468</v>
      </c>
      <c r="U125" s="29">
        <v>0</v>
      </c>
      <c r="AM125" s="30" t="s">
        <v>482</v>
      </c>
    </row>
    <row r="126" spans="12:53">
      <c r="L126" s="60">
        <v>0</v>
      </c>
      <c r="N126" s="29">
        <v>0</v>
      </c>
      <c r="U126" s="29">
        <v>1</v>
      </c>
      <c r="V126" s="30">
        <v>-52</v>
      </c>
      <c r="AN126" s="29">
        <v>0</v>
      </c>
    </row>
    <row r="127" spans="12:53">
      <c r="L127" s="60">
        <v>0</v>
      </c>
      <c r="N127" s="29">
        <v>0</v>
      </c>
      <c r="U127" s="29">
        <v>1</v>
      </c>
      <c r="V127" s="29">
        <v>-52</v>
      </c>
      <c r="AN127" s="29">
        <v>0</v>
      </c>
    </row>
    <row r="128" spans="12:53">
      <c r="L128" s="60">
        <v>0</v>
      </c>
      <c r="N128" s="29">
        <v>0</v>
      </c>
      <c r="U128" s="29">
        <v>1</v>
      </c>
      <c r="V128" s="29">
        <v>-9</v>
      </c>
      <c r="AN128" s="29">
        <v>0</v>
      </c>
    </row>
    <row r="129" spans="12:40">
      <c r="L129" s="60">
        <v>0</v>
      </c>
      <c r="N129" s="29">
        <v>0</v>
      </c>
      <c r="U129" s="29">
        <v>1</v>
      </c>
      <c r="V129" s="29">
        <v>-8</v>
      </c>
      <c r="AN129" s="29">
        <v>0</v>
      </c>
    </row>
    <row r="130" spans="12:40">
      <c r="L130" s="60">
        <v>0</v>
      </c>
      <c r="N130" s="29">
        <v>0</v>
      </c>
      <c r="U130" s="29">
        <v>1</v>
      </c>
      <c r="V130" s="29">
        <v>-8</v>
      </c>
      <c r="AN130" s="29">
        <v>0</v>
      </c>
    </row>
    <row r="131" spans="12:40">
      <c r="L131" s="60">
        <v>0</v>
      </c>
      <c r="N131" s="29">
        <v>0</v>
      </c>
      <c r="U131" s="29">
        <v>1</v>
      </c>
      <c r="V131" s="29">
        <v>-6</v>
      </c>
      <c r="AN131" s="29">
        <v>0</v>
      </c>
    </row>
    <row r="132" spans="12:40">
      <c r="L132" s="60">
        <v>0</v>
      </c>
      <c r="N132" s="29">
        <v>0</v>
      </c>
      <c r="U132" s="29">
        <v>1</v>
      </c>
      <c r="V132" s="29">
        <v>-4</v>
      </c>
      <c r="AN132" s="29">
        <v>0</v>
      </c>
    </row>
    <row r="133" spans="12:40">
      <c r="L133" s="60">
        <v>0</v>
      </c>
      <c r="N133" s="29">
        <v>0</v>
      </c>
      <c r="U133" s="29">
        <v>1</v>
      </c>
      <c r="V133" s="29">
        <v>-4</v>
      </c>
      <c r="AN133" s="29">
        <v>0</v>
      </c>
    </row>
    <row r="134" spans="12:40">
      <c r="L134" s="60">
        <v>0</v>
      </c>
      <c r="N134" s="29">
        <v>0</v>
      </c>
      <c r="U134" s="29">
        <v>1</v>
      </c>
      <c r="V134" s="29">
        <v>-2</v>
      </c>
      <c r="AN134" s="29">
        <v>0</v>
      </c>
    </row>
    <row r="135" spans="12:40">
      <c r="L135" s="62">
        <v>0</v>
      </c>
      <c r="M135" s="30"/>
      <c r="N135" s="29">
        <v>0</v>
      </c>
      <c r="U135" s="29">
        <v>1</v>
      </c>
      <c r="V135" s="29">
        <v>-1</v>
      </c>
      <c r="AN135" s="29">
        <v>0</v>
      </c>
    </row>
    <row r="136" spans="12:40">
      <c r="L136" s="60">
        <v>0</v>
      </c>
      <c r="N136" s="29">
        <v>0</v>
      </c>
      <c r="U136" s="29">
        <v>1</v>
      </c>
      <c r="V136" s="29">
        <v>2</v>
      </c>
      <c r="AN136" s="29">
        <v>0</v>
      </c>
    </row>
    <row r="137" spans="12:40">
      <c r="L137" s="60">
        <v>0</v>
      </c>
      <c r="N137" s="30">
        <v>0</v>
      </c>
      <c r="O137" s="30"/>
      <c r="U137" s="29">
        <v>1</v>
      </c>
      <c r="V137" s="29">
        <v>2</v>
      </c>
      <c r="AN137" s="29">
        <v>0</v>
      </c>
    </row>
    <row r="138" spans="12:40">
      <c r="L138" s="60">
        <v>0</v>
      </c>
      <c r="N138" s="29">
        <v>0</v>
      </c>
      <c r="U138" s="29">
        <v>1</v>
      </c>
      <c r="V138" s="29">
        <v>4</v>
      </c>
      <c r="AN138" s="29">
        <v>0</v>
      </c>
    </row>
    <row r="139" spans="12:40">
      <c r="L139" s="60">
        <v>0</v>
      </c>
      <c r="N139" s="29">
        <v>0</v>
      </c>
      <c r="U139" s="29">
        <v>1</v>
      </c>
      <c r="V139" s="29">
        <v>4</v>
      </c>
      <c r="AN139" s="29">
        <v>0</v>
      </c>
    </row>
    <row r="140" spans="12:40">
      <c r="L140" s="60">
        <v>0</v>
      </c>
      <c r="N140" s="29">
        <v>0</v>
      </c>
      <c r="U140" s="29">
        <v>1</v>
      </c>
      <c r="V140" s="29">
        <v>4</v>
      </c>
      <c r="AN140" s="29">
        <v>0</v>
      </c>
    </row>
    <row r="141" spans="12:40">
      <c r="L141" s="60">
        <v>0</v>
      </c>
      <c r="N141" s="29">
        <v>0</v>
      </c>
      <c r="U141" s="30">
        <v>1</v>
      </c>
      <c r="V141" s="30">
        <v>4</v>
      </c>
      <c r="AN141" s="29">
        <v>0</v>
      </c>
    </row>
    <row r="142" spans="12:40">
      <c r="L142" s="60">
        <v>0</v>
      </c>
      <c r="N142" s="29">
        <v>0</v>
      </c>
      <c r="U142" s="29">
        <v>1</v>
      </c>
      <c r="V142" s="29">
        <v>4</v>
      </c>
      <c r="AN142" s="29">
        <v>0</v>
      </c>
    </row>
    <row r="143" spans="12:40">
      <c r="L143" s="60">
        <v>1</v>
      </c>
      <c r="M143" s="29" t="s">
        <v>275</v>
      </c>
      <c r="N143" s="29">
        <v>0</v>
      </c>
      <c r="U143" s="29">
        <v>1</v>
      </c>
      <c r="V143" s="29">
        <v>5</v>
      </c>
      <c r="AN143" s="29">
        <v>0</v>
      </c>
    </row>
    <row r="144" spans="12:40">
      <c r="L144" s="60">
        <v>1</v>
      </c>
      <c r="M144" s="29" t="s">
        <v>278</v>
      </c>
      <c r="N144" s="29">
        <v>0</v>
      </c>
      <c r="U144" s="29">
        <v>1</v>
      </c>
      <c r="V144" s="29">
        <v>6</v>
      </c>
      <c r="AN144" s="29">
        <v>0</v>
      </c>
    </row>
    <row r="145" spans="12:40">
      <c r="L145" s="60">
        <v>1</v>
      </c>
      <c r="M145" s="29" t="s">
        <v>292</v>
      </c>
      <c r="N145" s="29">
        <v>1</v>
      </c>
      <c r="O145" s="29" t="s">
        <v>274</v>
      </c>
      <c r="U145" s="29">
        <v>1</v>
      </c>
      <c r="V145" s="29">
        <v>7</v>
      </c>
      <c r="AN145" s="29">
        <v>0</v>
      </c>
    </row>
    <row r="146" spans="12:40">
      <c r="L146" s="60">
        <v>1</v>
      </c>
      <c r="M146" s="29" t="s">
        <v>295</v>
      </c>
      <c r="N146" s="29">
        <v>1</v>
      </c>
      <c r="U146" s="29">
        <v>1</v>
      </c>
      <c r="V146" s="29">
        <v>8</v>
      </c>
      <c r="AN146" s="29">
        <v>0</v>
      </c>
    </row>
    <row r="147" spans="12:40">
      <c r="L147" s="60">
        <v>1</v>
      </c>
      <c r="M147" s="29" t="s">
        <v>298</v>
      </c>
      <c r="N147" s="29">
        <v>1</v>
      </c>
      <c r="O147" s="29" t="s">
        <v>281</v>
      </c>
      <c r="U147" s="29">
        <v>1</v>
      </c>
      <c r="V147" s="29">
        <v>8</v>
      </c>
      <c r="AN147" s="29">
        <v>0</v>
      </c>
    </row>
    <row r="148" spans="12:40">
      <c r="L148" s="60">
        <v>1</v>
      </c>
      <c r="M148" s="29" t="s">
        <v>307</v>
      </c>
      <c r="N148" s="29">
        <v>1</v>
      </c>
      <c r="O148" s="29" t="s">
        <v>294</v>
      </c>
      <c r="U148" s="29">
        <v>1</v>
      </c>
      <c r="V148" s="29">
        <v>12</v>
      </c>
      <c r="AN148" s="29">
        <v>0</v>
      </c>
    </row>
    <row r="149" spans="12:40">
      <c r="L149" s="60">
        <v>1</v>
      </c>
      <c r="M149" s="29" t="s">
        <v>311</v>
      </c>
      <c r="N149" s="29">
        <v>1</v>
      </c>
      <c r="O149" s="29" t="s">
        <v>296</v>
      </c>
      <c r="U149" s="29">
        <v>1</v>
      </c>
      <c r="V149" s="29">
        <v>12</v>
      </c>
      <c r="AN149" s="29">
        <v>0</v>
      </c>
    </row>
    <row r="150" spans="12:40">
      <c r="L150" s="60">
        <v>2</v>
      </c>
      <c r="M150" s="29" t="s">
        <v>273</v>
      </c>
      <c r="N150" s="29">
        <v>1</v>
      </c>
      <c r="O150" s="29" t="s">
        <v>308</v>
      </c>
      <c r="U150" s="29">
        <v>1</v>
      </c>
      <c r="V150" s="31" t="s">
        <v>305</v>
      </c>
      <c r="AN150" s="29">
        <v>0</v>
      </c>
    </row>
    <row r="151" spans="12:40">
      <c r="L151" s="60">
        <v>2</v>
      </c>
      <c r="M151" s="29" t="s">
        <v>276</v>
      </c>
      <c r="N151" s="29">
        <v>2</v>
      </c>
      <c r="O151" s="29" t="s">
        <v>289</v>
      </c>
      <c r="AN151" s="29">
        <v>0</v>
      </c>
    </row>
    <row r="152" spans="12:40">
      <c r="L152" s="60">
        <v>2</v>
      </c>
      <c r="M152" s="29" t="s">
        <v>288</v>
      </c>
      <c r="N152" s="29">
        <v>2</v>
      </c>
      <c r="O152" s="29" t="s">
        <v>293</v>
      </c>
      <c r="U152" s="29" t="s">
        <v>479</v>
      </c>
      <c r="V152" s="29">
        <f>10/27</f>
        <v>0.37037037037037035</v>
      </c>
      <c r="AN152" s="29">
        <v>1</v>
      </c>
    </row>
    <row r="153" spans="12:40">
      <c r="L153" s="60">
        <v>2</v>
      </c>
      <c r="M153" s="29" t="s">
        <v>244</v>
      </c>
      <c r="N153" s="29">
        <v>3</v>
      </c>
      <c r="O153" s="29" t="s">
        <v>304</v>
      </c>
      <c r="AN153" s="29">
        <v>2</v>
      </c>
    </row>
    <row r="154" spans="12:40">
      <c r="AN154" s="29">
        <v>2</v>
      </c>
    </row>
    <row r="155" spans="12:40">
      <c r="L155" s="29" t="s">
        <v>469</v>
      </c>
      <c r="M155" s="94">
        <f>7/28</f>
        <v>0.25</v>
      </c>
      <c r="N155" s="29" t="s">
        <v>469</v>
      </c>
      <c r="O155" s="94">
        <f>6/28</f>
        <v>0.21428571428571427</v>
      </c>
      <c r="AM155" s="29" t="s">
        <v>469</v>
      </c>
      <c r="AN155" s="94">
        <f>1/28</f>
        <v>3.5714285714285712E-2</v>
      </c>
    </row>
    <row r="156" spans="12:40">
      <c r="L156" s="29" t="s">
        <v>470</v>
      </c>
      <c r="M156" s="94">
        <f>4/28</f>
        <v>0.14285714285714285</v>
      </c>
      <c r="N156" s="29" t="s">
        <v>470</v>
      </c>
      <c r="O156" s="94">
        <f>2/28</f>
        <v>7.1428571428571425E-2</v>
      </c>
      <c r="AM156" s="29" t="s">
        <v>470</v>
      </c>
      <c r="AN156" s="94">
        <f>2/28</f>
        <v>7.1428571428571425E-2</v>
      </c>
    </row>
    <row r="157" spans="12:40">
      <c r="L157" s="29" t="s">
        <v>471</v>
      </c>
      <c r="M157" s="94">
        <v>0</v>
      </c>
      <c r="N157" s="29" t="s">
        <v>471</v>
      </c>
      <c r="O157" s="94">
        <f>1/28</f>
        <v>3.5714285714285712E-2</v>
      </c>
      <c r="AM157" s="29" t="s">
        <v>471</v>
      </c>
      <c r="AN157" s="94">
        <f>0/28</f>
        <v>0</v>
      </c>
    </row>
    <row r="158" spans="12:40">
      <c r="L158" s="30" t="s">
        <v>472</v>
      </c>
      <c r="M158" s="94">
        <f>SUM(M155:M157)</f>
        <v>0.39285714285714285</v>
      </c>
      <c r="N158" s="30" t="s">
        <v>472</v>
      </c>
      <c r="O158" s="94">
        <f>SUM(O155:O157)</f>
        <v>0.3214285714285714</v>
      </c>
    </row>
  </sheetData>
  <sortState ref="BC91:BE121">
    <sortCondition ref="BC91"/>
  </sortState>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73"/>
  <sheetViews>
    <sheetView workbookViewId="0">
      <selection activeCell="A3" sqref="A3:A63"/>
    </sheetView>
  </sheetViews>
  <sheetFormatPr defaultColWidth="8.85546875" defaultRowHeight="15"/>
  <cols>
    <col min="1" max="1" width="12.85546875" style="29" bestFit="1" customWidth="1"/>
    <col min="2" max="2" width="11.42578125" style="29" customWidth="1"/>
    <col min="3" max="3" width="10.85546875" style="29" customWidth="1"/>
    <col min="4" max="4" width="12" style="29" customWidth="1"/>
    <col min="5" max="5" width="14.42578125" style="29" customWidth="1"/>
    <col min="6" max="6" width="21.85546875" style="29" customWidth="1"/>
    <col min="7" max="7" width="9.85546875" style="29" bestFit="1" customWidth="1"/>
    <col min="8" max="16384" width="8.85546875" style="29"/>
  </cols>
  <sheetData>
    <row r="1" spans="1:7" s="25" customFormat="1" ht="45">
      <c r="A1" s="24" t="s">
        <v>126</v>
      </c>
      <c r="B1" s="24" t="s">
        <v>127</v>
      </c>
      <c r="C1" s="24" t="s">
        <v>128</v>
      </c>
      <c r="D1" s="24" t="s">
        <v>129</v>
      </c>
      <c r="E1" s="24" t="s">
        <v>130</v>
      </c>
      <c r="F1" s="24" t="s">
        <v>131</v>
      </c>
      <c r="G1" s="25" t="s">
        <v>132</v>
      </c>
    </row>
    <row r="2" spans="1:7" s="28" customFormat="1">
      <c r="A2" s="26"/>
      <c r="B2" s="26"/>
      <c r="C2" s="26"/>
      <c r="D2" s="26"/>
      <c r="E2" s="26"/>
      <c r="F2" s="26"/>
      <c r="G2" s="27"/>
    </row>
    <row r="3" spans="1:7">
      <c r="A3" s="29" t="s">
        <v>40</v>
      </c>
      <c r="B3" s="29">
        <v>14</v>
      </c>
      <c r="C3" s="29">
        <v>8</v>
      </c>
      <c r="D3" s="29">
        <v>7</v>
      </c>
      <c r="E3" s="29">
        <v>20</v>
      </c>
      <c r="F3" s="29">
        <v>2</v>
      </c>
      <c r="G3" s="29">
        <f>SUM(B3:F3)</f>
        <v>51</v>
      </c>
    </row>
    <row r="4" spans="1:7">
      <c r="A4" s="29" t="s">
        <v>41</v>
      </c>
      <c r="B4" s="29">
        <v>33</v>
      </c>
      <c r="C4" s="29">
        <v>17</v>
      </c>
      <c r="D4" s="29">
        <v>16</v>
      </c>
      <c r="E4" s="29">
        <v>44</v>
      </c>
      <c r="F4" s="29">
        <v>0</v>
      </c>
      <c r="G4" s="29">
        <f t="shared" ref="G4:G58" si="0">SUM(B4:F4)</f>
        <v>110</v>
      </c>
    </row>
    <row r="5" spans="1:7">
      <c r="A5" s="29" t="s">
        <v>42</v>
      </c>
      <c r="B5" s="29">
        <v>20</v>
      </c>
      <c r="C5" s="29">
        <v>17</v>
      </c>
      <c r="D5" s="29">
        <v>5</v>
      </c>
      <c r="E5" s="29">
        <v>28</v>
      </c>
      <c r="F5" s="29">
        <v>0</v>
      </c>
      <c r="G5" s="29">
        <f t="shared" si="0"/>
        <v>70</v>
      </c>
    </row>
    <row r="6" spans="1:7">
      <c r="A6" s="29" t="s">
        <v>43</v>
      </c>
      <c r="B6" s="29">
        <v>26</v>
      </c>
      <c r="C6" s="29">
        <v>16</v>
      </c>
      <c r="D6" s="29">
        <v>4</v>
      </c>
      <c r="E6" s="29">
        <v>24</v>
      </c>
      <c r="F6" s="29">
        <v>8</v>
      </c>
      <c r="G6" s="29">
        <f t="shared" si="0"/>
        <v>78</v>
      </c>
    </row>
    <row r="7" spans="1:7">
      <c r="A7" s="29" t="s">
        <v>44</v>
      </c>
      <c r="B7" s="29">
        <v>20</v>
      </c>
      <c r="C7" s="29">
        <v>15</v>
      </c>
      <c r="D7" s="29">
        <v>4</v>
      </c>
      <c r="E7" s="29">
        <v>17</v>
      </c>
      <c r="F7" s="29">
        <v>5</v>
      </c>
      <c r="G7" s="29">
        <f t="shared" si="0"/>
        <v>61</v>
      </c>
    </row>
    <row r="8" spans="1:7">
      <c r="A8" s="29" t="s">
        <v>45</v>
      </c>
      <c r="B8" s="29">
        <v>12</v>
      </c>
      <c r="C8" s="29">
        <v>16</v>
      </c>
      <c r="D8" s="29">
        <v>0</v>
      </c>
      <c r="E8" s="29">
        <v>11</v>
      </c>
      <c r="F8" s="29">
        <v>2</v>
      </c>
      <c r="G8" s="29">
        <f t="shared" si="0"/>
        <v>41</v>
      </c>
    </row>
    <row r="9" spans="1:7">
      <c r="A9" s="29" t="s">
        <v>112</v>
      </c>
      <c r="B9" s="29">
        <v>2</v>
      </c>
      <c r="C9" s="29">
        <v>7</v>
      </c>
      <c r="D9" s="29">
        <v>4</v>
      </c>
      <c r="E9" s="29">
        <v>10</v>
      </c>
      <c r="F9" s="29">
        <v>0</v>
      </c>
      <c r="G9" s="29">
        <f t="shared" si="0"/>
        <v>23</v>
      </c>
    </row>
    <row r="10" spans="1:7">
      <c r="A10" s="29" t="s">
        <v>48</v>
      </c>
      <c r="B10" s="29">
        <v>4</v>
      </c>
      <c r="C10" s="29">
        <v>6</v>
      </c>
      <c r="D10" s="29">
        <v>8</v>
      </c>
      <c r="E10" s="29">
        <v>12</v>
      </c>
      <c r="F10" s="29">
        <v>1</v>
      </c>
      <c r="G10" s="29">
        <f t="shared" si="0"/>
        <v>31</v>
      </c>
    </row>
    <row r="11" spans="1:7">
      <c r="A11" s="29" t="s">
        <v>49</v>
      </c>
      <c r="B11" s="29">
        <v>4</v>
      </c>
      <c r="C11" s="29">
        <v>0</v>
      </c>
      <c r="D11" s="29">
        <v>5</v>
      </c>
      <c r="E11" s="29">
        <v>11</v>
      </c>
      <c r="F11" s="29">
        <v>3</v>
      </c>
      <c r="G11" s="29">
        <f t="shared" si="0"/>
        <v>23</v>
      </c>
    </row>
    <row r="12" spans="1:7">
      <c r="A12" s="29" t="s">
        <v>50</v>
      </c>
      <c r="B12" s="29">
        <v>25</v>
      </c>
      <c r="C12" s="29">
        <v>4</v>
      </c>
      <c r="D12" s="29">
        <v>2</v>
      </c>
      <c r="E12" s="29">
        <v>31</v>
      </c>
      <c r="F12" s="29">
        <v>4</v>
      </c>
      <c r="G12" s="29">
        <f t="shared" si="0"/>
        <v>66</v>
      </c>
    </row>
    <row r="13" spans="1:7">
      <c r="A13" s="29" t="s">
        <v>51</v>
      </c>
      <c r="B13" s="29">
        <v>8</v>
      </c>
      <c r="C13" s="29">
        <v>1</v>
      </c>
      <c r="D13" s="29">
        <v>4</v>
      </c>
      <c r="E13" s="29">
        <v>21</v>
      </c>
      <c r="F13" s="29">
        <v>5</v>
      </c>
      <c r="G13" s="29">
        <f t="shared" si="0"/>
        <v>39</v>
      </c>
    </row>
    <row r="14" spans="1:7">
      <c r="A14" s="29" t="s">
        <v>52</v>
      </c>
    </row>
    <row r="15" spans="1:7">
      <c r="A15" s="30" t="s">
        <v>53</v>
      </c>
      <c r="B15" s="29">
        <v>14</v>
      </c>
      <c r="C15" s="29">
        <v>4</v>
      </c>
      <c r="D15" s="29">
        <v>8</v>
      </c>
      <c r="E15" s="29">
        <v>16</v>
      </c>
      <c r="F15" s="29">
        <v>0</v>
      </c>
      <c r="G15" s="29">
        <f t="shared" si="0"/>
        <v>42</v>
      </c>
    </row>
    <row r="16" spans="1:7">
      <c r="A16" s="29" t="s">
        <v>54</v>
      </c>
      <c r="B16" s="29">
        <v>10</v>
      </c>
      <c r="C16" s="29">
        <v>13</v>
      </c>
      <c r="D16" s="29">
        <v>5</v>
      </c>
      <c r="E16" s="29">
        <v>13</v>
      </c>
      <c r="F16" s="29">
        <v>0</v>
      </c>
      <c r="G16" s="29">
        <f t="shared" si="0"/>
        <v>41</v>
      </c>
    </row>
    <row r="17" spans="1:7">
      <c r="A17" s="29" t="s">
        <v>113</v>
      </c>
      <c r="B17" s="29">
        <v>17</v>
      </c>
      <c r="C17" s="29">
        <v>14</v>
      </c>
      <c r="D17" s="29">
        <v>14</v>
      </c>
      <c r="E17" s="29">
        <v>34</v>
      </c>
      <c r="F17" s="29">
        <v>12</v>
      </c>
      <c r="G17" s="29">
        <f t="shared" si="0"/>
        <v>91</v>
      </c>
    </row>
    <row r="18" spans="1:7">
      <c r="A18" s="29" t="s">
        <v>56</v>
      </c>
      <c r="B18" s="29">
        <v>23</v>
      </c>
      <c r="C18" s="29">
        <v>17</v>
      </c>
      <c r="D18" s="29">
        <v>14</v>
      </c>
      <c r="E18" s="29">
        <v>33</v>
      </c>
      <c r="F18" s="29">
        <v>7</v>
      </c>
      <c r="G18" s="29">
        <f t="shared" si="0"/>
        <v>94</v>
      </c>
    </row>
    <row r="19" spans="1:7">
      <c r="A19" s="30" t="s">
        <v>114</v>
      </c>
      <c r="B19" s="29">
        <v>6</v>
      </c>
      <c r="C19" s="29">
        <v>7</v>
      </c>
      <c r="D19" s="29">
        <v>0</v>
      </c>
      <c r="E19" s="29">
        <v>3</v>
      </c>
      <c r="F19" s="29">
        <v>1</v>
      </c>
      <c r="G19" s="29">
        <f t="shared" si="0"/>
        <v>17</v>
      </c>
    </row>
    <row r="20" spans="1:7">
      <c r="A20" s="29" t="s">
        <v>58</v>
      </c>
      <c r="B20" s="29">
        <v>9</v>
      </c>
      <c r="C20" s="29">
        <v>5</v>
      </c>
      <c r="D20" s="29">
        <v>1</v>
      </c>
      <c r="E20" s="29">
        <v>10</v>
      </c>
      <c r="F20" s="29">
        <v>2</v>
      </c>
      <c r="G20" s="29">
        <f t="shared" si="0"/>
        <v>27</v>
      </c>
    </row>
    <row r="21" spans="1:7">
      <c r="A21" s="30"/>
    </row>
    <row r="22" spans="1:7">
      <c r="A22" s="29" t="s">
        <v>115</v>
      </c>
      <c r="B22" s="29">
        <v>9</v>
      </c>
      <c r="C22" s="29">
        <v>11</v>
      </c>
      <c r="D22" s="29">
        <v>11</v>
      </c>
      <c r="E22" s="29">
        <v>32</v>
      </c>
      <c r="F22" s="29">
        <v>8</v>
      </c>
      <c r="G22" s="29">
        <f t="shared" si="0"/>
        <v>71</v>
      </c>
    </row>
    <row r="23" spans="1:7">
      <c r="A23" s="29" t="s">
        <v>60</v>
      </c>
      <c r="B23" s="29">
        <v>23</v>
      </c>
      <c r="C23" s="29">
        <v>7</v>
      </c>
      <c r="D23" s="29">
        <v>7</v>
      </c>
      <c r="E23" s="29">
        <v>40</v>
      </c>
      <c r="F23" s="29">
        <v>5</v>
      </c>
      <c r="G23" s="29">
        <f t="shared" si="0"/>
        <v>82</v>
      </c>
    </row>
    <row r="24" spans="1:7">
      <c r="A24" s="29" t="s">
        <v>61</v>
      </c>
      <c r="B24" s="29">
        <v>17</v>
      </c>
      <c r="C24" s="29">
        <v>19</v>
      </c>
      <c r="D24" s="29">
        <v>7</v>
      </c>
      <c r="E24" s="29">
        <v>23</v>
      </c>
      <c r="F24" s="29">
        <v>4</v>
      </c>
      <c r="G24" s="29">
        <f t="shared" si="0"/>
        <v>70</v>
      </c>
    </row>
    <row r="25" spans="1:7">
      <c r="A25" s="29" t="s">
        <v>63</v>
      </c>
      <c r="B25" s="29">
        <v>28</v>
      </c>
      <c r="C25" s="29">
        <v>35</v>
      </c>
      <c r="D25" s="29">
        <v>12</v>
      </c>
      <c r="E25" s="29">
        <v>35</v>
      </c>
      <c r="F25" s="29">
        <v>2</v>
      </c>
      <c r="G25" s="29">
        <f t="shared" si="0"/>
        <v>112</v>
      </c>
    </row>
    <row r="26" spans="1:7">
      <c r="A26" s="29" t="s">
        <v>64</v>
      </c>
      <c r="B26" s="29">
        <v>10</v>
      </c>
      <c r="C26" s="29">
        <v>12</v>
      </c>
      <c r="D26" s="29">
        <v>8</v>
      </c>
      <c r="E26" s="29">
        <v>19</v>
      </c>
      <c r="F26" s="29">
        <v>6</v>
      </c>
      <c r="G26" s="29">
        <f t="shared" si="0"/>
        <v>55</v>
      </c>
    </row>
    <row r="27" spans="1:7">
      <c r="A27" s="30" t="s">
        <v>116</v>
      </c>
      <c r="B27" s="29">
        <v>16</v>
      </c>
      <c r="C27" s="29">
        <v>18</v>
      </c>
      <c r="D27" s="29">
        <v>5</v>
      </c>
      <c r="E27" s="29">
        <v>29</v>
      </c>
      <c r="F27" s="29">
        <v>11</v>
      </c>
      <c r="G27" s="29">
        <f t="shared" si="0"/>
        <v>79</v>
      </c>
    </row>
    <row r="28" spans="1:7">
      <c r="A28" s="30" t="s">
        <v>66</v>
      </c>
      <c r="B28" s="29">
        <v>15</v>
      </c>
      <c r="C28" s="29">
        <v>1</v>
      </c>
      <c r="D28" s="29">
        <v>1</v>
      </c>
      <c r="E28" s="29">
        <v>12</v>
      </c>
      <c r="F28" s="29">
        <v>1</v>
      </c>
      <c r="G28" s="29">
        <f t="shared" si="0"/>
        <v>30</v>
      </c>
    </row>
    <row r="29" spans="1:7">
      <c r="A29" s="30" t="s">
        <v>67</v>
      </c>
      <c r="B29" s="29">
        <v>15</v>
      </c>
      <c r="C29" s="29">
        <v>8</v>
      </c>
      <c r="D29" s="29">
        <v>12</v>
      </c>
      <c r="E29" s="29">
        <v>32</v>
      </c>
      <c r="F29" s="29">
        <v>8</v>
      </c>
      <c r="G29" s="29">
        <f t="shared" si="0"/>
        <v>75</v>
      </c>
    </row>
    <row r="30" spans="1:7">
      <c r="A30" s="29" t="s">
        <v>68</v>
      </c>
      <c r="B30" s="29">
        <v>7</v>
      </c>
      <c r="C30" s="29">
        <v>1</v>
      </c>
      <c r="D30" s="29">
        <v>8</v>
      </c>
      <c r="E30" s="29">
        <v>3</v>
      </c>
      <c r="F30" s="29">
        <v>2</v>
      </c>
      <c r="G30" s="29">
        <f t="shared" si="0"/>
        <v>21</v>
      </c>
    </row>
    <row r="31" spans="1:7">
      <c r="A31" s="29" t="s">
        <v>69</v>
      </c>
      <c r="B31" s="29">
        <v>10</v>
      </c>
      <c r="C31" s="29">
        <v>0</v>
      </c>
      <c r="D31" s="29">
        <v>0</v>
      </c>
      <c r="E31" s="29">
        <v>37</v>
      </c>
      <c r="F31" s="29">
        <v>3</v>
      </c>
      <c r="G31" s="29">
        <f t="shared" si="0"/>
        <v>50</v>
      </c>
    </row>
    <row r="32" spans="1:7">
      <c r="A32" s="29" t="s">
        <v>70</v>
      </c>
    </row>
    <row r="33" spans="1:7">
      <c r="A33" s="29" t="s">
        <v>71</v>
      </c>
      <c r="B33" s="29">
        <v>17</v>
      </c>
      <c r="C33" s="29">
        <v>15</v>
      </c>
      <c r="D33" s="29">
        <v>16</v>
      </c>
      <c r="E33" s="29">
        <v>26</v>
      </c>
      <c r="F33" s="29">
        <v>6</v>
      </c>
      <c r="G33" s="29">
        <f t="shared" si="0"/>
        <v>80</v>
      </c>
    </row>
    <row r="34" spans="1:7" s="30" customFormat="1"/>
    <row r="35" spans="1:7">
      <c r="A35" s="29" t="s">
        <v>72</v>
      </c>
      <c r="B35" s="29">
        <v>0</v>
      </c>
      <c r="C35" s="29">
        <v>0</v>
      </c>
      <c r="D35" s="29">
        <v>0</v>
      </c>
      <c r="E35" s="29">
        <v>0</v>
      </c>
      <c r="F35" s="29">
        <v>0</v>
      </c>
      <c r="G35" s="29">
        <f t="shared" si="0"/>
        <v>0</v>
      </c>
    </row>
    <row r="36" spans="1:7">
      <c r="A36" s="29" t="s">
        <v>74</v>
      </c>
      <c r="B36" s="29">
        <v>3</v>
      </c>
      <c r="C36" s="29">
        <v>0</v>
      </c>
      <c r="D36" s="29">
        <v>0</v>
      </c>
      <c r="E36" s="29">
        <v>0</v>
      </c>
      <c r="F36" s="29">
        <v>0</v>
      </c>
      <c r="G36" s="29">
        <f t="shared" si="0"/>
        <v>3</v>
      </c>
    </row>
    <row r="37" spans="1:7">
      <c r="A37" s="29" t="s">
        <v>76</v>
      </c>
      <c r="B37" s="29">
        <v>1</v>
      </c>
      <c r="C37" s="29">
        <v>0</v>
      </c>
      <c r="D37" s="29">
        <v>0</v>
      </c>
      <c r="E37" s="29">
        <v>1</v>
      </c>
      <c r="F37" s="29">
        <v>0</v>
      </c>
      <c r="G37" s="29">
        <f t="shared" si="0"/>
        <v>2</v>
      </c>
    </row>
    <row r="38" spans="1:7">
      <c r="A38" s="29" t="s">
        <v>77</v>
      </c>
      <c r="B38" s="29">
        <v>4</v>
      </c>
      <c r="C38" s="29">
        <v>0</v>
      </c>
      <c r="D38" s="29">
        <v>0</v>
      </c>
      <c r="E38" s="29">
        <v>0</v>
      </c>
      <c r="F38" s="29">
        <v>0</v>
      </c>
      <c r="G38" s="29">
        <f t="shared" si="0"/>
        <v>4</v>
      </c>
    </row>
    <row r="39" spans="1:7">
      <c r="A39" s="29" t="s">
        <v>78</v>
      </c>
      <c r="B39" s="29">
        <v>0</v>
      </c>
      <c r="C39" s="29">
        <v>0</v>
      </c>
      <c r="D39" s="29">
        <v>0</v>
      </c>
      <c r="E39" s="29">
        <v>0</v>
      </c>
      <c r="F39" s="29">
        <v>0</v>
      </c>
      <c r="G39" s="29">
        <f t="shared" si="0"/>
        <v>0</v>
      </c>
    </row>
    <row r="40" spans="1:7">
      <c r="A40" s="30" t="s">
        <v>79</v>
      </c>
      <c r="B40" s="29">
        <v>2</v>
      </c>
      <c r="C40" s="29">
        <v>3</v>
      </c>
      <c r="D40" s="29">
        <v>0</v>
      </c>
      <c r="E40" s="29">
        <v>1</v>
      </c>
      <c r="F40" s="29">
        <v>1</v>
      </c>
      <c r="G40" s="29">
        <f t="shared" si="0"/>
        <v>7</v>
      </c>
    </row>
    <row r="41" spans="1:7">
      <c r="A41" s="29" t="s">
        <v>80</v>
      </c>
      <c r="B41" s="29">
        <v>1</v>
      </c>
      <c r="C41" s="29">
        <v>0</v>
      </c>
      <c r="D41" s="29">
        <v>0</v>
      </c>
      <c r="E41" s="29">
        <v>1</v>
      </c>
      <c r="F41" s="29">
        <v>1</v>
      </c>
      <c r="G41" s="29">
        <f t="shared" si="0"/>
        <v>3</v>
      </c>
    </row>
    <row r="42" spans="1:7">
      <c r="A42" s="29" t="s">
        <v>81</v>
      </c>
      <c r="B42" s="29">
        <v>0</v>
      </c>
      <c r="C42" s="29">
        <v>0</v>
      </c>
      <c r="D42" s="29">
        <v>0</v>
      </c>
      <c r="E42" s="29">
        <v>0</v>
      </c>
      <c r="F42" s="29">
        <v>0</v>
      </c>
      <c r="G42" s="29">
        <f t="shared" si="0"/>
        <v>0</v>
      </c>
    </row>
    <row r="43" spans="1:7">
      <c r="A43" s="29" t="s">
        <v>82</v>
      </c>
      <c r="B43" s="29">
        <v>0</v>
      </c>
      <c r="C43" s="29">
        <v>0</v>
      </c>
      <c r="D43" s="29">
        <v>0</v>
      </c>
      <c r="E43" s="29">
        <v>3</v>
      </c>
      <c r="F43" s="29">
        <v>0</v>
      </c>
      <c r="G43" s="29">
        <f t="shared" si="0"/>
        <v>3</v>
      </c>
    </row>
    <row r="44" spans="1:7">
      <c r="A44" s="29" t="s">
        <v>83</v>
      </c>
      <c r="B44" s="29">
        <v>13</v>
      </c>
      <c r="C44" s="29">
        <v>1</v>
      </c>
      <c r="D44" s="29">
        <v>3</v>
      </c>
      <c r="E44" s="29">
        <v>16</v>
      </c>
      <c r="F44" s="29">
        <v>5</v>
      </c>
      <c r="G44" s="29">
        <f t="shared" si="0"/>
        <v>38</v>
      </c>
    </row>
    <row r="45" spans="1:7">
      <c r="A45" s="29" t="s">
        <v>84</v>
      </c>
      <c r="B45" s="29">
        <v>2</v>
      </c>
      <c r="C45" s="29">
        <v>0</v>
      </c>
      <c r="D45" s="29">
        <v>0</v>
      </c>
      <c r="E45" s="29">
        <v>0</v>
      </c>
      <c r="F45" s="29">
        <v>0</v>
      </c>
      <c r="G45" s="29">
        <f t="shared" si="0"/>
        <v>2</v>
      </c>
    </row>
    <row r="46" spans="1:7">
      <c r="A46" s="29" t="s">
        <v>85</v>
      </c>
      <c r="B46" s="29">
        <v>2</v>
      </c>
      <c r="C46" s="29">
        <v>0</v>
      </c>
      <c r="D46" s="29">
        <v>0</v>
      </c>
      <c r="E46" s="29">
        <v>0</v>
      </c>
      <c r="F46" s="29">
        <v>0</v>
      </c>
      <c r="G46" s="29">
        <f t="shared" si="0"/>
        <v>2</v>
      </c>
    </row>
    <row r="47" spans="1:7">
      <c r="A47" s="29" t="s">
        <v>86</v>
      </c>
      <c r="B47" s="29">
        <v>2</v>
      </c>
      <c r="C47" s="29">
        <v>0</v>
      </c>
      <c r="D47" s="29">
        <v>0</v>
      </c>
      <c r="E47" s="29">
        <v>3</v>
      </c>
      <c r="F47" s="29">
        <v>0</v>
      </c>
      <c r="G47" s="29">
        <f t="shared" si="0"/>
        <v>5</v>
      </c>
    </row>
    <row r="48" spans="1:7">
      <c r="A48" s="29" t="s">
        <v>87</v>
      </c>
      <c r="B48" s="29">
        <v>0</v>
      </c>
      <c r="C48" s="29">
        <v>0</v>
      </c>
      <c r="D48" s="29">
        <v>0</v>
      </c>
      <c r="E48" s="29">
        <v>0</v>
      </c>
      <c r="F48" s="29">
        <v>0</v>
      </c>
      <c r="G48" s="29">
        <f t="shared" si="0"/>
        <v>0</v>
      </c>
    </row>
    <row r="49" spans="1:84">
      <c r="A49" s="29" t="s">
        <v>88</v>
      </c>
      <c r="B49" s="29">
        <v>3</v>
      </c>
      <c r="C49" s="29">
        <v>0</v>
      </c>
      <c r="D49" s="29">
        <v>0</v>
      </c>
      <c r="E49" s="29">
        <v>4</v>
      </c>
      <c r="F49" s="29">
        <v>2</v>
      </c>
      <c r="G49" s="29">
        <f t="shared" si="0"/>
        <v>9</v>
      </c>
    </row>
    <row r="50" spans="1:84">
      <c r="A50" s="130" t="s">
        <v>768</v>
      </c>
      <c r="B50" s="130">
        <v>0</v>
      </c>
      <c r="C50" s="130">
        <v>0</v>
      </c>
      <c r="D50" s="130">
        <v>0</v>
      </c>
      <c r="E50" s="130">
        <v>0</v>
      </c>
      <c r="F50" s="130">
        <v>0</v>
      </c>
      <c r="G50" s="130">
        <v>0</v>
      </c>
    </row>
    <row r="51" spans="1:84">
      <c r="A51" s="29" t="s">
        <v>90</v>
      </c>
      <c r="B51" s="29">
        <v>2</v>
      </c>
      <c r="C51" s="29">
        <v>0</v>
      </c>
      <c r="D51" s="29">
        <v>0</v>
      </c>
      <c r="E51" s="29">
        <v>1</v>
      </c>
      <c r="F51" s="29">
        <v>0</v>
      </c>
      <c r="G51" s="29">
        <f t="shared" si="0"/>
        <v>3</v>
      </c>
    </row>
    <row r="52" spans="1:84">
      <c r="A52" s="29" t="s">
        <v>91</v>
      </c>
      <c r="B52" s="29">
        <v>8</v>
      </c>
      <c r="C52" s="29">
        <v>0</v>
      </c>
      <c r="D52" s="29">
        <v>0</v>
      </c>
      <c r="E52" s="29">
        <v>1</v>
      </c>
      <c r="F52" s="29">
        <v>0</v>
      </c>
      <c r="G52" s="29">
        <f t="shared" si="0"/>
        <v>9</v>
      </c>
    </row>
    <row r="53" spans="1:84">
      <c r="A53" s="29" t="s">
        <v>92</v>
      </c>
      <c r="B53" s="29">
        <v>12</v>
      </c>
      <c r="C53" s="29">
        <v>1</v>
      </c>
      <c r="D53" s="29">
        <v>0</v>
      </c>
      <c r="E53" s="29">
        <v>21</v>
      </c>
      <c r="F53" s="29">
        <v>0</v>
      </c>
      <c r="G53" s="29">
        <f t="shared" si="0"/>
        <v>34</v>
      </c>
    </row>
    <row r="54" spans="1:84">
      <c r="A54" s="29" t="s">
        <v>118</v>
      </c>
      <c r="B54" s="29">
        <v>0</v>
      </c>
      <c r="C54" s="29">
        <v>0</v>
      </c>
      <c r="D54" s="29">
        <v>0</v>
      </c>
      <c r="E54" s="29">
        <v>0</v>
      </c>
      <c r="F54" s="29">
        <v>0</v>
      </c>
      <c r="G54" s="29">
        <f t="shared" si="0"/>
        <v>0</v>
      </c>
    </row>
    <row r="55" spans="1:84">
      <c r="A55" s="29" t="s">
        <v>94</v>
      </c>
      <c r="B55" s="29">
        <v>6</v>
      </c>
      <c r="C55" s="29">
        <v>6</v>
      </c>
      <c r="D55" s="29">
        <v>0</v>
      </c>
      <c r="E55" s="29">
        <v>16</v>
      </c>
      <c r="F55" s="29">
        <v>4</v>
      </c>
      <c r="G55" s="29">
        <f t="shared" si="0"/>
        <v>32</v>
      </c>
    </row>
    <row r="56" spans="1:84">
      <c r="A56" s="30" t="s">
        <v>95</v>
      </c>
      <c r="B56" s="29">
        <v>0</v>
      </c>
      <c r="C56" s="29">
        <v>0</v>
      </c>
      <c r="D56" s="29">
        <v>0</v>
      </c>
      <c r="E56" s="29">
        <v>3</v>
      </c>
      <c r="F56" s="29">
        <v>0</v>
      </c>
      <c r="G56" s="29">
        <f t="shared" si="0"/>
        <v>3</v>
      </c>
    </row>
    <row r="57" spans="1:84">
      <c r="A57" s="29" t="s">
        <v>96</v>
      </c>
      <c r="B57" s="29">
        <v>2</v>
      </c>
      <c r="C57" s="29">
        <v>0</v>
      </c>
      <c r="D57" s="29">
        <v>0</v>
      </c>
      <c r="E57" s="29">
        <v>12</v>
      </c>
      <c r="F57" s="29">
        <v>1</v>
      </c>
      <c r="G57" s="29">
        <f t="shared" si="0"/>
        <v>15</v>
      </c>
    </row>
    <row r="58" spans="1:84">
      <c r="A58" s="30" t="s">
        <v>119</v>
      </c>
      <c r="B58" s="29">
        <v>8</v>
      </c>
      <c r="C58" s="29">
        <v>0</v>
      </c>
      <c r="D58" s="29">
        <v>0</v>
      </c>
      <c r="E58" s="29">
        <v>2</v>
      </c>
      <c r="F58" s="29">
        <v>0</v>
      </c>
      <c r="G58" s="29">
        <f t="shared" si="0"/>
        <v>10</v>
      </c>
    </row>
    <row r="59" spans="1:84">
      <c r="A59" s="29" t="s">
        <v>98</v>
      </c>
      <c r="B59" s="29">
        <v>1</v>
      </c>
      <c r="C59" s="31"/>
      <c r="D59" s="29">
        <v>0</v>
      </c>
      <c r="E59" s="31"/>
      <c r="F59" s="29">
        <v>0</v>
      </c>
      <c r="G59" s="31"/>
    </row>
    <row r="60" spans="1:84">
      <c r="A60" s="29" t="s">
        <v>99</v>
      </c>
      <c r="B60" s="29">
        <v>6</v>
      </c>
      <c r="C60" s="29">
        <v>0</v>
      </c>
      <c r="D60" s="29">
        <v>0</v>
      </c>
      <c r="E60" s="29">
        <v>1</v>
      </c>
      <c r="F60" s="29">
        <v>0</v>
      </c>
      <c r="G60" s="29">
        <f>SUM(B60:F60)</f>
        <v>7</v>
      </c>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c r="BG60" s="30"/>
      <c r="BH60" s="30"/>
      <c r="BI60" s="30"/>
      <c r="BJ60" s="30"/>
      <c r="BK60" s="30"/>
      <c r="BL60" s="30"/>
      <c r="BM60" s="30"/>
      <c r="BN60" s="30"/>
      <c r="BO60" s="30"/>
      <c r="BP60" s="30"/>
      <c r="BQ60" s="30"/>
      <c r="BR60" s="30"/>
      <c r="BS60" s="30"/>
      <c r="BT60" s="30"/>
      <c r="BU60" s="30"/>
      <c r="BV60" s="30"/>
      <c r="BW60" s="30"/>
      <c r="BX60" s="30"/>
      <c r="BY60" s="30"/>
      <c r="BZ60" s="30"/>
      <c r="CA60" s="30"/>
      <c r="CB60" s="30"/>
      <c r="CC60" s="30"/>
      <c r="CD60" s="30"/>
      <c r="CE60" s="30"/>
      <c r="CF60" s="30"/>
    </row>
    <row r="61" spans="1:84">
      <c r="A61" s="30" t="s">
        <v>100</v>
      </c>
      <c r="B61" s="29">
        <v>0</v>
      </c>
      <c r="C61" s="29">
        <v>0</v>
      </c>
      <c r="D61" s="29">
        <v>0</v>
      </c>
      <c r="E61" s="29">
        <v>0</v>
      </c>
      <c r="F61" s="29">
        <v>2</v>
      </c>
      <c r="G61" s="29">
        <f>SUM(B61:F61)</f>
        <v>2</v>
      </c>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c r="BM61" s="30"/>
      <c r="BN61" s="30"/>
      <c r="BO61" s="30"/>
      <c r="BP61" s="30"/>
      <c r="BQ61" s="30"/>
      <c r="BR61" s="30"/>
      <c r="BS61" s="30"/>
      <c r="BT61" s="30"/>
      <c r="BU61" s="30"/>
      <c r="BV61" s="30"/>
      <c r="BW61" s="30"/>
      <c r="BX61" s="30"/>
      <c r="BY61" s="30"/>
      <c r="BZ61" s="30"/>
      <c r="CA61" s="30"/>
      <c r="CB61" s="30"/>
      <c r="CC61" s="30"/>
      <c r="CD61" s="30"/>
      <c r="CE61" s="30"/>
      <c r="CF61" s="30"/>
    </row>
    <row r="62" spans="1:84">
      <c r="A62" s="30" t="s">
        <v>101</v>
      </c>
      <c r="B62" s="29">
        <v>1</v>
      </c>
      <c r="C62" s="29">
        <v>0</v>
      </c>
      <c r="D62" s="29">
        <v>0</v>
      </c>
      <c r="E62" s="29">
        <v>0</v>
      </c>
      <c r="F62" s="29">
        <v>1</v>
      </c>
      <c r="G62" s="29">
        <f>SUM(B62:F62)</f>
        <v>2</v>
      </c>
      <c r="I62" s="30"/>
      <c r="J62" s="30"/>
      <c r="K62" s="30"/>
      <c r="L62" s="30"/>
      <c r="M62" s="30"/>
      <c r="N62" s="30"/>
      <c r="O62" s="30"/>
      <c r="P62" s="30"/>
      <c r="Q62" s="30"/>
      <c r="R62" s="30"/>
      <c r="S62" s="30"/>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30"/>
      <c r="BS62" s="30"/>
      <c r="BT62" s="30"/>
      <c r="BU62" s="30"/>
      <c r="BV62" s="30"/>
      <c r="BW62" s="30"/>
      <c r="BX62" s="30"/>
      <c r="BY62" s="30"/>
      <c r="BZ62" s="30"/>
      <c r="CA62" s="30"/>
      <c r="CB62" s="30"/>
      <c r="CC62" s="30"/>
      <c r="CD62" s="30"/>
      <c r="CE62" s="30"/>
      <c r="CF62" s="30"/>
    </row>
    <row r="63" spans="1:84">
      <c r="A63" s="29" t="s">
        <v>102</v>
      </c>
      <c r="B63" s="29">
        <v>2</v>
      </c>
      <c r="C63" s="29">
        <v>0</v>
      </c>
      <c r="D63" s="29">
        <v>0</v>
      </c>
      <c r="E63" s="29">
        <v>0</v>
      </c>
      <c r="F63" s="29">
        <v>0</v>
      </c>
      <c r="G63" s="29">
        <f>SUM(B63:F63)</f>
        <v>2</v>
      </c>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G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row>
    <row r="64" spans="1:84" s="28" customFormat="1"/>
    <row r="65" spans="1:84" s="28" customFormat="1"/>
    <row r="66" spans="1:84">
      <c r="A66" s="29" t="s">
        <v>133</v>
      </c>
      <c r="B66" s="32">
        <f t="shared" ref="B66:G66" si="1">AVERAGE(B3:B33)</f>
        <v>14.785714285714286</v>
      </c>
      <c r="C66" s="32">
        <f t="shared" si="1"/>
        <v>10.5</v>
      </c>
      <c r="D66" s="32">
        <f t="shared" si="1"/>
        <v>6.7142857142857144</v>
      </c>
      <c r="E66" s="32">
        <f t="shared" si="1"/>
        <v>22.357142857142858</v>
      </c>
      <c r="F66" s="32">
        <f t="shared" si="1"/>
        <v>3.8571428571428572</v>
      </c>
      <c r="G66" s="32">
        <f t="shared" si="1"/>
        <v>58.214285714285715</v>
      </c>
      <c r="I66" s="30"/>
      <c r="J66" s="30"/>
      <c r="K66" s="30"/>
      <c r="L66" s="30"/>
      <c r="M66" s="30"/>
      <c r="N66" s="30"/>
      <c r="O66" s="30"/>
      <c r="P66" s="30"/>
      <c r="Q66" s="30"/>
      <c r="R66" s="30"/>
      <c r="S66" s="30"/>
      <c r="T66" s="30"/>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30"/>
      <c r="CD66" s="30"/>
      <c r="CE66" s="30"/>
      <c r="CF66" s="30"/>
    </row>
    <row r="67" spans="1:84">
      <c r="A67" s="29" t="s">
        <v>134</v>
      </c>
      <c r="B67" s="32">
        <f t="shared" ref="B67:G67" si="2">AVERAGE(B35:B63)</f>
        <v>2.7931034482758621</v>
      </c>
      <c r="C67" s="32">
        <f t="shared" si="2"/>
        <v>0.39285714285714285</v>
      </c>
      <c r="D67" s="32">
        <f t="shared" si="2"/>
        <v>0.10344827586206896</v>
      </c>
      <c r="E67" s="32">
        <f t="shared" si="2"/>
        <v>3.0714285714285716</v>
      </c>
      <c r="F67" s="32">
        <f t="shared" si="2"/>
        <v>0.58620689655172409</v>
      </c>
      <c r="G67" s="32">
        <f t="shared" si="2"/>
        <v>7.0357142857142856</v>
      </c>
      <c r="I67" s="30"/>
      <c r="J67" s="30"/>
      <c r="K67" s="30"/>
      <c r="L67" s="30"/>
      <c r="M67" s="30"/>
      <c r="N67" s="30"/>
      <c r="O67" s="30"/>
      <c r="P67" s="30"/>
      <c r="Q67" s="30"/>
      <c r="R67" s="30"/>
      <c r="S67" s="30"/>
      <c r="T67" s="30"/>
      <c r="U67" s="30"/>
      <c r="V67" s="30"/>
      <c r="W67" s="30"/>
      <c r="X67" s="30"/>
      <c r="Y67" s="30"/>
      <c r="Z67" s="30"/>
      <c r="AA67" s="30"/>
      <c r="AB67" s="30"/>
      <c r="AC67" s="30"/>
      <c r="AD67" s="30"/>
      <c r="AE67" s="30"/>
      <c r="AF67" s="30"/>
      <c r="AG67" s="30"/>
      <c r="AH67" s="30"/>
      <c r="AI67" s="30"/>
      <c r="AJ67" s="30"/>
      <c r="AK67" s="30"/>
      <c r="AL67" s="30"/>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c r="BM67" s="30"/>
      <c r="BN67" s="30"/>
      <c r="BO67" s="30"/>
      <c r="BP67" s="30"/>
      <c r="BQ67" s="30"/>
      <c r="BR67" s="30"/>
      <c r="BS67" s="30"/>
      <c r="BT67" s="30"/>
      <c r="BU67" s="30"/>
      <c r="BV67" s="30"/>
      <c r="BW67" s="30"/>
      <c r="BX67" s="30"/>
      <c r="BY67" s="30"/>
      <c r="BZ67" s="30"/>
      <c r="CA67" s="30"/>
      <c r="CB67" s="30"/>
      <c r="CC67" s="30"/>
      <c r="CD67" s="30"/>
      <c r="CE67" s="30"/>
      <c r="CF67" s="30"/>
    </row>
    <row r="68" spans="1:84">
      <c r="A68" s="29" t="s">
        <v>20</v>
      </c>
      <c r="B68" s="33">
        <f t="shared" ref="B68:G68" si="3">TTEST(B3:B33, B35:B63, 2, 3)</f>
        <v>8.418192984953808E-9</v>
      </c>
      <c r="C68" s="33">
        <f t="shared" si="3"/>
        <v>2.3300619646945174E-7</v>
      </c>
      <c r="D68" s="33">
        <f t="shared" si="3"/>
        <v>7.631118797947493E-8</v>
      </c>
      <c r="E68" s="33">
        <f t="shared" si="3"/>
        <v>6.8898490590571745E-10</v>
      </c>
      <c r="F68" s="33">
        <f t="shared" si="3"/>
        <v>3.0378135676627115E-5</v>
      </c>
      <c r="G68" s="33">
        <f t="shared" si="3"/>
        <v>6.0363878189735589E-11</v>
      </c>
      <c r="I68" s="30"/>
      <c r="J68" s="30"/>
      <c r="K68" s="30"/>
      <c r="L68" s="30"/>
      <c r="M68" s="30"/>
      <c r="N68" s="30"/>
      <c r="O68" s="30"/>
      <c r="P68" s="30"/>
      <c r="Q68" s="30"/>
      <c r="R68" s="30"/>
      <c r="S68" s="30"/>
      <c r="T68" s="30"/>
      <c r="U68" s="30"/>
      <c r="V68" s="30"/>
      <c r="W68" s="30"/>
      <c r="X68" s="30"/>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c r="BN68" s="30"/>
      <c r="BO68" s="30"/>
      <c r="BP68" s="30"/>
      <c r="BQ68" s="30"/>
      <c r="BR68" s="30"/>
      <c r="BS68" s="30"/>
      <c r="BT68" s="30"/>
      <c r="BU68" s="30"/>
      <c r="BV68" s="30"/>
      <c r="BW68" s="30"/>
      <c r="BX68" s="30"/>
      <c r="BY68" s="30"/>
      <c r="BZ68" s="30"/>
      <c r="CA68" s="30"/>
      <c r="CB68" s="30"/>
      <c r="CC68" s="30"/>
      <c r="CD68" s="30"/>
      <c r="CE68" s="30"/>
      <c r="CF68" s="30"/>
    </row>
    <row r="69" spans="1:84" s="30" customFormat="1">
      <c r="A69" s="30" t="s">
        <v>21</v>
      </c>
      <c r="B69" s="34">
        <f t="shared" ref="B69:G69" si="4">-(B67-B66)/B67</f>
        <v>4.2936507936507935</v>
      </c>
      <c r="C69" s="34">
        <f t="shared" si="4"/>
        <v>25.72727272727273</v>
      </c>
      <c r="D69" s="34">
        <f t="shared" si="4"/>
        <v>63.904761904761905</v>
      </c>
      <c r="E69" s="34">
        <f t="shared" si="4"/>
        <v>6.2790697674418601</v>
      </c>
      <c r="F69" s="34">
        <f t="shared" si="4"/>
        <v>5.5798319327731098</v>
      </c>
      <c r="G69" s="34">
        <f t="shared" si="4"/>
        <v>7.2741116751269042</v>
      </c>
      <c r="H69" s="35"/>
      <c r="I69" s="34"/>
      <c r="J69" s="35"/>
      <c r="K69" s="35"/>
      <c r="L69" s="35"/>
      <c r="M69" s="35"/>
      <c r="N69" s="35"/>
      <c r="O69" s="34"/>
      <c r="P69" s="34"/>
      <c r="Q69" s="35"/>
      <c r="R69" s="35"/>
      <c r="S69" s="35"/>
    </row>
    <row r="70" spans="1:84">
      <c r="I70" s="30"/>
      <c r="J70" s="30"/>
      <c r="K70" s="30"/>
      <c r="L70" s="30"/>
      <c r="M70" s="30"/>
      <c r="N70" s="30"/>
      <c r="O70" s="30"/>
      <c r="P70" s="30"/>
      <c r="Q70" s="30"/>
      <c r="R70" s="30"/>
      <c r="S70" s="30"/>
      <c r="T70" s="30"/>
      <c r="U70" s="30"/>
      <c r="V70" s="30"/>
      <c r="W70" s="30"/>
      <c r="X70" s="30"/>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c r="BI70" s="30"/>
      <c r="BJ70" s="30"/>
      <c r="BK70" s="30"/>
      <c r="BL70" s="30"/>
      <c r="BM70" s="30"/>
      <c r="BN70" s="30"/>
      <c r="BO70" s="30"/>
      <c r="BP70" s="30"/>
      <c r="BQ70" s="30"/>
      <c r="BR70" s="30"/>
      <c r="BS70" s="30"/>
      <c r="BT70" s="30"/>
      <c r="BU70" s="30"/>
      <c r="BV70" s="30"/>
      <c r="BW70" s="30"/>
      <c r="BX70" s="30"/>
      <c r="BY70" s="30"/>
      <c r="BZ70" s="30"/>
      <c r="CA70" s="30"/>
      <c r="CB70" s="30"/>
      <c r="CC70" s="30"/>
      <c r="CD70" s="30"/>
      <c r="CE70" s="30"/>
      <c r="CF70" s="30"/>
    </row>
    <row r="71" spans="1:84">
      <c r="I71" s="30"/>
      <c r="J71" s="30"/>
      <c r="K71" s="30"/>
      <c r="L71" s="30"/>
      <c r="M71" s="30"/>
      <c r="N71" s="30"/>
      <c r="O71" s="30"/>
      <c r="P71" s="30"/>
      <c r="Q71" s="30"/>
      <c r="R71" s="30"/>
      <c r="S71" s="30"/>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c r="BF71" s="30"/>
      <c r="BG71" s="30"/>
      <c r="BH71" s="30"/>
      <c r="BI71" s="30"/>
      <c r="BJ71" s="30"/>
      <c r="BK71" s="30"/>
      <c r="BL71" s="30"/>
      <c r="BM71" s="30"/>
      <c r="BN71" s="30"/>
      <c r="BO71" s="30"/>
      <c r="BP71" s="30"/>
      <c r="BQ71" s="30"/>
      <c r="BR71" s="30"/>
      <c r="BS71" s="30"/>
      <c r="BT71" s="30"/>
      <c r="BU71" s="30"/>
      <c r="BV71" s="30"/>
      <c r="BW71" s="30"/>
      <c r="BX71" s="30"/>
      <c r="BY71" s="30"/>
      <c r="BZ71" s="30"/>
      <c r="CA71" s="30"/>
      <c r="CB71" s="30"/>
      <c r="CC71" s="30"/>
      <c r="CD71" s="30"/>
      <c r="CE71" s="30"/>
      <c r="CF71" s="30"/>
    </row>
    <row r="72" spans="1:84">
      <c r="A72" s="29" t="s">
        <v>89</v>
      </c>
      <c r="B72" s="29">
        <v>1</v>
      </c>
      <c r="C72" s="29">
        <v>0</v>
      </c>
      <c r="D72" s="29">
        <v>0</v>
      </c>
      <c r="E72" s="29">
        <v>8</v>
      </c>
      <c r="F72" s="29">
        <v>0</v>
      </c>
      <c r="G72" s="29">
        <f>SUM(B72:F72)</f>
        <v>9</v>
      </c>
      <c r="I72" s="30"/>
      <c r="J72" s="30"/>
      <c r="K72" s="30"/>
      <c r="L72" s="30"/>
      <c r="M72" s="30"/>
      <c r="N72" s="30"/>
      <c r="O72" s="30"/>
      <c r="P72" s="30"/>
      <c r="Q72" s="30"/>
      <c r="R72" s="30"/>
      <c r="S72" s="30"/>
      <c r="T72" s="30"/>
      <c r="U72" s="30"/>
      <c r="V72" s="30"/>
      <c r="W72" s="30"/>
      <c r="X72" s="30"/>
      <c r="Y72" s="30"/>
      <c r="Z72" s="30"/>
      <c r="AA72" s="30"/>
      <c r="AB72" s="30"/>
      <c r="AC72" s="30"/>
      <c r="AD72" s="30"/>
      <c r="AE72" s="30"/>
      <c r="AF72" s="30"/>
      <c r="AG72" s="30"/>
      <c r="AH72" s="30"/>
      <c r="AI72" s="30"/>
      <c r="AJ72" s="30"/>
      <c r="AK72" s="30"/>
      <c r="AL72" s="30"/>
      <c r="AM72" s="30"/>
      <c r="AN72" s="30"/>
      <c r="AO72" s="30"/>
      <c r="AP72" s="30"/>
      <c r="AQ72" s="30"/>
      <c r="AR72" s="30"/>
      <c r="AS72" s="30"/>
      <c r="AT72" s="30"/>
      <c r="AU72" s="30"/>
      <c r="AV72" s="30"/>
      <c r="AW72" s="30"/>
      <c r="AX72" s="30"/>
      <c r="AY72" s="30"/>
      <c r="AZ72" s="30"/>
      <c r="BA72" s="30"/>
      <c r="BB72" s="30"/>
      <c r="BC72" s="30"/>
      <c r="BD72" s="30"/>
      <c r="BE72" s="30"/>
      <c r="BF72" s="30"/>
      <c r="BG72" s="30"/>
      <c r="BH72" s="30"/>
      <c r="BI72" s="30"/>
      <c r="BJ72" s="30"/>
      <c r="BK72" s="30"/>
      <c r="BL72" s="30"/>
      <c r="BM72" s="30"/>
      <c r="BN72" s="30"/>
      <c r="BO72" s="30"/>
      <c r="BP72" s="30"/>
      <c r="BQ72" s="30"/>
      <c r="BR72" s="30"/>
      <c r="BS72" s="30"/>
      <c r="BT72" s="30"/>
      <c r="BU72" s="30"/>
      <c r="BV72" s="30"/>
      <c r="BW72" s="30"/>
      <c r="BX72" s="30"/>
      <c r="BY72" s="30"/>
      <c r="BZ72" s="30"/>
      <c r="CA72" s="30"/>
      <c r="CB72" s="30"/>
      <c r="CC72" s="30"/>
      <c r="CD72" s="30"/>
      <c r="CE72" s="30"/>
      <c r="CF72" s="30"/>
    </row>
    <row r="73" spans="1:84">
      <c r="I73" s="30"/>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c r="BG73" s="30"/>
      <c r="BH73" s="30"/>
      <c r="BI73" s="30"/>
      <c r="BJ73" s="30"/>
      <c r="BK73" s="30"/>
      <c r="BL73" s="30"/>
      <c r="BM73" s="30"/>
      <c r="BN73" s="30"/>
      <c r="BO73" s="30"/>
      <c r="BP73" s="30"/>
      <c r="BQ73" s="30"/>
      <c r="BR73" s="30"/>
      <c r="BS73" s="30"/>
      <c r="BT73" s="30"/>
      <c r="BU73" s="30"/>
      <c r="BV73" s="30"/>
      <c r="BW73" s="30"/>
      <c r="BX73" s="30"/>
      <c r="BY73" s="30"/>
      <c r="BZ73" s="30"/>
      <c r="CA73" s="30"/>
      <c r="CB73" s="30"/>
      <c r="CC73" s="30"/>
      <c r="CD73" s="30"/>
      <c r="CE73" s="30"/>
      <c r="CF73" s="3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82"/>
  <sheetViews>
    <sheetView zoomScale="102" zoomScaleNormal="102" workbookViewId="0">
      <selection activeCell="P81" sqref="P81"/>
    </sheetView>
  </sheetViews>
  <sheetFormatPr defaultRowHeight="15"/>
  <sheetData>
    <row r="1" spans="1:42">
      <c r="C1" s="105" t="s">
        <v>503</v>
      </c>
      <c r="D1" s="105" t="s">
        <v>504</v>
      </c>
      <c r="E1" s="105" t="s">
        <v>505</v>
      </c>
      <c r="F1" s="105" t="s">
        <v>506</v>
      </c>
      <c r="G1" s="105" t="s">
        <v>507</v>
      </c>
      <c r="H1" s="105" t="s">
        <v>508</v>
      </c>
      <c r="I1" s="105" t="s">
        <v>509</v>
      </c>
      <c r="J1" s="105" t="s">
        <v>510</v>
      </c>
      <c r="K1" s="105" t="s">
        <v>511</v>
      </c>
      <c r="L1" s="105" t="s">
        <v>512</v>
      </c>
      <c r="M1" s="105" t="s">
        <v>513</v>
      </c>
      <c r="N1" s="105" t="s">
        <v>514</v>
      </c>
      <c r="O1" s="105" t="s">
        <v>515</v>
      </c>
      <c r="P1" s="105" t="s">
        <v>516</v>
      </c>
      <c r="Q1" s="105" t="s">
        <v>517</v>
      </c>
      <c r="R1" s="105" t="s">
        <v>518</v>
      </c>
      <c r="S1" s="105" t="s">
        <v>519</v>
      </c>
      <c r="T1" s="105" t="s">
        <v>520</v>
      </c>
      <c r="U1" s="105" t="s">
        <v>521</v>
      </c>
      <c r="V1" s="105" t="s">
        <v>522</v>
      </c>
      <c r="W1" s="105" t="s">
        <v>523</v>
      </c>
      <c r="X1" s="105" t="s">
        <v>524</v>
      </c>
      <c r="Y1" s="105" t="s">
        <v>525</v>
      </c>
      <c r="Z1" s="105" t="s">
        <v>526</v>
      </c>
      <c r="AA1" s="105" t="s">
        <v>527</v>
      </c>
      <c r="AB1" s="105" t="s">
        <v>528</v>
      </c>
      <c r="AC1" s="105" t="s">
        <v>529</v>
      </c>
      <c r="AD1" s="105" t="s">
        <v>530</v>
      </c>
      <c r="AE1" s="105" t="s">
        <v>531</v>
      </c>
      <c r="AF1" s="105" t="s">
        <v>532</v>
      </c>
      <c r="AG1" s="105" t="s">
        <v>533</v>
      </c>
      <c r="AH1" s="105" t="s">
        <v>534</v>
      </c>
      <c r="AI1" s="105" t="s">
        <v>535</v>
      </c>
      <c r="AJ1" s="105" t="s">
        <v>536</v>
      </c>
      <c r="AK1" s="105" t="s">
        <v>537</v>
      </c>
      <c r="AL1" s="105" t="s">
        <v>538</v>
      </c>
      <c r="AM1" s="105" t="s">
        <v>539</v>
      </c>
      <c r="AN1" s="105" t="s">
        <v>540</v>
      </c>
      <c r="AO1" s="106"/>
      <c r="AP1" s="105" t="s">
        <v>541</v>
      </c>
    </row>
    <row r="3" spans="1:42">
      <c r="A3" s="2" t="s">
        <v>542</v>
      </c>
      <c r="B3" s="2" t="s">
        <v>543</v>
      </c>
      <c r="C3" s="2">
        <v>1.4</v>
      </c>
      <c r="D3" s="2">
        <v>4.9496999999999999E-2</v>
      </c>
      <c r="E3" s="2">
        <v>61</v>
      </c>
      <c r="F3" s="2">
        <v>1.3</v>
      </c>
      <c r="G3" s="2" t="s">
        <v>544</v>
      </c>
      <c r="H3" s="2">
        <v>0.1414</v>
      </c>
      <c r="I3" s="2">
        <v>0.1</v>
      </c>
      <c r="J3" s="2">
        <v>5.4</v>
      </c>
      <c r="K3" s="2" t="s">
        <v>544</v>
      </c>
      <c r="L3" s="2">
        <v>0.2</v>
      </c>
      <c r="M3" s="2">
        <v>0.3</v>
      </c>
      <c r="N3" s="2">
        <v>3.1</v>
      </c>
      <c r="O3" s="2" t="s">
        <v>544</v>
      </c>
      <c r="P3" s="2" t="s">
        <v>544</v>
      </c>
      <c r="Q3" s="2" t="s">
        <v>544</v>
      </c>
      <c r="R3" s="2">
        <v>0.1</v>
      </c>
      <c r="S3" s="2" t="s">
        <v>544</v>
      </c>
      <c r="T3" s="2">
        <v>0.4</v>
      </c>
      <c r="U3" s="2">
        <v>0.08</v>
      </c>
      <c r="V3" s="2" t="s">
        <v>544</v>
      </c>
      <c r="W3" s="2">
        <v>42</v>
      </c>
      <c r="X3" s="2">
        <v>23</v>
      </c>
      <c r="Y3" s="2">
        <v>680</v>
      </c>
      <c r="Z3" s="2">
        <v>140</v>
      </c>
      <c r="AA3" s="2">
        <v>77</v>
      </c>
      <c r="AB3" s="2">
        <v>0.16</v>
      </c>
      <c r="AC3" s="2">
        <v>7.0000000000000001E-3</v>
      </c>
      <c r="AD3" s="2">
        <v>410</v>
      </c>
      <c r="AE3" s="2">
        <v>6.9999999999999999E-4</v>
      </c>
      <c r="AF3" s="2">
        <v>3.5999999999999997E-2</v>
      </c>
      <c r="AG3" s="2">
        <v>2.2000000000000002</v>
      </c>
      <c r="AH3" s="2" t="s">
        <v>544</v>
      </c>
      <c r="AI3" s="2">
        <v>5.5E-2</v>
      </c>
      <c r="AJ3" s="2">
        <v>5.8999999999999997E-2</v>
      </c>
      <c r="AK3" s="2">
        <v>0.12</v>
      </c>
      <c r="AL3" s="2">
        <v>1.4100000000000001E-4</v>
      </c>
      <c r="AM3" s="2">
        <v>4.95E-4</v>
      </c>
      <c r="AN3" s="2">
        <v>0.25</v>
      </c>
      <c r="AO3" s="2"/>
      <c r="AP3" s="2">
        <v>250</v>
      </c>
    </row>
    <row r="4" spans="1:42">
      <c r="A4" s="2" t="s">
        <v>545</v>
      </c>
      <c r="B4" s="2" t="s">
        <v>543</v>
      </c>
      <c r="C4" s="2">
        <v>1.8</v>
      </c>
      <c r="D4" s="2">
        <v>4.9496999999999999E-2</v>
      </c>
      <c r="E4" s="2">
        <v>4.8</v>
      </c>
      <c r="F4" s="2">
        <v>1.5</v>
      </c>
      <c r="G4" s="2" t="s">
        <v>544</v>
      </c>
      <c r="H4" s="2">
        <v>0.1414</v>
      </c>
      <c r="I4" s="2">
        <v>0.09</v>
      </c>
      <c r="J4" s="2">
        <v>3.1</v>
      </c>
      <c r="K4" s="2" t="s">
        <v>544</v>
      </c>
      <c r="L4" s="2">
        <v>0.1</v>
      </c>
      <c r="M4" s="2">
        <v>0.21210000000000001</v>
      </c>
      <c r="N4" s="2">
        <v>3.1</v>
      </c>
      <c r="O4" s="2" t="s">
        <v>544</v>
      </c>
      <c r="P4" s="2" t="s">
        <v>544</v>
      </c>
      <c r="Q4" s="2" t="s">
        <v>544</v>
      </c>
      <c r="R4" s="2">
        <v>0.1</v>
      </c>
      <c r="S4" s="2" t="s">
        <v>544</v>
      </c>
      <c r="T4" s="2">
        <v>7.0000000000000007E-2</v>
      </c>
      <c r="U4" s="2">
        <v>3.5349999999999999E-2</v>
      </c>
      <c r="V4" s="2" t="s">
        <v>544</v>
      </c>
      <c r="W4" s="2">
        <v>110</v>
      </c>
      <c r="X4" s="2">
        <v>15</v>
      </c>
      <c r="Y4" s="2">
        <v>860</v>
      </c>
      <c r="Z4" s="2">
        <v>34</v>
      </c>
      <c r="AA4" s="2">
        <v>83</v>
      </c>
      <c r="AB4" s="2">
        <v>0.16</v>
      </c>
      <c r="AC4" s="2">
        <v>1.0999999999999999E-2</v>
      </c>
      <c r="AD4" s="2">
        <v>590</v>
      </c>
      <c r="AE4" s="2">
        <v>5.9999999999999995E-4</v>
      </c>
      <c r="AF4" s="2">
        <v>1.2E-2</v>
      </c>
      <c r="AG4" s="2">
        <v>1.6</v>
      </c>
      <c r="AH4" s="2" t="s">
        <v>544</v>
      </c>
      <c r="AI4" s="2">
        <v>0.18</v>
      </c>
      <c r="AJ4" s="2">
        <v>5.6000000000000001E-2</v>
      </c>
      <c r="AK4" s="2">
        <v>6.7000000000000004E-2</v>
      </c>
      <c r="AL4" s="2">
        <v>1.4100000000000001E-4</v>
      </c>
      <c r="AM4" s="2">
        <v>1E-3</v>
      </c>
      <c r="AN4" s="2">
        <v>7.0710999999999996E-2</v>
      </c>
      <c r="AO4" s="2"/>
      <c r="AP4" s="2">
        <v>128</v>
      </c>
    </row>
    <row r="5" spans="1:42">
      <c r="A5" s="2" t="s">
        <v>546</v>
      </c>
      <c r="B5" s="2" t="s">
        <v>543</v>
      </c>
      <c r="C5" s="2">
        <v>3.3</v>
      </c>
      <c r="D5" s="2">
        <v>4.9496999999999999E-2</v>
      </c>
      <c r="E5" s="2">
        <v>2.9</v>
      </c>
      <c r="F5" s="2">
        <v>5</v>
      </c>
      <c r="G5" s="2" t="s">
        <v>544</v>
      </c>
      <c r="H5" s="2">
        <v>0.1414</v>
      </c>
      <c r="I5" s="2">
        <v>0.2</v>
      </c>
      <c r="J5" s="2">
        <v>3.4</v>
      </c>
      <c r="K5" s="2" t="s">
        <v>544</v>
      </c>
      <c r="L5" s="2">
        <v>0.2</v>
      </c>
      <c r="M5" s="2">
        <v>0.21210000000000001</v>
      </c>
      <c r="N5" s="2">
        <v>3.5</v>
      </c>
      <c r="O5" s="2" t="s">
        <v>544</v>
      </c>
      <c r="P5" s="2" t="s">
        <v>544</v>
      </c>
      <c r="Q5" s="2" t="s">
        <v>544</v>
      </c>
      <c r="R5" s="2">
        <v>0.06</v>
      </c>
      <c r="S5" s="2" t="s">
        <v>544</v>
      </c>
      <c r="T5" s="2">
        <v>1.7</v>
      </c>
      <c r="U5" s="2">
        <v>0.2</v>
      </c>
      <c r="V5" s="2" t="s">
        <v>544</v>
      </c>
      <c r="W5" s="2">
        <v>91</v>
      </c>
      <c r="X5" s="2">
        <v>10</v>
      </c>
      <c r="Y5" s="2">
        <v>590</v>
      </c>
      <c r="Z5" s="2">
        <v>160</v>
      </c>
      <c r="AA5" s="2">
        <v>91</v>
      </c>
      <c r="AB5" s="2">
        <v>0.21</v>
      </c>
      <c r="AC5" s="2">
        <v>0.01</v>
      </c>
      <c r="AD5" s="2">
        <v>470</v>
      </c>
      <c r="AE5" s="2">
        <v>5.0000000000000001E-4</v>
      </c>
      <c r="AF5" s="2">
        <v>3.5000000000000003E-2</v>
      </c>
      <c r="AG5" s="2">
        <v>0.68</v>
      </c>
      <c r="AH5" s="2" t="s">
        <v>544</v>
      </c>
      <c r="AI5" s="2">
        <v>0.21</v>
      </c>
      <c r="AJ5" s="2">
        <v>4.1000000000000002E-2</v>
      </c>
      <c r="AK5" s="2">
        <v>0.23</v>
      </c>
      <c r="AL5" s="2">
        <v>1.4100000000000001E-4</v>
      </c>
      <c r="AM5" s="2">
        <v>4.95E-4</v>
      </c>
      <c r="AN5" s="2">
        <v>0.3</v>
      </c>
      <c r="AO5" s="2"/>
      <c r="AP5" s="2">
        <v>106</v>
      </c>
    </row>
    <row r="6" spans="1:42">
      <c r="A6" s="2" t="s">
        <v>547</v>
      </c>
      <c r="B6" s="2" t="s">
        <v>543</v>
      </c>
      <c r="C6" s="2">
        <v>2.5</v>
      </c>
      <c r="D6" s="2">
        <v>4.9496999999999999E-2</v>
      </c>
      <c r="E6" s="2">
        <v>14</v>
      </c>
      <c r="F6" s="2">
        <v>0.9</v>
      </c>
      <c r="G6" s="2" t="s">
        <v>544</v>
      </c>
      <c r="H6" s="2">
        <v>0.1414</v>
      </c>
      <c r="I6" s="2">
        <v>0.3</v>
      </c>
      <c r="J6" s="2">
        <v>2.5</v>
      </c>
      <c r="K6" s="2">
        <v>0.09</v>
      </c>
      <c r="L6" s="2">
        <v>0.3</v>
      </c>
      <c r="M6" s="2">
        <v>0.21210000000000001</v>
      </c>
      <c r="N6" s="2">
        <v>1.6</v>
      </c>
      <c r="O6" s="2" t="s">
        <v>544</v>
      </c>
      <c r="P6" s="2" t="s">
        <v>544</v>
      </c>
      <c r="Q6" s="2" t="s">
        <v>544</v>
      </c>
      <c r="R6" s="2">
        <v>0.1</v>
      </c>
      <c r="S6" s="2" t="s">
        <v>544</v>
      </c>
      <c r="T6" s="2">
        <v>0.2</v>
      </c>
      <c r="U6" s="2">
        <v>0.08</v>
      </c>
      <c r="V6" s="2" t="s">
        <v>544</v>
      </c>
      <c r="W6" s="2">
        <v>83</v>
      </c>
      <c r="X6" s="2">
        <v>19</v>
      </c>
      <c r="Y6" s="2">
        <v>600</v>
      </c>
      <c r="Z6" s="2">
        <v>49</v>
      </c>
      <c r="AA6" s="2">
        <v>29</v>
      </c>
      <c r="AB6" s="2">
        <v>0.32</v>
      </c>
      <c r="AC6" s="2">
        <v>1.4E-2</v>
      </c>
      <c r="AD6" s="2">
        <v>550</v>
      </c>
      <c r="AE6" s="2">
        <v>8.0000000000000004E-4</v>
      </c>
      <c r="AF6" s="2">
        <v>0.14000000000000001</v>
      </c>
      <c r="AG6" s="2">
        <v>0.73</v>
      </c>
      <c r="AH6" s="2" t="s">
        <v>544</v>
      </c>
      <c r="AI6" s="2">
        <v>7.0000000000000007E-2</v>
      </c>
      <c r="AJ6" s="2">
        <v>0.08</v>
      </c>
      <c r="AK6" s="2">
        <v>8.1000000000000003E-2</v>
      </c>
      <c r="AL6" s="2">
        <v>4.0000000000000002E-4</v>
      </c>
      <c r="AM6" s="2">
        <v>4.95E-4</v>
      </c>
      <c r="AN6" s="2">
        <v>7.0710999999999996E-2</v>
      </c>
      <c r="AO6" s="2"/>
      <c r="AP6" s="2">
        <v>169</v>
      </c>
    </row>
    <row r="7" spans="1:42">
      <c r="A7" s="2" t="s">
        <v>548</v>
      </c>
      <c r="B7" s="2" t="s">
        <v>543</v>
      </c>
      <c r="C7" s="2">
        <v>5.2</v>
      </c>
      <c r="D7" s="2">
        <v>4.9496999999999999E-2</v>
      </c>
      <c r="E7" s="2">
        <v>3</v>
      </c>
      <c r="F7" s="2">
        <v>1.2</v>
      </c>
      <c r="G7" s="2" t="s">
        <v>544</v>
      </c>
      <c r="H7" s="2">
        <v>0.1414</v>
      </c>
      <c r="I7" s="2">
        <v>0.4</v>
      </c>
      <c r="J7" s="2">
        <v>3</v>
      </c>
      <c r="K7" s="2" t="s">
        <v>544</v>
      </c>
      <c r="L7" s="2">
        <v>0.2</v>
      </c>
      <c r="M7" s="2">
        <v>0.21210000000000001</v>
      </c>
      <c r="N7" s="2">
        <v>5.0999999999999996</v>
      </c>
      <c r="O7" s="2" t="s">
        <v>544</v>
      </c>
      <c r="P7" s="2" t="s">
        <v>544</v>
      </c>
      <c r="Q7" s="2" t="s">
        <v>544</v>
      </c>
      <c r="R7" s="2">
        <v>0.3</v>
      </c>
      <c r="S7" s="2" t="s">
        <v>544</v>
      </c>
      <c r="T7" s="2">
        <v>0.5</v>
      </c>
      <c r="U7" s="2">
        <v>0.1</v>
      </c>
      <c r="V7" s="2" t="s">
        <v>544</v>
      </c>
      <c r="W7" s="2">
        <v>58</v>
      </c>
      <c r="X7" s="2">
        <v>20</v>
      </c>
      <c r="Y7" s="2">
        <v>970</v>
      </c>
      <c r="Z7" s="2">
        <v>170</v>
      </c>
      <c r="AA7" s="2">
        <v>110</v>
      </c>
      <c r="AB7" s="2">
        <v>0.4</v>
      </c>
      <c r="AC7" s="2">
        <v>0.01</v>
      </c>
      <c r="AD7" s="2">
        <v>420</v>
      </c>
      <c r="AE7" s="2">
        <v>6.9999999999999999E-4</v>
      </c>
      <c r="AF7" s="2">
        <v>3.6999999999999998E-2</v>
      </c>
      <c r="AG7" s="2">
        <v>2</v>
      </c>
      <c r="AH7" s="2" t="s">
        <v>544</v>
      </c>
      <c r="AI7" s="2">
        <v>3.5000000000000003E-2</v>
      </c>
      <c r="AJ7" s="2">
        <v>3.6999999999999998E-2</v>
      </c>
      <c r="AK7" s="2">
        <v>0.21</v>
      </c>
      <c r="AL7" s="2">
        <v>1.4100000000000001E-4</v>
      </c>
      <c r="AM7" s="2">
        <v>1E-3</v>
      </c>
      <c r="AN7" s="2">
        <v>0.3</v>
      </c>
      <c r="AO7" s="2"/>
      <c r="AP7" s="2">
        <v>251</v>
      </c>
    </row>
    <row r="8" spans="1:42">
      <c r="A8" s="2" t="s">
        <v>549</v>
      </c>
      <c r="B8" s="2" t="s">
        <v>543</v>
      </c>
      <c r="C8" s="2">
        <v>9.1999999999999993</v>
      </c>
      <c r="D8" s="2">
        <v>4.9496999999999999E-2</v>
      </c>
      <c r="E8" s="2">
        <v>12</v>
      </c>
      <c r="F8" s="2">
        <v>0.6</v>
      </c>
      <c r="G8" s="2" t="s">
        <v>544</v>
      </c>
      <c r="H8" s="2">
        <v>0.1414</v>
      </c>
      <c r="I8" s="2">
        <v>6.3640000000000002E-2</v>
      </c>
      <c r="J8" s="2">
        <v>4.2</v>
      </c>
      <c r="K8" s="2" t="s">
        <v>544</v>
      </c>
      <c r="L8" s="2">
        <v>6.3640000000000002E-2</v>
      </c>
      <c r="M8" s="2">
        <v>0.21210000000000001</v>
      </c>
      <c r="N8" s="2">
        <v>1.9</v>
      </c>
      <c r="O8" s="2" t="s">
        <v>544</v>
      </c>
      <c r="P8" s="2" t="s">
        <v>544</v>
      </c>
      <c r="Q8" s="2" t="s">
        <v>544</v>
      </c>
      <c r="R8" s="2">
        <v>0.2</v>
      </c>
      <c r="S8" s="2" t="s">
        <v>544</v>
      </c>
      <c r="T8" s="2" t="s">
        <v>544</v>
      </c>
      <c r="U8" s="2">
        <v>3.5349999999999999E-2</v>
      </c>
      <c r="V8" s="2" t="s">
        <v>544</v>
      </c>
      <c r="W8" s="2">
        <v>43</v>
      </c>
      <c r="X8" s="2">
        <v>27</v>
      </c>
      <c r="Y8" s="2">
        <v>190</v>
      </c>
      <c r="Z8" s="2">
        <v>53</v>
      </c>
      <c r="AA8" s="2">
        <v>67</v>
      </c>
      <c r="AB8" s="2">
        <v>0.85</v>
      </c>
      <c r="AC8" s="2">
        <v>1.7999999999999999E-2</v>
      </c>
      <c r="AD8" s="2">
        <v>290</v>
      </c>
      <c r="AE8" s="2">
        <v>2E-3</v>
      </c>
      <c r="AF8" s="2">
        <v>3.5000000000000003E-2</v>
      </c>
      <c r="AG8" s="2">
        <v>1.1000000000000001</v>
      </c>
      <c r="AH8" s="2" t="s">
        <v>544</v>
      </c>
      <c r="AI8" s="2">
        <v>2.1000000000000001E-2</v>
      </c>
      <c r="AJ8" s="2">
        <v>3.9E-2</v>
      </c>
      <c r="AK8" s="2">
        <v>6.2E-2</v>
      </c>
      <c r="AL8" s="2">
        <v>1.4100000000000001E-4</v>
      </c>
      <c r="AM8" s="2">
        <v>4.95E-4</v>
      </c>
      <c r="AN8" s="2">
        <v>7.0710999999999996E-2</v>
      </c>
      <c r="AO8" s="2"/>
      <c r="AP8" s="2">
        <v>44</v>
      </c>
    </row>
    <row r="9" spans="1:42">
      <c r="A9" s="2" t="s">
        <v>550</v>
      </c>
      <c r="B9" s="2" t="s">
        <v>543</v>
      </c>
      <c r="C9" s="107">
        <v>0.70699999999999996</v>
      </c>
      <c r="D9" s="2">
        <v>4.9496999999999999E-2</v>
      </c>
      <c r="E9" s="2">
        <v>18</v>
      </c>
      <c r="F9" s="2">
        <v>0.9</v>
      </c>
      <c r="G9" s="2" t="s">
        <v>544</v>
      </c>
      <c r="H9" s="2">
        <v>0.1414</v>
      </c>
      <c r="I9" s="2">
        <v>0.2</v>
      </c>
      <c r="J9" s="2">
        <v>2.7</v>
      </c>
      <c r="K9" s="2" t="s">
        <v>544</v>
      </c>
      <c r="L9" s="2">
        <v>6.3640000000000002E-2</v>
      </c>
      <c r="M9" s="2">
        <v>0.21210000000000001</v>
      </c>
      <c r="N9" s="2">
        <v>1.8</v>
      </c>
      <c r="O9" s="2" t="s">
        <v>544</v>
      </c>
      <c r="P9" s="2" t="s">
        <v>544</v>
      </c>
      <c r="Q9" s="2" t="s">
        <v>544</v>
      </c>
      <c r="R9" s="2">
        <v>0.1</v>
      </c>
      <c r="S9" s="2" t="s">
        <v>544</v>
      </c>
      <c r="T9" s="2" t="s">
        <v>544</v>
      </c>
      <c r="U9" s="2">
        <v>3.5349999999999999E-2</v>
      </c>
      <c r="V9" s="2" t="s">
        <v>544</v>
      </c>
      <c r="W9" s="2">
        <v>68</v>
      </c>
      <c r="X9" s="2">
        <v>30</v>
      </c>
      <c r="Y9" s="2">
        <v>590</v>
      </c>
      <c r="Z9" s="2">
        <v>63</v>
      </c>
      <c r="AA9" s="2">
        <v>47</v>
      </c>
      <c r="AB9" s="2">
        <v>0.21</v>
      </c>
      <c r="AC9" s="2">
        <v>8.9999999999999993E-3</v>
      </c>
      <c r="AD9" s="2">
        <v>470</v>
      </c>
      <c r="AE9" s="2">
        <v>1E-3</v>
      </c>
      <c r="AF9" s="2">
        <v>1.7999999999999999E-2</v>
      </c>
      <c r="AG9" s="2">
        <v>0.71</v>
      </c>
      <c r="AH9" s="2" t="s">
        <v>544</v>
      </c>
      <c r="AI9" s="2">
        <v>9.6000000000000002E-2</v>
      </c>
      <c r="AJ9" s="2">
        <v>4.2000000000000003E-2</v>
      </c>
      <c r="AK9" s="2">
        <v>7.3999999999999996E-2</v>
      </c>
      <c r="AL9" s="2">
        <v>1.4100000000000001E-4</v>
      </c>
      <c r="AM9" s="2">
        <v>4.95E-4</v>
      </c>
      <c r="AN9" s="2">
        <v>0.13</v>
      </c>
      <c r="AO9" s="2"/>
      <c r="AP9" s="2">
        <v>157</v>
      </c>
    </row>
    <row r="10" spans="1:42">
      <c r="A10" s="2" t="s">
        <v>551</v>
      </c>
      <c r="B10" s="2" t="s">
        <v>543</v>
      </c>
      <c r="C10" s="2">
        <v>43</v>
      </c>
      <c r="D10" s="2">
        <v>4.9496999999999999E-2</v>
      </c>
      <c r="E10" s="2">
        <v>2.7</v>
      </c>
      <c r="F10" s="2">
        <v>2.2000000000000002</v>
      </c>
      <c r="G10" s="2" t="s">
        <v>544</v>
      </c>
      <c r="H10" s="2">
        <v>0.1414</v>
      </c>
      <c r="I10" s="2">
        <v>0.09</v>
      </c>
      <c r="J10" s="2">
        <v>2.6</v>
      </c>
      <c r="K10" s="2" t="s">
        <v>544</v>
      </c>
      <c r="L10" s="2">
        <v>0.3</v>
      </c>
      <c r="M10" s="2">
        <v>0.21210000000000001</v>
      </c>
      <c r="N10" s="2">
        <v>3.4</v>
      </c>
      <c r="O10" s="2" t="s">
        <v>544</v>
      </c>
      <c r="P10" s="2" t="s">
        <v>544</v>
      </c>
      <c r="Q10" s="2" t="s">
        <v>544</v>
      </c>
      <c r="R10" s="2">
        <v>7.0000000000000007E-2</v>
      </c>
      <c r="S10" s="2" t="s">
        <v>544</v>
      </c>
      <c r="T10" s="2">
        <v>1.1000000000000001</v>
      </c>
      <c r="U10" s="2">
        <v>0.05</v>
      </c>
      <c r="V10" s="2">
        <v>0.08</v>
      </c>
      <c r="W10" s="2">
        <v>66</v>
      </c>
      <c r="X10" s="2">
        <v>14</v>
      </c>
      <c r="Y10" s="2">
        <v>520</v>
      </c>
      <c r="Z10" s="2">
        <v>140</v>
      </c>
      <c r="AA10" s="2">
        <v>66</v>
      </c>
      <c r="AB10" s="2">
        <v>0.41</v>
      </c>
      <c r="AC10" s="2">
        <v>8.0000000000000002E-3</v>
      </c>
      <c r="AD10" s="2">
        <v>820</v>
      </c>
      <c r="AE10" s="2">
        <v>6.9999999999999999E-4</v>
      </c>
      <c r="AF10" s="2">
        <v>1.4E-2</v>
      </c>
      <c r="AG10" s="2">
        <v>1.3</v>
      </c>
      <c r="AH10" s="2" t="s">
        <v>544</v>
      </c>
      <c r="AI10" s="2">
        <v>4.7E-2</v>
      </c>
      <c r="AJ10" s="2">
        <v>3.3000000000000002E-2</v>
      </c>
      <c r="AK10" s="2">
        <v>0.26</v>
      </c>
      <c r="AL10" s="2">
        <v>1.4100000000000001E-4</v>
      </c>
      <c r="AM10" s="2">
        <v>4.95E-4</v>
      </c>
      <c r="AN10" s="2">
        <v>0.26</v>
      </c>
      <c r="AO10" s="2"/>
      <c r="AP10" s="2">
        <v>123</v>
      </c>
    </row>
    <row r="11" spans="1:42">
      <c r="A11" s="2" t="s">
        <v>552</v>
      </c>
      <c r="B11" s="2" t="s">
        <v>543</v>
      </c>
      <c r="C11" s="2">
        <v>3.2</v>
      </c>
      <c r="D11" s="2">
        <v>0.4</v>
      </c>
      <c r="E11" s="2">
        <v>3.6</v>
      </c>
      <c r="F11" s="2">
        <v>0.6</v>
      </c>
      <c r="G11" s="2" t="s">
        <v>544</v>
      </c>
      <c r="H11" s="2">
        <v>0.1414</v>
      </c>
      <c r="I11" s="2">
        <v>0.2</v>
      </c>
      <c r="J11" s="2">
        <v>3.9</v>
      </c>
      <c r="K11" s="2" t="s">
        <v>544</v>
      </c>
      <c r="L11" s="2">
        <v>0.1</v>
      </c>
      <c r="M11" s="2">
        <v>0.21210000000000001</v>
      </c>
      <c r="N11" s="2">
        <v>5.5</v>
      </c>
      <c r="O11" s="2" t="s">
        <v>544</v>
      </c>
      <c r="P11" s="2" t="s">
        <v>544</v>
      </c>
      <c r="Q11" s="2" t="s">
        <v>544</v>
      </c>
      <c r="R11" s="2">
        <v>0.1</v>
      </c>
      <c r="S11" s="2" t="s">
        <v>544</v>
      </c>
      <c r="T11" s="2">
        <v>0.2</v>
      </c>
      <c r="U11" s="2">
        <v>3.5349999999999999E-2</v>
      </c>
      <c r="V11" s="2" t="s">
        <v>544</v>
      </c>
      <c r="W11" s="2">
        <v>39</v>
      </c>
      <c r="X11" s="2">
        <v>31</v>
      </c>
      <c r="Y11" s="2">
        <v>510</v>
      </c>
      <c r="Z11" s="2">
        <v>87</v>
      </c>
      <c r="AA11" s="2">
        <v>45</v>
      </c>
      <c r="AB11" s="2">
        <v>0.6</v>
      </c>
      <c r="AC11" s="2">
        <v>8.0000000000000002E-3</v>
      </c>
      <c r="AD11" s="2">
        <v>410</v>
      </c>
      <c r="AE11" s="2">
        <v>1E-3</v>
      </c>
      <c r="AF11" s="2">
        <v>2.7E-2</v>
      </c>
      <c r="AG11" s="2">
        <v>0.99</v>
      </c>
      <c r="AH11" s="2" t="s">
        <v>544</v>
      </c>
      <c r="AI11" s="2">
        <v>1.9E-2</v>
      </c>
      <c r="AJ11" s="2">
        <v>5.0999999999999997E-2</v>
      </c>
      <c r="AK11" s="2">
        <v>8.5000000000000006E-2</v>
      </c>
      <c r="AL11" s="2">
        <v>1.4100000000000001E-4</v>
      </c>
      <c r="AM11" s="2">
        <v>4.95E-4</v>
      </c>
      <c r="AN11" s="2">
        <v>0.17</v>
      </c>
      <c r="AO11" s="2"/>
      <c r="AP11" s="2">
        <v>249</v>
      </c>
    </row>
    <row r="12" spans="1:42">
      <c r="A12" s="2" t="s">
        <v>553</v>
      </c>
      <c r="B12" s="2" t="s">
        <v>543</v>
      </c>
      <c r="C12" s="2">
        <v>5</v>
      </c>
      <c r="D12" s="2">
        <v>4.9496999999999999E-2</v>
      </c>
      <c r="E12" s="2">
        <v>3.4</v>
      </c>
      <c r="F12" s="2">
        <v>6.1</v>
      </c>
      <c r="G12" s="2" t="s">
        <v>544</v>
      </c>
      <c r="H12" s="2">
        <v>0.1414</v>
      </c>
      <c r="I12" s="2">
        <v>6.3640000000000002E-2</v>
      </c>
      <c r="J12" s="2">
        <v>6.4</v>
      </c>
      <c r="K12" s="2" t="s">
        <v>544</v>
      </c>
      <c r="L12" s="2">
        <v>0.2</v>
      </c>
      <c r="M12" s="2">
        <v>0.21210000000000001</v>
      </c>
      <c r="N12" s="2">
        <v>6.2</v>
      </c>
      <c r="O12" s="2" t="s">
        <v>544</v>
      </c>
      <c r="P12" s="2" t="s">
        <v>544</v>
      </c>
      <c r="Q12" s="2" t="s">
        <v>544</v>
      </c>
      <c r="R12" s="2">
        <v>0.2</v>
      </c>
      <c r="S12" s="2" t="s">
        <v>544</v>
      </c>
      <c r="T12" s="2">
        <v>0.2</v>
      </c>
      <c r="U12" s="2">
        <v>0.1</v>
      </c>
      <c r="V12" s="2" t="s">
        <v>544</v>
      </c>
      <c r="W12" s="2">
        <v>110</v>
      </c>
      <c r="X12" s="2">
        <v>26</v>
      </c>
      <c r="Y12" s="2">
        <v>610</v>
      </c>
      <c r="Z12" s="2">
        <v>310</v>
      </c>
      <c r="AA12" s="2">
        <v>83</v>
      </c>
      <c r="AB12" s="2">
        <v>0.55000000000000004</v>
      </c>
      <c r="AC12" s="2">
        <v>1.2999999999999999E-2</v>
      </c>
      <c r="AD12" s="2">
        <v>900</v>
      </c>
      <c r="AE12" s="2">
        <v>1E-3</v>
      </c>
      <c r="AF12" s="2">
        <v>4.5999999999999999E-2</v>
      </c>
      <c r="AG12" s="2">
        <v>4.0999999999999996</v>
      </c>
      <c r="AH12" s="2" t="s">
        <v>544</v>
      </c>
      <c r="AI12" s="2">
        <v>5.1999999999999998E-2</v>
      </c>
      <c r="AJ12" s="2">
        <v>4.7E-2</v>
      </c>
      <c r="AK12" s="2">
        <v>0.32</v>
      </c>
      <c r="AL12" s="2">
        <v>4.0000000000000002E-4</v>
      </c>
      <c r="AM12" s="2">
        <v>8.9999999999999998E-4</v>
      </c>
      <c r="AN12" s="2">
        <v>0.57999999999999996</v>
      </c>
      <c r="AO12" s="2"/>
      <c r="AP12" s="2">
        <v>122</v>
      </c>
    </row>
    <row r="13" spans="1:42">
      <c r="A13" s="2" t="s">
        <v>554</v>
      </c>
      <c r="B13" s="2" t="s">
        <v>543</v>
      </c>
      <c r="C13" s="2">
        <v>5.7</v>
      </c>
      <c r="D13" s="2">
        <v>4.9496999999999999E-2</v>
      </c>
      <c r="E13" s="2">
        <v>83</v>
      </c>
      <c r="F13" s="2">
        <v>3</v>
      </c>
      <c r="G13" s="2" t="s">
        <v>544</v>
      </c>
      <c r="H13" s="2">
        <v>8.8000000000000007</v>
      </c>
      <c r="I13" s="2">
        <v>0.3</v>
      </c>
      <c r="J13" s="2">
        <v>6.6</v>
      </c>
      <c r="K13" s="2" t="s">
        <v>544</v>
      </c>
      <c r="L13" s="2">
        <v>0.6</v>
      </c>
      <c r="M13" s="2">
        <v>1.4</v>
      </c>
      <c r="N13" s="2">
        <v>5.7</v>
      </c>
      <c r="O13" s="2" t="s">
        <v>544</v>
      </c>
      <c r="P13" s="2" t="s">
        <v>544</v>
      </c>
      <c r="Q13" s="2" t="s">
        <v>544</v>
      </c>
      <c r="R13" s="2">
        <v>0.4</v>
      </c>
      <c r="S13" s="2" t="s">
        <v>544</v>
      </c>
      <c r="T13" s="2">
        <v>0.3</v>
      </c>
      <c r="U13" s="2">
        <v>3.5349999999999999E-2</v>
      </c>
      <c r="V13" s="2" t="s">
        <v>544</v>
      </c>
      <c r="W13" s="2">
        <v>92</v>
      </c>
      <c r="X13" s="2">
        <v>24</v>
      </c>
      <c r="Y13" s="2">
        <v>560</v>
      </c>
      <c r="Z13" s="2">
        <v>280</v>
      </c>
      <c r="AA13" s="2">
        <v>95</v>
      </c>
      <c r="AB13" s="2">
        <v>0.76</v>
      </c>
      <c r="AC13" s="2">
        <v>0.02</v>
      </c>
      <c r="AD13" s="2">
        <v>830</v>
      </c>
      <c r="AE13" s="2">
        <v>2E-3</v>
      </c>
      <c r="AF13" s="2">
        <v>6.5000000000000002E-2</v>
      </c>
      <c r="AG13" s="2">
        <v>3.8</v>
      </c>
      <c r="AH13" s="2" t="s">
        <v>544</v>
      </c>
      <c r="AI13" s="2">
        <v>0.1</v>
      </c>
      <c r="AJ13" s="2">
        <v>6.6000000000000003E-2</v>
      </c>
      <c r="AK13" s="2">
        <v>0.32</v>
      </c>
      <c r="AL13" s="2">
        <v>1.4100000000000001E-4</v>
      </c>
      <c r="AM13" s="2">
        <v>4.95E-4</v>
      </c>
      <c r="AN13" s="2">
        <v>0.52</v>
      </c>
      <c r="AO13" s="2"/>
      <c r="AP13" s="2">
        <v>46.4</v>
      </c>
    </row>
    <row r="14" spans="1:42">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row>
    <row r="15" spans="1:42">
      <c r="A15" s="2" t="s">
        <v>555</v>
      </c>
      <c r="B15" s="2" t="s">
        <v>543</v>
      </c>
      <c r="C15" s="2">
        <v>3.2</v>
      </c>
      <c r="D15" s="2">
        <v>4.9496999999999999E-2</v>
      </c>
      <c r="E15" s="2">
        <v>4.7</v>
      </c>
      <c r="F15" s="2">
        <v>0.8</v>
      </c>
      <c r="G15" s="2" t="s">
        <v>544</v>
      </c>
      <c r="H15" s="2">
        <v>0.1414</v>
      </c>
      <c r="I15" s="2">
        <v>0.3</v>
      </c>
      <c r="J15" s="2">
        <v>3.5</v>
      </c>
      <c r="K15" s="2" t="s">
        <v>544</v>
      </c>
      <c r="L15" s="2">
        <v>0.2</v>
      </c>
      <c r="M15" s="2">
        <v>0.4</v>
      </c>
      <c r="N15" s="2">
        <v>2</v>
      </c>
      <c r="O15" s="2" t="s">
        <v>544</v>
      </c>
      <c r="P15" s="2" t="s">
        <v>544</v>
      </c>
      <c r="Q15" s="2" t="s">
        <v>544</v>
      </c>
      <c r="R15" s="2">
        <v>0.2</v>
      </c>
      <c r="S15" s="2" t="s">
        <v>544</v>
      </c>
      <c r="T15" s="2">
        <v>0.2</v>
      </c>
      <c r="U15" s="2">
        <v>3.5349999999999999E-2</v>
      </c>
      <c r="V15" s="2" t="s">
        <v>544</v>
      </c>
      <c r="W15" s="2">
        <v>150</v>
      </c>
      <c r="X15" s="2">
        <v>48</v>
      </c>
      <c r="Y15" s="2">
        <v>370</v>
      </c>
      <c r="Z15" s="2">
        <v>50</v>
      </c>
      <c r="AA15" s="2">
        <v>80</v>
      </c>
      <c r="AB15" s="2">
        <v>0.22</v>
      </c>
      <c r="AC15" s="2">
        <v>8.0000000000000002E-3</v>
      </c>
      <c r="AD15" s="2">
        <v>470</v>
      </c>
      <c r="AE15" s="2">
        <v>2E-3</v>
      </c>
      <c r="AF15" s="2">
        <v>0.03</v>
      </c>
      <c r="AG15" s="2">
        <v>1.1000000000000001</v>
      </c>
      <c r="AH15" s="2" t="s">
        <v>544</v>
      </c>
      <c r="AI15" s="2">
        <v>5.0999999999999997E-2</v>
      </c>
      <c r="AJ15" s="2">
        <v>3.7999999999999999E-2</v>
      </c>
      <c r="AK15" s="2">
        <v>8.3000000000000004E-2</v>
      </c>
      <c r="AL15" s="2">
        <v>4.0000000000000002E-4</v>
      </c>
      <c r="AM15" s="2">
        <v>4.95E-4</v>
      </c>
      <c r="AN15" s="2">
        <v>7.0710999999999996E-2</v>
      </c>
      <c r="AO15" s="2"/>
      <c r="AP15" s="2">
        <v>155</v>
      </c>
    </row>
    <row r="16" spans="1:42">
      <c r="A16" s="2" t="s">
        <v>556</v>
      </c>
      <c r="B16" s="2" t="s">
        <v>543</v>
      </c>
      <c r="C16" s="2">
        <v>3.1</v>
      </c>
      <c r="D16" s="2">
        <v>4.9496999999999999E-2</v>
      </c>
      <c r="E16" s="2">
        <v>16</v>
      </c>
      <c r="F16" s="2">
        <v>0.6</v>
      </c>
      <c r="G16" s="2" t="s">
        <v>544</v>
      </c>
      <c r="H16" s="2">
        <v>0.1414</v>
      </c>
      <c r="I16" s="2">
        <v>0.7</v>
      </c>
      <c r="J16" s="2">
        <v>4.8</v>
      </c>
      <c r="K16" s="2" t="s">
        <v>544</v>
      </c>
      <c r="L16" s="2">
        <v>6.3640000000000002E-2</v>
      </c>
      <c r="M16" s="2">
        <v>0.9</v>
      </c>
      <c r="N16" s="2">
        <v>5</v>
      </c>
      <c r="O16" s="2" t="s">
        <v>544</v>
      </c>
      <c r="P16" s="2" t="s">
        <v>544</v>
      </c>
      <c r="Q16" s="2" t="s">
        <v>544</v>
      </c>
      <c r="R16" s="2">
        <v>0.1</v>
      </c>
      <c r="S16" s="2" t="s">
        <v>544</v>
      </c>
      <c r="T16" s="2">
        <v>0.2</v>
      </c>
      <c r="U16" s="2">
        <v>0.1</v>
      </c>
      <c r="V16" s="2" t="s">
        <v>544</v>
      </c>
      <c r="W16" s="2">
        <v>210</v>
      </c>
      <c r="X16" s="2">
        <v>20</v>
      </c>
      <c r="Y16" s="2">
        <v>270</v>
      </c>
      <c r="Z16" s="2">
        <v>160</v>
      </c>
      <c r="AA16" s="2">
        <v>50</v>
      </c>
      <c r="AB16" s="2">
        <v>0.33</v>
      </c>
      <c r="AC16" s="2">
        <v>1.2E-2</v>
      </c>
      <c r="AD16" s="2">
        <v>430</v>
      </c>
      <c r="AE16" s="2">
        <v>8.0000000000000004E-4</v>
      </c>
      <c r="AF16" s="2">
        <v>4.9000000000000002E-2</v>
      </c>
      <c r="AG16" s="2">
        <v>1.2</v>
      </c>
      <c r="AH16" s="2" t="s">
        <v>544</v>
      </c>
      <c r="AI16" s="2">
        <v>4.3999999999999997E-2</v>
      </c>
      <c r="AJ16" s="2">
        <v>5.1999999999999998E-2</v>
      </c>
      <c r="AK16" s="2">
        <v>0.12</v>
      </c>
      <c r="AL16" s="2">
        <v>1.4100000000000001E-4</v>
      </c>
      <c r="AM16" s="2">
        <v>2E-3</v>
      </c>
      <c r="AN16" s="2">
        <v>0.3</v>
      </c>
      <c r="AO16" s="2"/>
      <c r="AP16" s="2">
        <v>57.3</v>
      </c>
    </row>
    <row r="17" spans="1:42">
      <c r="A17" s="2" t="s">
        <v>557</v>
      </c>
      <c r="B17" s="2" t="s">
        <v>543</v>
      </c>
      <c r="C17" s="2">
        <v>2.5</v>
      </c>
      <c r="D17" s="2">
        <v>4.9496999999999999E-2</v>
      </c>
      <c r="E17" s="2">
        <v>8.4</v>
      </c>
      <c r="F17" s="2">
        <v>1.3</v>
      </c>
      <c r="G17" s="2" t="s">
        <v>544</v>
      </c>
      <c r="H17" s="2">
        <v>0.8</v>
      </c>
      <c r="I17" s="2">
        <v>0.1</v>
      </c>
      <c r="J17" s="2">
        <v>1.9</v>
      </c>
      <c r="K17" s="2" t="s">
        <v>544</v>
      </c>
      <c r="L17" s="2">
        <v>6.3640000000000002E-2</v>
      </c>
      <c r="M17" s="2">
        <v>0.5</v>
      </c>
      <c r="N17" s="2">
        <v>1.8</v>
      </c>
      <c r="O17" s="2" t="s">
        <v>544</v>
      </c>
      <c r="P17" s="2" t="s">
        <v>544</v>
      </c>
      <c r="Q17" s="2" t="s">
        <v>544</v>
      </c>
      <c r="R17" s="2">
        <v>0.08</v>
      </c>
      <c r="S17" s="2" t="s">
        <v>544</v>
      </c>
      <c r="T17" s="2">
        <v>0.3</v>
      </c>
      <c r="U17" s="2">
        <v>7.0000000000000007E-2</v>
      </c>
      <c r="V17" s="2" t="s">
        <v>544</v>
      </c>
      <c r="W17" s="2">
        <v>120</v>
      </c>
      <c r="X17" s="2">
        <v>12</v>
      </c>
      <c r="Y17" s="2">
        <v>400</v>
      </c>
      <c r="Z17" s="2">
        <v>89</v>
      </c>
      <c r="AA17" s="2">
        <v>63</v>
      </c>
      <c r="AB17" s="2">
        <v>0.26</v>
      </c>
      <c r="AC17" s="2">
        <v>0.01</v>
      </c>
      <c r="AD17" s="2">
        <v>340</v>
      </c>
      <c r="AE17" s="2">
        <v>5.0000000000000001E-4</v>
      </c>
      <c r="AF17" s="2">
        <v>2.1999999999999999E-2</v>
      </c>
      <c r="AG17" s="2">
        <v>0.65</v>
      </c>
      <c r="AH17" s="2" t="s">
        <v>544</v>
      </c>
      <c r="AI17" s="2">
        <v>4.2999999999999997E-2</v>
      </c>
      <c r="AJ17" s="2">
        <v>0.03</v>
      </c>
      <c r="AK17" s="2">
        <v>0.16</v>
      </c>
      <c r="AL17" s="2">
        <v>2.0000000000000001E-4</v>
      </c>
      <c r="AM17" s="2">
        <v>4.95E-4</v>
      </c>
      <c r="AN17" s="2">
        <v>0.17</v>
      </c>
      <c r="AO17" s="2"/>
      <c r="AP17" s="2">
        <v>112</v>
      </c>
    </row>
    <row r="18" spans="1:42">
      <c r="A18" s="2" t="s">
        <v>558</v>
      </c>
      <c r="B18" s="2" t="s">
        <v>543</v>
      </c>
      <c r="C18" s="2">
        <v>2.4</v>
      </c>
      <c r="D18" s="2">
        <v>4.9496999999999999E-2</v>
      </c>
      <c r="E18" s="2">
        <v>8.3000000000000007</v>
      </c>
      <c r="F18" s="2">
        <v>1.5</v>
      </c>
      <c r="G18" s="2" t="s">
        <v>544</v>
      </c>
      <c r="H18" s="2">
        <v>0.1414</v>
      </c>
      <c r="I18" s="2">
        <v>0.1</v>
      </c>
      <c r="J18" s="2">
        <v>2.9</v>
      </c>
      <c r="K18" s="2" t="s">
        <v>544</v>
      </c>
      <c r="L18" s="2">
        <v>0.1</v>
      </c>
      <c r="M18" s="2">
        <v>0.21210000000000001</v>
      </c>
      <c r="N18" s="2">
        <v>2.2999999999999998</v>
      </c>
      <c r="O18" s="2" t="s">
        <v>544</v>
      </c>
      <c r="P18" s="2" t="s">
        <v>544</v>
      </c>
      <c r="Q18" s="2" t="s">
        <v>544</v>
      </c>
      <c r="R18" s="2">
        <v>0.2</v>
      </c>
      <c r="S18" s="2" t="s">
        <v>544</v>
      </c>
      <c r="T18" s="2">
        <v>0.3</v>
      </c>
      <c r="U18" s="2">
        <v>0.3</v>
      </c>
      <c r="V18" s="2" t="s">
        <v>544</v>
      </c>
      <c r="W18" s="2">
        <v>67</v>
      </c>
      <c r="X18" s="2">
        <v>25</v>
      </c>
      <c r="Y18" s="2">
        <v>780</v>
      </c>
      <c r="Z18" s="2">
        <v>110</v>
      </c>
      <c r="AA18" s="2">
        <v>83</v>
      </c>
      <c r="AB18" s="2">
        <v>0.56999999999999995</v>
      </c>
      <c r="AC18" s="2">
        <v>1.7000000000000001E-2</v>
      </c>
      <c r="AD18" s="2">
        <v>620</v>
      </c>
      <c r="AE18" s="2">
        <v>8.9999999999999998E-4</v>
      </c>
      <c r="AF18" s="2">
        <v>4.1000000000000002E-2</v>
      </c>
      <c r="AG18" s="2">
        <v>1</v>
      </c>
      <c r="AH18" s="2" t="s">
        <v>544</v>
      </c>
      <c r="AI18" s="2">
        <v>3.3000000000000002E-2</v>
      </c>
      <c r="AJ18" s="2">
        <v>6.8000000000000005E-2</v>
      </c>
      <c r="AK18" s="2">
        <v>0.12</v>
      </c>
      <c r="AL18" s="2">
        <v>1.4100000000000001E-4</v>
      </c>
      <c r="AM18" s="2">
        <v>4.95E-4</v>
      </c>
      <c r="AN18" s="2">
        <v>0.22</v>
      </c>
      <c r="AO18" s="2"/>
      <c r="AP18" s="2">
        <v>190</v>
      </c>
    </row>
    <row r="19" spans="1:42">
      <c r="A19" s="2" t="s">
        <v>559</v>
      </c>
      <c r="B19" s="2" t="s">
        <v>543</v>
      </c>
      <c r="C19" s="2">
        <v>2.9</v>
      </c>
      <c r="D19" s="2">
        <v>4.9496999999999999E-2</v>
      </c>
      <c r="E19" s="2">
        <v>4.7</v>
      </c>
      <c r="F19" s="2">
        <v>1.3</v>
      </c>
      <c r="G19" s="2" t="s">
        <v>544</v>
      </c>
      <c r="H19" s="2">
        <v>0.1414</v>
      </c>
      <c r="I19" s="2">
        <v>0.3</v>
      </c>
      <c r="J19" s="2">
        <v>5.8</v>
      </c>
      <c r="K19" s="2" t="s">
        <v>544</v>
      </c>
      <c r="L19" s="2">
        <v>0.2</v>
      </c>
      <c r="M19" s="2">
        <v>0.21210000000000001</v>
      </c>
      <c r="N19" s="2">
        <v>4.3</v>
      </c>
      <c r="O19" s="2" t="s">
        <v>544</v>
      </c>
      <c r="P19" s="2" t="s">
        <v>544</v>
      </c>
      <c r="Q19" s="2" t="s">
        <v>544</v>
      </c>
      <c r="R19" s="2">
        <v>0.1</v>
      </c>
      <c r="S19" s="2" t="s">
        <v>544</v>
      </c>
      <c r="T19" s="2">
        <v>1.1000000000000001</v>
      </c>
      <c r="U19" s="2">
        <v>0.4</v>
      </c>
      <c r="V19" s="2" t="s">
        <v>544</v>
      </c>
      <c r="W19" s="2">
        <v>88</v>
      </c>
      <c r="X19" s="2">
        <v>24</v>
      </c>
      <c r="Y19" s="2">
        <v>640</v>
      </c>
      <c r="Z19" s="2">
        <v>150</v>
      </c>
      <c r="AA19" s="2">
        <v>92</v>
      </c>
      <c r="AB19" s="2">
        <v>0.32</v>
      </c>
      <c r="AC19" s="2">
        <v>0.01</v>
      </c>
      <c r="AD19" s="2">
        <v>630</v>
      </c>
      <c r="AE19" s="2">
        <v>1E-3</v>
      </c>
      <c r="AF19" s="2">
        <v>5.8000000000000003E-2</v>
      </c>
      <c r="AG19" s="2">
        <v>1.7</v>
      </c>
      <c r="AH19" s="2" t="s">
        <v>544</v>
      </c>
      <c r="AI19" s="2">
        <v>0.04</v>
      </c>
      <c r="AJ19" s="2">
        <v>4.5999999999999999E-2</v>
      </c>
      <c r="AK19" s="2">
        <v>0.18</v>
      </c>
      <c r="AL19" s="2">
        <v>1.4100000000000001E-4</v>
      </c>
      <c r="AM19" s="2">
        <v>4.95E-4</v>
      </c>
      <c r="AN19" s="2">
        <v>0.28000000000000003</v>
      </c>
      <c r="AO19" s="2"/>
      <c r="AP19" s="2">
        <v>150</v>
      </c>
    </row>
    <row r="20" spans="1:42">
      <c r="A20" s="2" t="s">
        <v>560</v>
      </c>
      <c r="B20" s="2" t="s">
        <v>543</v>
      </c>
      <c r="C20" s="2">
        <v>5.6</v>
      </c>
      <c r="D20" s="2">
        <v>4.9496999999999999E-2</v>
      </c>
      <c r="E20" s="2">
        <v>9.3000000000000007</v>
      </c>
      <c r="F20" s="2">
        <v>2.5</v>
      </c>
      <c r="G20" s="2" t="s">
        <v>544</v>
      </c>
      <c r="H20" s="2">
        <v>0.1414</v>
      </c>
      <c r="I20" s="2">
        <v>0.09</v>
      </c>
      <c r="J20" s="2">
        <v>2.2000000000000002</v>
      </c>
      <c r="K20" s="2" t="s">
        <v>544</v>
      </c>
      <c r="L20" s="2">
        <v>0.1</v>
      </c>
      <c r="M20" s="2">
        <v>0.4</v>
      </c>
      <c r="N20" s="2">
        <v>3.5</v>
      </c>
      <c r="O20" s="2" t="s">
        <v>544</v>
      </c>
      <c r="P20" s="2" t="s">
        <v>544</v>
      </c>
      <c r="Q20" s="2" t="s">
        <v>544</v>
      </c>
      <c r="R20" s="2">
        <v>7.0000000000000007E-2</v>
      </c>
      <c r="S20" s="2" t="s">
        <v>544</v>
      </c>
      <c r="T20" s="2">
        <v>0.2</v>
      </c>
      <c r="U20" s="2">
        <v>0.09</v>
      </c>
      <c r="V20" s="2" t="s">
        <v>544</v>
      </c>
      <c r="W20" s="2">
        <v>81</v>
      </c>
      <c r="X20" s="2">
        <v>11</v>
      </c>
      <c r="Y20" s="2">
        <v>590</v>
      </c>
      <c r="Z20" s="2">
        <v>150</v>
      </c>
      <c r="AA20" s="2">
        <v>83</v>
      </c>
      <c r="AB20" s="2">
        <v>0.31</v>
      </c>
      <c r="AC20" s="2">
        <v>8.0000000000000002E-3</v>
      </c>
      <c r="AD20" s="2">
        <v>370</v>
      </c>
      <c r="AE20" s="2">
        <v>4.0000000000000002E-4</v>
      </c>
      <c r="AF20" s="2">
        <v>8.5999999999999993E-2</v>
      </c>
      <c r="AG20" s="2">
        <v>0.95</v>
      </c>
      <c r="AH20" s="2" t="s">
        <v>544</v>
      </c>
      <c r="AI20" s="2">
        <v>0.1</v>
      </c>
      <c r="AJ20" s="2">
        <v>3.7999999999999999E-2</v>
      </c>
      <c r="AK20" s="2">
        <v>0.19</v>
      </c>
      <c r="AL20" s="2">
        <v>1.4100000000000001E-4</v>
      </c>
      <c r="AM20" s="2">
        <v>4.95E-4</v>
      </c>
      <c r="AN20" s="2">
        <v>0.28999999999999998</v>
      </c>
      <c r="AO20" s="2"/>
      <c r="AP20" s="2">
        <v>216</v>
      </c>
    </row>
    <row r="22" spans="1:42">
      <c r="A22" s="2" t="s">
        <v>561</v>
      </c>
      <c r="B22" s="2" t="s">
        <v>543</v>
      </c>
      <c r="C22" s="2">
        <v>2</v>
      </c>
      <c r="D22" s="2">
        <v>4.9496999999999999E-2</v>
      </c>
      <c r="E22" s="2">
        <v>5</v>
      </c>
      <c r="F22" s="2">
        <v>0.7</v>
      </c>
      <c r="G22" s="2" t="s">
        <v>544</v>
      </c>
      <c r="H22" s="2">
        <v>0.7</v>
      </c>
      <c r="I22" s="2">
        <v>0.1</v>
      </c>
      <c r="J22" s="2">
        <v>4</v>
      </c>
      <c r="K22" s="2">
        <v>0.08</v>
      </c>
      <c r="L22" s="2">
        <v>0.2</v>
      </c>
      <c r="M22" s="2">
        <v>0.21210000000000001</v>
      </c>
      <c r="N22" s="2">
        <v>2.1</v>
      </c>
      <c r="O22" s="2" t="s">
        <v>544</v>
      </c>
      <c r="P22" s="2" t="s">
        <v>544</v>
      </c>
      <c r="Q22" s="2" t="s">
        <v>544</v>
      </c>
      <c r="R22" s="2">
        <v>0.3</v>
      </c>
      <c r="S22" s="2" t="s">
        <v>544</v>
      </c>
      <c r="T22" s="2">
        <v>0.4</v>
      </c>
      <c r="U22" s="2">
        <v>7.0000000000000007E-2</v>
      </c>
      <c r="V22" s="2" t="s">
        <v>544</v>
      </c>
      <c r="W22" s="2">
        <v>35</v>
      </c>
      <c r="X22" s="2">
        <v>53</v>
      </c>
      <c r="Y22" s="2">
        <v>490</v>
      </c>
      <c r="Z22" s="2">
        <v>61</v>
      </c>
      <c r="AA22" s="2">
        <v>70</v>
      </c>
      <c r="AB22" s="2">
        <v>0.17</v>
      </c>
      <c r="AC22" s="2">
        <v>0.01</v>
      </c>
      <c r="AD22" s="2">
        <v>540</v>
      </c>
      <c r="AE22" s="2">
        <v>2E-3</v>
      </c>
      <c r="AF22" s="2">
        <v>2.1999999999999999E-2</v>
      </c>
      <c r="AG22" s="2">
        <v>2.2000000000000002</v>
      </c>
      <c r="AH22" s="2" t="s">
        <v>544</v>
      </c>
      <c r="AI22" s="2">
        <v>4.2999999999999997E-2</v>
      </c>
      <c r="AJ22" s="2">
        <v>3.7999999999999999E-2</v>
      </c>
      <c r="AK22" s="2">
        <v>9.4E-2</v>
      </c>
      <c r="AL22" s="2">
        <v>1.4100000000000001E-4</v>
      </c>
      <c r="AM22" s="2">
        <v>4.95E-4</v>
      </c>
      <c r="AN22" s="2">
        <v>0.12</v>
      </c>
      <c r="AO22" s="2"/>
      <c r="AP22" s="2">
        <v>210</v>
      </c>
    </row>
    <row r="23" spans="1:42">
      <c r="A23" s="2" t="s">
        <v>562</v>
      </c>
      <c r="B23" s="2" t="s">
        <v>543</v>
      </c>
      <c r="C23" s="2">
        <v>1.9</v>
      </c>
      <c r="D23" s="2">
        <v>4.9496999999999999E-2</v>
      </c>
      <c r="E23" s="2">
        <v>6.3</v>
      </c>
      <c r="F23" s="2">
        <v>1.4</v>
      </c>
      <c r="G23" s="2" t="s">
        <v>544</v>
      </c>
      <c r="H23" s="2">
        <v>0.1414</v>
      </c>
      <c r="I23" s="2">
        <v>6.3640000000000002E-2</v>
      </c>
      <c r="J23" s="2">
        <v>3.5</v>
      </c>
      <c r="K23" s="2" t="s">
        <v>544</v>
      </c>
      <c r="L23" s="2">
        <v>0.4</v>
      </c>
      <c r="M23" s="2">
        <v>0.21210000000000001</v>
      </c>
      <c r="N23" s="2">
        <v>1.9</v>
      </c>
      <c r="O23" s="2" t="s">
        <v>544</v>
      </c>
      <c r="P23" s="2" t="s">
        <v>544</v>
      </c>
      <c r="Q23" s="2" t="s">
        <v>544</v>
      </c>
      <c r="R23" s="2">
        <v>0.2</v>
      </c>
      <c r="S23" s="2" t="s">
        <v>544</v>
      </c>
      <c r="T23" s="2">
        <v>0.3</v>
      </c>
      <c r="U23" s="2">
        <v>3.5349999999999999E-2</v>
      </c>
      <c r="V23" s="2">
        <v>0.1</v>
      </c>
      <c r="W23" s="2">
        <v>140</v>
      </c>
      <c r="X23" s="2">
        <v>18</v>
      </c>
      <c r="Y23" s="2">
        <v>480</v>
      </c>
      <c r="Z23" s="2">
        <v>100</v>
      </c>
      <c r="AA23" s="2">
        <v>74</v>
      </c>
      <c r="AB23" s="2">
        <v>0.35</v>
      </c>
      <c r="AC23" s="2">
        <v>7.0000000000000001E-3</v>
      </c>
      <c r="AD23" s="2">
        <v>610</v>
      </c>
      <c r="AE23" s="2">
        <v>8.0000000000000004E-4</v>
      </c>
      <c r="AF23" s="2">
        <v>0.01</v>
      </c>
      <c r="AG23" s="2">
        <v>1.2</v>
      </c>
      <c r="AH23" s="2" t="s">
        <v>544</v>
      </c>
      <c r="AI23" s="2">
        <v>3.9E-2</v>
      </c>
      <c r="AJ23" s="2">
        <v>5.1999999999999998E-2</v>
      </c>
      <c r="AK23" s="2">
        <v>0.15</v>
      </c>
      <c r="AL23" s="2">
        <v>1.4100000000000001E-4</v>
      </c>
      <c r="AM23" s="2">
        <v>4.95E-4</v>
      </c>
      <c r="AN23" s="2">
        <v>0.2</v>
      </c>
      <c r="AO23" s="2"/>
      <c r="AP23" s="2">
        <v>79.3</v>
      </c>
    </row>
    <row r="24" spans="1:42">
      <c r="A24" s="2" t="s">
        <v>563</v>
      </c>
      <c r="B24" s="2" t="s">
        <v>543</v>
      </c>
      <c r="C24" s="2">
        <v>10</v>
      </c>
      <c r="D24" s="2">
        <v>7.0000000000000007E-2</v>
      </c>
      <c r="E24" s="2">
        <v>3.2</v>
      </c>
      <c r="F24" s="2">
        <v>0.3</v>
      </c>
      <c r="G24" s="2" t="s">
        <v>544</v>
      </c>
      <c r="H24" s="2">
        <v>0.1414</v>
      </c>
      <c r="I24" s="2">
        <v>0.1</v>
      </c>
      <c r="J24" s="2">
        <v>3.2</v>
      </c>
      <c r="K24" s="2" t="s">
        <v>544</v>
      </c>
      <c r="L24" s="2">
        <v>0.09</v>
      </c>
      <c r="M24" s="2">
        <v>0.21210000000000001</v>
      </c>
      <c r="N24" s="2">
        <v>1.1000000000000001</v>
      </c>
      <c r="O24" s="2" t="s">
        <v>544</v>
      </c>
      <c r="P24" s="2" t="s">
        <v>544</v>
      </c>
      <c r="Q24" s="2" t="s">
        <v>544</v>
      </c>
      <c r="R24" s="2">
        <v>0.2</v>
      </c>
      <c r="S24" s="2" t="s">
        <v>544</v>
      </c>
      <c r="T24" s="2">
        <v>0.3</v>
      </c>
      <c r="U24" s="2">
        <v>0.1</v>
      </c>
      <c r="V24" s="2" t="s">
        <v>544</v>
      </c>
      <c r="W24" s="2">
        <v>34</v>
      </c>
      <c r="X24" s="2">
        <v>32</v>
      </c>
      <c r="Y24" s="2">
        <v>370</v>
      </c>
      <c r="Z24" s="2">
        <v>24</v>
      </c>
      <c r="AA24" s="2">
        <v>26</v>
      </c>
      <c r="AB24" s="2">
        <v>8.2000000000000003E-2</v>
      </c>
      <c r="AC24" s="2">
        <v>6.0000000000000001E-3</v>
      </c>
      <c r="AD24" s="2">
        <v>330</v>
      </c>
      <c r="AE24" s="2">
        <v>1E-3</v>
      </c>
      <c r="AF24" s="2">
        <v>5.2999999999999999E-2</v>
      </c>
      <c r="AG24" s="2">
        <v>0.78</v>
      </c>
      <c r="AH24" s="2" t="s">
        <v>544</v>
      </c>
      <c r="AI24" s="2">
        <v>0.04</v>
      </c>
      <c r="AJ24" s="2">
        <v>3.5000000000000003E-2</v>
      </c>
      <c r="AK24" s="2">
        <v>2.9000000000000001E-2</v>
      </c>
      <c r="AL24" s="2">
        <v>1.4100000000000001E-4</v>
      </c>
      <c r="AM24" s="2">
        <v>4.95E-4</v>
      </c>
      <c r="AN24" s="2">
        <v>7.0710999999999996E-2</v>
      </c>
      <c r="AO24" s="2"/>
      <c r="AP24" s="2">
        <v>137</v>
      </c>
    </row>
    <row r="25" spans="1:42">
      <c r="A25" s="2" t="s">
        <v>564</v>
      </c>
      <c r="B25" s="2" t="s">
        <v>543</v>
      </c>
      <c r="C25" s="2">
        <v>6.2</v>
      </c>
      <c r="D25" s="2">
        <v>4.9496999999999999E-2</v>
      </c>
      <c r="E25" s="2">
        <v>3.4</v>
      </c>
      <c r="F25" s="2">
        <v>1.2</v>
      </c>
      <c r="G25" s="2" t="s">
        <v>544</v>
      </c>
      <c r="H25" s="2">
        <v>0.1414</v>
      </c>
      <c r="I25" s="2">
        <v>6.3640000000000002E-2</v>
      </c>
      <c r="J25" s="2">
        <v>4</v>
      </c>
      <c r="K25" s="2" t="s">
        <v>544</v>
      </c>
      <c r="L25" s="2">
        <v>0.2</v>
      </c>
      <c r="M25" s="2">
        <v>0.21210000000000001</v>
      </c>
      <c r="N25" s="2">
        <v>1.8</v>
      </c>
      <c r="O25" s="2" t="s">
        <v>544</v>
      </c>
      <c r="P25" s="2" t="s">
        <v>544</v>
      </c>
      <c r="Q25" s="2" t="s">
        <v>544</v>
      </c>
      <c r="R25" s="2">
        <v>0.2</v>
      </c>
      <c r="S25" s="2" t="s">
        <v>544</v>
      </c>
      <c r="T25" s="2">
        <v>5.2</v>
      </c>
      <c r="U25" s="2">
        <v>0.08</v>
      </c>
      <c r="V25" s="2" t="s">
        <v>544</v>
      </c>
      <c r="W25" s="2">
        <v>45</v>
      </c>
      <c r="X25" s="2">
        <v>21</v>
      </c>
      <c r="Y25" s="2">
        <v>1080</v>
      </c>
      <c r="Z25" s="2">
        <v>98</v>
      </c>
      <c r="AA25" s="2">
        <v>97</v>
      </c>
      <c r="AB25" s="2">
        <v>0.54</v>
      </c>
      <c r="AC25" s="2">
        <v>1.2999999999999999E-2</v>
      </c>
      <c r="AD25" s="2">
        <v>1580</v>
      </c>
      <c r="AE25" s="2">
        <v>5.9999999999999995E-4</v>
      </c>
      <c r="AF25" s="2">
        <v>0.01</v>
      </c>
      <c r="AG25" s="2">
        <v>1.5</v>
      </c>
      <c r="AH25" s="2" t="s">
        <v>544</v>
      </c>
      <c r="AI25" s="2">
        <v>5.0999999999999997E-2</v>
      </c>
      <c r="AJ25" s="2">
        <v>7.0000000000000007E-2</v>
      </c>
      <c r="AK25" s="2">
        <v>0.16</v>
      </c>
      <c r="AL25" s="2">
        <v>1.4100000000000001E-4</v>
      </c>
      <c r="AM25" s="2">
        <v>4.95E-4</v>
      </c>
      <c r="AN25" s="2">
        <v>0.17</v>
      </c>
      <c r="AO25" s="2"/>
      <c r="AP25" s="2">
        <v>129</v>
      </c>
    </row>
    <row r="26" spans="1:42">
      <c r="A26" s="2" t="s">
        <v>565</v>
      </c>
      <c r="B26" s="2" t="s">
        <v>543</v>
      </c>
      <c r="C26" s="2">
        <v>1.8</v>
      </c>
      <c r="D26" s="2">
        <v>4.9496999999999999E-2</v>
      </c>
      <c r="E26" s="2">
        <v>11</v>
      </c>
      <c r="F26" s="2">
        <v>2.7</v>
      </c>
      <c r="G26" s="2" t="s">
        <v>544</v>
      </c>
      <c r="H26" s="2">
        <v>0.1414</v>
      </c>
      <c r="I26" s="2">
        <v>0.2</v>
      </c>
      <c r="J26" s="2">
        <v>3.2</v>
      </c>
      <c r="K26" s="2" t="s">
        <v>544</v>
      </c>
      <c r="L26" s="2">
        <v>0.2</v>
      </c>
      <c r="M26" s="2">
        <v>0.4</v>
      </c>
      <c r="N26" s="2">
        <v>4</v>
      </c>
      <c r="O26" s="2" t="s">
        <v>544</v>
      </c>
      <c r="P26" s="2" t="s">
        <v>544</v>
      </c>
      <c r="Q26" s="2" t="s">
        <v>544</v>
      </c>
      <c r="R26" s="2">
        <v>0.2</v>
      </c>
      <c r="S26" s="2" t="s">
        <v>544</v>
      </c>
      <c r="T26" s="2">
        <v>0.2</v>
      </c>
      <c r="U26" s="2">
        <v>0.06</v>
      </c>
      <c r="V26" s="2" t="s">
        <v>544</v>
      </c>
      <c r="W26" s="2">
        <v>99</v>
      </c>
      <c r="X26" s="2">
        <v>28</v>
      </c>
      <c r="Y26" s="2">
        <v>460</v>
      </c>
      <c r="Z26" s="2">
        <v>190</v>
      </c>
      <c r="AA26" s="2">
        <v>110</v>
      </c>
      <c r="AB26" s="2">
        <v>0.11</v>
      </c>
      <c r="AC26" s="2">
        <v>8.9999999999999993E-3</v>
      </c>
      <c r="AD26" s="2">
        <v>700</v>
      </c>
      <c r="AE26" s="2">
        <v>1E-3</v>
      </c>
      <c r="AF26" s="2">
        <v>1.7000000000000001E-2</v>
      </c>
      <c r="AG26" s="2">
        <v>1.6</v>
      </c>
      <c r="AH26" s="2" t="s">
        <v>544</v>
      </c>
      <c r="AI26" s="2">
        <v>3.3000000000000002E-2</v>
      </c>
      <c r="AJ26" s="2">
        <v>5.5E-2</v>
      </c>
      <c r="AK26" s="2">
        <v>0.22</v>
      </c>
      <c r="AL26" s="2">
        <v>1.4100000000000001E-4</v>
      </c>
      <c r="AM26" s="2">
        <v>1E-3</v>
      </c>
      <c r="AN26" s="2">
        <v>0.35</v>
      </c>
      <c r="AO26" s="2"/>
      <c r="AP26" s="2">
        <v>99.5</v>
      </c>
    </row>
    <row r="27" spans="1:42">
      <c r="A27" s="2" t="s">
        <v>566</v>
      </c>
      <c r="B27" s="2" t="s">
        <v>543</v>
      </c>
      <c r="C27" s="2">
        <v>1.9</v>
      </c>
      <c r="D27" s="2">
        <v>4.9496999999999999E-2</v>
      </c>
      <c r="E27" s="2">
        <v>5.3</v>
      </c>
      <c r="F27" s="2">
        <v>0.4</v>
      </c>
      <c r="G27" s="2" t="s">
        <v>544</v>
      </c>
      <c r="H27" s="2">
        <v>0.1414</v>
      </c>
      <c r="I27" s="2">
        <v>0.1</v>
      </c>
      <c r="J27" s="2">
        <v>1.9</v>
      </c>
      <c r="K27" s="2" t="s">
        <v>544</v>
      </c>
      <c r="L27" s="2">
        <v>6.3640000000000002E-2</v>
      </c>
      <c r="M27" s="2">
        <v>0.21210000000000001</v>
      </c>
      <c r="N27" s="2">
        <v>0.8</v>
      </c>
      <c r="O27" s="2" t="s">
        <v>544</v>
      </c>
      <c r="P27" s="2" t="s">
        <v>544</v>
      </c>
      <c r="Q27" s="2" t="s">
        <v>544</v>
      </c>
      <c r="R27" s="2">
        <v>0.09</v>
      </c>
      <c r="S27" s="2" t="s">
        <v>544</v>
      </c>
      <c r="T27" s="2">
        <v>0.4</v>
      </c>
      <c r="U27" s="2">
        <v>3.5349999999999999E-2</v>
      </c>
      <c r="V27" s="2" t="s">
        <v>544</v>
      </c>
      <c r="W27" s="2">
        <v>78</v>
      </c>
      <c r="X27" s="2">
        <v>15</v>
      </c>
      <c r="Y27" s="2">
        <v>860</v>
      </c>
      <c r="Z27" s="2">
        <v>32</v>
      </c>
      <c r="AA27" s="2">
        <v>69</v>
      </c>
      <c r="AB27" s="2">
        <v>0.28000000000000003</v>
      </c>
      <c r="AC27" s="2">
        <v>8.0000000000000002E-3</v>
      </c>
      <c r="AD27" s="2">
        <v>370</v>
      </c>
      <c r="AE27" s="2">
        <v>5.9999999999999995E-4</v>
      </c>
      <c r="AF27" s="2">
        <v>3.5999999999999997E-2</v>
      </c>
      <c r="AG27" s="2">
        <v>0.82</v>
      </c>
      <c r="AH27" s="2" t="s">
        <v>544</v>
      </c>
      <c r="AI27" s="2">
        <v>4.5999999999999999E-2</v>
      </c>
      <c r="AJ27" s="2">
        <v>3.4000000000000002E-2</v>
      </c>
      <c r="AK27" s="2">
        <v>4.7E-2</v>
      </c>
      <c r="AL27" s="2">
        <v>1.4100000000000001E-4</v>
      </c>
      <c r="AM27" s="2">
        <v>4.95E-4</v>
      </c>
      <c r="AN27" s="2">
        <v>7.0710999999999996E-2</v>
      </c>
      <c r="AO27" s="2"/>
      <c r="AP27" s="2">
        <v>167</v>
      </c>
    </row>
    <row r="28" spans="1:42">
      <c r="A28" s="2" t="s">
        <v>567</v>
      </c>
      <c r="B28" s="2" t="s">
        <v>543</v>
      </c>
      <c r="C28" s="2">
        <v>1.9</v>
      </c>
      <c r="D28" s="2">
        <v>4.9496999999999999E-2</v>
      </c>
      <c r="E28" s="2">
        <v>4.4000000000000004</v>
      </c>
      <c r="F28" s="2">
        <v>2.7</v>
      </c>
      <c r="G28" s="2" t="s">
        <v>544</v>
      </c>
      <c r="H28" s="2">
        <v>0.1414</v>
      </c>
      <c r="I28" s="2">
        <v>6.3640000000000002E-2</v>
      </c>
      <c r="J28" s="2">
        <v>2.6</v>
      </c>
      <c r="K28" s="2" t="s">
        <v>544</v>
      </c>
      <c r="L28" s="2">
        <v>6.3640000000000002E-2</v>
      </c>
      <c r="M28" s="2">
        <v>0.21210000000000001</v>
      </c>
      <c r="N28" s="2">
        <v>2.6</v>
      </c>
      <c r="O28" s="2" t="s">
        <v>544</v>
      </c>
      <c r="P28" s="2" t="s">
        <v>544</v>
      </c>
      <c r="Q28" s="2" t="s">
        <v>544</v>
      </c>
      <c r="R28" s="2">
        <v>0.1</v>
      </c>
      <c r="S28" s="2" t="s">
        <v>544</v>
      </c>
      <c r="T28" s="2">
        <v>0.1</v>
      </c>
      <c r="U28" s="2">
        <v>3.5349999999999999E-2</v>
      </c>
      <c r="V28" s="2" t="s">
        <v>544</v>
      </c>
      <c r="W28" s="2">
        <v>110</v>
      </c>
      <c r="X28" s="2">
        <v>29</v>
      </c>
      <c r="Y28" s="2">
        <v>900</v>
      </c>
      <c r="Z28" s="2">
        <v>81</v>
      </c>
      <c r="AA28" s="2">
        <v>92</v>
      </c>
      <c r="AB28" s="2">
        <v>8.2000000000000003E-2</v>
      </c>
      <c r="AC28" s="2">
        <v>7.0000000000000001E-3</v>
      </c>
      <c r="AD28" s="2">
        <v>500</v>
      </c>
      <c r="AE28" s="2">
        <v>1E-3</v>
      </c>
      <c r="AF28" s="2">
        <v>3.0000000000000001E-3</v>
      </c>
      <c r="AG28" s="2">
        <v>2.2000000000000002</v>
      </c>
      <c r="AH28" s="2" t="s">
        <v>544</v>
      </c>
      <c r="AI28" s="2">
        <v>7.4999999999999997E-2</v>
      </c>
      <c r="AJ28" s="2">
        <v>4.1000000000000002E-2</v>
      </c>
      <c r="AK28" s="2">
        <v>0.15</v>
      </c>
      <c r="AL28" s="2">
        <v>1.4100000000000001E-4</v>
      </c>
      <c r="AM28" s="2">
        <v>4.95E-4</v>
      </c>
      <c r="AN28" s="2">
        <v>0.15</v>
      </c>
      <c r="AO28" s="2"/>
      <c r="AP28" s="2">
        <v>173</v>
      </c>
    </row>
    <row r="29" spans="1:42">
      <c r="A29" s="2" t="s">
        <v>568</v>
      </c>
      <c r="B29" s="2" t="s">
        <v>543</v>
      </c>
      <c r="C29" s="2">
        <v>2.2000000000000002</v>
      </c>
      <c r="D29" s="2">
        <v>4.9496999999999999E-2</v>
      </c>
      <c r="E29" s="2">
        <v>7.4</v>
      </c>
      <c r="F29" s="2">
        <v>2.7</v>
      </c>
      <c r="G29" s="2" t="s">
        <v>544</v>
      </c>
      <c r="H29" s="2">
        <v>0.1414</v>
      </c>
      <c r="I29" s="2">
        <v>0.2</v>
      </c>
      <c r="J29" s="2">
        <v>3.7</v>
      </c>
      <c r="K29" s="2" t="s">
        <v>544</v>
      </c>
      <c r="L29" s="2">
        <v>0.3</v>
      </c>
      <c r="M29" s="2">
        <v>0.21210000000000001</v>
      </c>
      <c r="N29" s="2">
        <v>1.8</v>
      </c>
      <c r="O29" s="2" t="s">
        <v>544</v>
      </c>
      <c r="P29" s="2" t="s">
        <v>544</v>
      </c>
      <c r="Q29" s="2" t="s">
        <v>544</v>
      </c>
      <c r="R29" s="2">
        <v>0.2</v>
      </c>
      <c r="S29" s="2" t="s">
        <v>544</v>
      </c>
      <c r="T29" s="2">
        <v>0.6</v>
      </c>
      <c r="U29" s="2">
        <v>3.5349999999999999E-2</v>
      </c>
      <c r="V29" s="2" t="s">
        <v>544</v>
      </c>
      <c r="W29" s="2">
        <v>73</v>
      </c>
      <c r="X29" s="2">
        <v>32</v>
      </c>
      <c r="Y29" s="2">
        <v>560</v>
      </c>
      <c r="Z29" s="2">
        <v>84</v>
      </c>
      <c r="AA29" s="2">
        <v>35</v>
      </c>
      <c r="AB29" s="2">
        <v>0.23</v>
      </c>
      <c r="AC29" s="2">
        <v>1.0999999999999999E-2</v>
      </c>
      <c r="AD29" s="2">
        <v>510</v>
      </c>
      <c r="AE29" s="2">
        <v>1E-3</v>
      </c>
      <c r="AF29" s="2">
        <v>3.1E-2</v>
      </c>
      <c r="AG29" s="2">
        <v>1.3</v>
      </c>
      <c r="AH29" s="2" t="s">
        <v>544</v>
      </c>
      <c r="AI29" s="2">
        <v>6.8000000000000005E-2</v>
      </c>
      <c r="AJ29" s="2">
        <v>4.7E-2</v>
      </c>
      <c r="AK29" s="2">
        <v>0.18</v>
      </c>
      <c r="AL29" s="2">
        <v>1.4100000000000001E-4</v>
      </c>
      <c r="AM29" s="2">
        <v>4.95E-4</v>
      </c>
      <c r="AN29" s="2">
        <v>0.16</v>
      </c>
      <c r="AO29" s="2"/>
      <c r="AP29" s="2">
        <v>149</v>
      </c>
    </row>
    <row r="30" spans="1:42">
      <c r="A30" s="2" t="s">
        <v>569</v>
      </c>
      <c r="B30" s="2" t="s">
        <v>543</v>
      </c>
      <c r="C30" s="2">
        <v>1.9</v>
      </c>
      <c r="D30" s="2">
        <v>4.9496999999999999E-2</v>
      </c>
      <c r="E30" s="2">
        <v>6.8</v>
      </c>
      <c r="F30" s="2">
        <v>0.3</v>
      </c>
      <c r="G30" s="2" t="s">
        <v>544</v>
      </c>
      <c r="H30" s="2">
        <v>0.1414</v>
      </c>
      <c r="I30" s="2">
        <v>0.1</v>
      </c>
      <c r="J30" s="2">
        <v>3.9</v>
      </c>
      <c r="K30" s="2" t="s">
        <v>544</v>
      </c>
      <c r="L30" s="2">
        <v>0.09</v>
      </c>
      <c r="M30" s="2">
        <v>0.21210000000000001</v>
      </c>
      <c r="N30" s="2">
        <v>1.9</v>
      </c>
      <c r="O30" s="2" t="s">
        <v>544</v>
      </c>
      <c r="P30" s="2" t="s">
        <v>544</v>
      </c>
      <c r="Q30" s="2" t="s">
        <v>544</v>
      </c>
      <c r="R30" s="2">
        <v>0.1</v>
      </c>
      <c r="S30" s="2" t="s">
        <v>544</v>
      </c>
      <c r="T30" s="2">
        <v>0.1</v>
      </c>
      <c r="U30" s="2">
        <v>0.1</v>
      </c>
      <c r="V30" s="2" t="s">
        <v>544</v>
      </c>
      <c r="W30" s="2">
        <v>98</v>
      </c>
      <c r="X30" s="2">
        <v>25</v>
      </c>
      <c r="Y30" s="2">
        <v>330</v>
      </c>
      <c r="Z30" s="2">
        <v>29</v>
      </c>
      <c r="AA30" s="2">
        <v>72</v>
      </c>
      <c r="AB30" s="2">
        <v>5.7000000000000002E-2</v>
      </c>
      <c r="AC30" s="2">
        <v>8.9999999999999993E-3</v>
      </c>
      <c r="AD30" s="2">
        <v>540</v>
      </c>
      <c r="AE30" s="2">
        <v>8.9999999999999998E-4</v>
      </c>
      <c r="AF30" s="2">
        <v>0.03</v>
      </c>
      <c r="AG30" s="2">
        <v>1.4</v>
      </c>
      <c r="AH30" s="2" t="s">
        <v>544</v>
      </c>
      <c r="AI30" s="2">
        <v>2.5999999999999999E-2</v>
      </c>
      <c r="AJ30" s="2">
        <v>0.04</v>
      </c>
      <c r="AK30" s="2">
        <v>3.5999999999999997E-2</v>
      </c>
      <c r="AL30" s="2">
        <v>1.4100000000000001E-4</v>
      </c>
      <c r="AM30" s="2">
        <v>4.95E-4</v>
      </c>
      <c r="AN30" s="2">
        <v>7.0710999999999996E-2</v>
      </c>
      <c r="AO30" s="2"/>
      <c r="AP30" s="2">
        <v>139</v>
      </c>
    </row>
    <row r="31" spans="1:42">
      <c r="A31" s="2" t="s">
        <v>570</v>
      </c>
      <c r="B31" s="2" t="s">
        <v>543</v>
      </c>
      <c r="C31" s="2">
        <v>2.2999999999999998</v>
      </c>
      <c r="D31" s="2">
        <v>4.9496999999999999E-2</v>
      </c>
      <c r="E31" s="2">
        <v>1.909</v>
      </c>
      <c r="F31" s="2">
        <v>1.1000000000000001</v>
      </c>
      <c r="G31" s="2" t="s">
        <v>544</v>
      </c>
      <c r="H31" s="2">
        <v>0.1414</v>
      </c>
      <c r="I31" s="2">
        <v>6.3640000000000002E-2</v>
      </c>
      <c r="J31" s="2">
        <v>2</v>
      </c>
      <c r="K31" s="2" t="s">
        <v>544</v>
      </c>
      <c r="L31" s="2">
        <v>0.1</v>
      </c>
      <c r="M31" s="2">
        <v>0.21210000000000001</v>
      </c>
      <c r="N31" s="2">
        <v>2.8</v>
      </c>
      <c r="O31" s="2" t="s">
        <v>544</v>
      </c>
      <c r="P31" s="2" t="s">
        <v>544</v>
      </c>
      <c r="Q31" s="2" t="s">
        <v>544</v>
      </c>
      <c r="R31" s="2">
        <v>0.1</v>
      </c>
      <c r="S31" s="2" t="s">
        <v>544</v>
      </c>
      <c r="T31" s="2">
        <v>7.0000000000000007E-2</v>
      </c>
      <c r="U31" s="2">
        <v>0.05</v>
      </c>
      <c r="V31" s="2" t="s">
        <v>544</v>
      </c>
      <c r="W31" s="2">
        <v>110</v>
      </c>
      <c r="X31" s="2">
        <v>29</v>
      </c>
      <c r="Y31" s="2">
        <v>460</v>
      </c>
      <c r="Z31" s="2">
        <v>75</v>
      </c>
      <c r="AA31" s="2">
        <v>76</v>
      </c>
      <c r="AB31" s="2">
        <v>0.15</v>
      </c>
      <c r="AC31" s="2">
        <v>8.0000000000000002E-3</v>
      </c>
      <c r="AD31" s="2">
        <v>480</v>
      </c>
      <c r="AE31" s="2">
        <v>1E-3</v>
      </c>
      <c r="AF31" s="2">
        <v>5.3999999999999999E-2</v>
      </c>
      <c r="AG31" s="2">
        <v>0.84</v>
      </c>
      <c r="AH31" s="2" t="s">
        <v>544</v>
      </c>
      <c r="AI31" s="2">
        <v>3.5000000000000003E-2</v>
      </c>
      <c r="AJ31" s="2">
        <v>5.2999999999999999E-2</v>
      </c>
      <c r="AK31" s="2">
        <v>8.5999999999999993E-2</v>
      </c>
      <c r="AL31" s="2">
        <v>2.0000000000000001E-4</v>
      </c>
      <c r="AM31" s="2">
        <v>4.95E-4</v>
      </c>
      <c r="AN31" s="2">
        <v>0.16</v>
      </c>
      <c r="AO31" s="2"/>
      <c r="AP31" s="2">
        <v>121</v>
      </c>
    </row>
    <row r="32" spans="1:4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row>
    <row r="33" spans="1:42">
      <c r="A33" s="2" t="s">
        <v>571</v>
      </c>
      <c r="B33" s="2" t="s">
        <v>543</v>
      </c>
      <c r="C33" s="2">
        <v>2.5</v>
      </c>
      <c r="D33" s="2">
        <v>4.9496999999999999E-2</v>
      </c>
      <c r="E33" s="2">
        <v>19</v>
      </c>
      <c r="F33" s="2">
        <v>1.5</v>
      </c>
      <c r="G33" s="2" t="s">
        <v>544</v>
      </c>
      <c r="H33" s="2">
        <v>0.1414</v>
      </c>
      <c r="I33" s="2">
        <v>6.3640000000000002E-2</v>
      </c>
      <c r="J33" s="2">
        <v>6.3</v>
      </c>
      <c r="K33" s="2" t="s">
        <v>544</v>
      </c>
      <c r="L33" s="2">
        <v>0.4</v>
      </c>
      <c r="M33" s="2">
        <v>0.21210000000000001</v>
      </c>
      <c r="N33" s="2">
        <v>6.9</v>
      </c>
      <c r="O33" s="2" t="s">
        <v>544</v>
      </c>
      <c r="P33" s="2" t="s">
        <v>544</v>
      </c>
      <c r="Q33" s="2" t="s">
        <v>544</v>
      </c>
      <c r="R33" s="2">
        <v>0.3</v>
      </c>
      <c r="S33" s="2" t="s">
        <v>544</v>
      </c>
      <c r="T33" s="2">
        <v>0.5</v>
      </c>
      <c r="U33" s="2">
        <v>3.5349999999999999E-2</v>
      </c>
      <c r="V33" s="2" t="s">
        <v>544</v>
      </c>
      <c r="W33" s="2">
        <v>310</v>
      </c>
      <c r="X33" s="2">
        <v>60</v>
      </c>
      <c r="Y33" s="2">
        <v>860</v>
      </c>
      <c r="Z33" s="2">
        <v>210</v>
      </c>
      <c r="AA33" s="2">
        <v>99</v>
      </c>
      <c r="AB33" s="2">
        <v>0.12</v>
      </c>
      <c r="AC33" s="2">
        <v>1.2999999999999999E-2</v>
      </c>
      <c r="AD33" s="2">
        <v>470</v>
      </c>
      <c r="AE33" s="2">
        <v>2E-3</v>
      </c>
      <c r="AF33" s="2">
        <v>9.9000000000000005E-2</v>
      </c>
      <c r="AG33" s="2">
        <v>2.8</v>
      </c>
      <c r="AH33" s="2" t="s">
        <v>544</v>
      </c>
      <c r="AI33" s="2">
        <v>9.0999999999999998E-2</v>
      </c>
      <c r="AJ33" s="2">
        <v>0.06</v>
      </c>
      <c r="AK33" s="2">
        <v>0.21</v>
      </c>
      <c r="AL33" s="2">
        <v>5.0000000000000001E-4</v>
      </c>
      <c r="AM33" s="2">
        <v>4.95E-4</v>
      </c>
      <c r="AN33" s="2">
        <v>0.43</v>
      </c>
      <c r="AO33" s="2"/>
      <c r="AP33" s="2">
        <v>42.9</v>
      </c>
    </row>
    <row r="34" spans="1:42">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row>
    <row r="35" spans="1:42">
      <c r="A35" s="2" t="s">
        <v>572</v>
      </c>
      <c r="B35" s="2" t="s">
        <v>543</v>
      </c>
      <c r="C35" s="2">
        <v>6</v>
      </c>
      <c r="D35" s="2">
        <v>4.9496999999999999E-2</v>
      </c>
      <c r="E35" s="2">
        <v>11</v>
      </c>
      <c r="F35" s="2">
        <v>2.8</v>
      </c>
      <c r="G35" s="2" t="s">
        <v>544</v>
      </c>
      <c r="H35" s="2">
        <v>0.1414</v>
      </c>
      <c r="I35" s="2">
        <v>0.2</v>
      </c>
      <c r="J35" s="2">
        <v>2.5</v>
      </c>
      <c r="K35" s="2" t="s">
        <v>544</v>
      </c>
      <c r="L35" s="2">
        <v>0.2</v>
      </c>
      <c r="M35" s="2">
        <v>0.21210000000000001</v>
      </c>
      <c r="N35" s="2">
        <v>6.5</v>
      </c>
      <c r="O35" s="2" t="s">
        <v>544</v>
      </c>
      <c r="P35" s="2" t="s">
        <v>544</v>
      </c>
      <c r="Q35" s="2" t="s">
        <v>544</v>
      </c>
      <c r="R35" s="2">
        <v>0.09</v>
      </c>
      <c r="S35" s="2" t="s">
        <v>544</v>
      </c>
      <c r="T35" s="2">
        <v>0.4</v>
      </c>
      <c r="U35" s="2">
        <v>0.09</v>
      </c>
      <c r="V35" s="2" t="s">
        <v>544</v>
      </c>
      <c r="W35" s="2">
        <v>100</v>
      </c>
      <c r="X35" s="2">
        <v>10</v>
      </c>
      <c r="Y35" s="2">
        <v>860</v>
      </c>
      <c r="Z35" s="2">
        <v>240</v>
      </c>
      <c r="AA35" s="2">
        <v>110</v>
      </c>
      <c r="AB35" s="2">
        <v>0.42</v>
      </c>
      <c r="AC35" s="2">
        <v>1.0999999999999999E-2</v>
      </c>
      <c r="AD35" s="2">
        <v>790</v>
      </c>
      <c r="AE35" s="2">
        <v>5.9999999999999995E-4</v>
      </c>
      <c r="AF35" s="2">
        <v>3.1E-2</v>
      </c>
      <c r="AG35" s="2">
        <v>1.1000000000000001</v>
      </c>
      <c r="AH35" s="2" t="s">
        <v>544</v>
      </c>
      <c r="AI35" s="2">
        <v>0.16</v>
      </c>
      <c r="AJ35" s="2">
        <v>4.8000000000000001E-2</v>
      </c>
      <c r="AK35" s="2">
        <v>0.24</v>
      </c>
      <c r="AL35" s="2">
        <v>2.0000000000000001E-4</v>
      </c>
      <c r="AM35" s="2">
        <v>3.0000000000000001E-3</v>
      </c>
      <c r="AN35" s="2">
        <v>0.45</v>
      </c>
      <c r="AO35" s="2"/>
      <c r="AP35" s="2">
        <v>96.3</v>
      </c>
    </row>
    <row r="36" spans="1:42">
      <c r="A36" s="2" t="s">
        <v>573</v>
      </c>
      <c r="B36" s="2" t="s">
        <v>543</v>
      </c>
      <c r="C36" s="2">
        <v>6.1</v>
      </c>
      <c r="D36" s="2">
        <v>4.9496999999999999E-2</v>
      </c>
      <c r="E36" s="2">
        <v>8</v>
      </c>
      <c r="F36" s="2">
        <v>3.5</v>
      </c>
      <c r="G36" s="2" t="s">
        <v>544</v>
      </c>
      <c r="H36" s="2">
        <v>0.1414</v>
      </c>
      <c r="I36" s="2">
        <v>6.3640000000000002E-2</v>
      </c>
      <c r="J36" s="2">
        <v>2.1</v>
      </c>
      <c r="K36" s="2" t="s">
        <v>544</v>
      </c>
      <c r="L36" s="2">
        <v>6.3640000000000002E-2</v>
      </c>
      <c r="M36" s="2">
        <v>0.21210000000000001</v>
      </c>
      <c r="N36" s="2">
        <v>3.7</v>
      </c>
      <c r="O36" s="2" t="s">
        <v>544</v>
      </c>
      <c r="P36" s="2" t="s">
        <v>544</v>
      </c>
      <c r="Q36" s="2" t="s">
        <v>544</v>
      </c>
      <c r="R36" s="2">
        <v>3.5349999999999999E-2</v>
      </c>
      <c r="S36" s="2" t="s">
        <v>544</v>
      </c>
      <c r="T36" s="2">
        <v>0.2</v>
      </c>
      <c r="U36" s="2">
        <v>0.4</v>
      </c>
      <c r="V36" s="2" t="s">
        <v>544</v>
      </c>
      <c r="W36" s="2">
        <v>57</v>
      </c>
      <c r="X36" s="2">
        <v>10</v>
      </c>
      <c r="Y36" s="2">
        <v>310</v>
      </c>
      <c r="Z36" s="2">
        <v>200</v>
      </c>
      <c r="AA36" s="2">
        <v>110</v>
      </c>
      <c r="AB36" s="2">
        <v>0.25</v>
      </c>
      <c r="AC36" s="2">
        <v>8.0000000000000002E-3</v>
      </c>
      <c r="AD36" s="2">
        <v>430</v>
      </c>
      <c r="AE36" s="2">
        <v>2.8284271247461902E-4</v>
      </c>
      <c r="AF36" s="2">
        <v>9.5000000000000001E-2</v>
      </c>
      <c r="AG36" s="2">
        <v>1.7</v>
      </c>
      <c r="AH36" s="2" t="s">
        <v>544</v>
      </c>
      <c r="AI36" s="2">
        <v>4.3999999999999997E-2</v>
      </c>
      <c r="AJ36" s="2">
        <v>0.04</v>
      </c>
      <c r="AK36" s="2">
        <v>0.2</v>
      </c>
      <c r="AL36" s="2">
        <v>1.4100000000000001E-4</v>
      </c>
      <c r="AM36" s="2">
        <v>4.95E-4</v>
      </c>
      <c r="AN36" s="2">
        <v>0.37</v>
      </c>
      <c r="AO36" s="2"/>
      <c r="AP36" s="2">
        <v>50.2</v>
      </c>
    </row>
    <row r="37" spans="1:42">
      <c r="A37" s="2" t="s">
        <v>574</v>
      </c>
      <c r="B37" s="2" t="s">
        <v>543</v>
      </c>
      <c r="C37" s="2">
        <v>7.1</v>
      </c>
      <c r="D37" s="2">
        <v>4.9496999999999999E-2</v>
      </c>
      <c r="E37" s="2">
        <v>3.6</v>
      </c>
      <c r="F37" s="2">
        <v>1.1000000000000001</v>
      </c>
      <c r="G37" s="2" t="s">
        <v>544</v>
      </c>
      <c r="H37" s="2">
        <v>0.1414</v>
      </c>
      <c r="I37" s="2">
        <v>0.1</v>
      </c>
      <c r="J37" s="2">
        <v>2.6</v>
      </c>
      <c r="K37" s="2" t="s">
        <v>544</v>
      </c>
      <c r="L37" s="2">
        <v>0.2</v>
      </c>
      <c r="M37" s="2">
        <v>0.21210000000000001</v>
      </c>
      <c r="N37" s="2">
        <v>4.0999999999999996</v>
      </c>
      <c r="O37" s="2" t="s">
        <v>544</v>
      </c>
      <c r="P37" s="2" t="s">
        <v>544</v>
      </c>
      <c r="Q37" s="2" t="s">
        <v>544</v>
      </c>
      <c r="R37" s="2">
        <v>0.06</v>
      </c>
      <c r="S37" s="2" t="s">
        <v>544</v>
      </c>
      <c r="T37" s="2">
        <v>0.4</v>
      </c>
      <c r="U37" s="2">
        <v>0.1</v>
      </c>
      <c r="V37" s="2" t="s">
        <v>544</v>
      </c>
      <c r="W37" s="2">
        <v>93</v>
      </c>
      <c r="X37" s="2">
        <v>25</v>
      </c>
      <c r="Y37" s="2">
        <v>730</v>
      </c>
      <c r="Z37" s="2">
        <v>100</v>
      </c>
      <c r="AA37" s="2">
        <v>84</v>
      </c>
      <c r="AB37" s="2">
        <v>0.23</v>
      </c>
      <c r="AC37" s="2">
        <v>7.0000000000000001E-3</v>
      </c>
      <c r="AD37" s="2">
        <v>350</v>
      </c>
      <c r="AE37" s="2">
        <v>8.9999999999999998E-4</v>
      </c>
      <c r="AF37" s="2">
        <v>4.3999999999999997E-2</v>
      </c>
      <c r="AG37" s="2">
        <v>1.5</v>
      </c>
      <c r="AH37" s="2" t="s">
        <v>544</v>
      </c>
      <c r="AI37" s="2">
        <v>0.13</v>
      </c>
      <c r="AJ37" s="2">
        <v>2.8000000000000001E-2</v>
      </c>
      <c r="AK37" s="2">
        <v>0.12</v>
      </c>
      <c r="AL37" s="2">
        <v>1.4100000000000001E-4</v>
      </c>
      <c r="AM37" s="2">
        <v>4.95E-4</v>
      </c>
      <c r="AN37" s="2">
        <v>0.2</v>
      </c>
      <c r="AO37" s="2"/>
      <c r="AP37" s="2">
        <v>207</v>
      </c>
    </row>
    <row r="38" spans="1:42">
      <c r="A38" s="2" t="s">
        <v>575</v>
      </c>
      <c r="B38" s="2" t="s">
        <v>543</v>
      </c>
      <c r="C38" s="2">
        <v>3.1</v>
      </c>
      <c r="D38" s="2">
        <v>4.9496999999999999E-2</v>
      </c>
      <c r="E38" s="2">
        <v>5.2</v>
      </c>
      <c r="F38" s="2">
        <v>0.8</v>
      </c>
      <c r="G38" s="2" t="s">
        <v>544</v>
      </c>
      <c r="H38" s="2">
        <v>0.1414</v>
      </c>
      <c r="I38" s="2">
        <v>6.3640000000000002E-2</v>
      </c>
      <c r="J38" s="2">
        <v>3.9</v>
      </c>
      <c r="K38" s="2" t="s">
        <v>544</v>
      </c>
      <c r="L38" s="2">
        <v>0.2</v>
      </c>
      <c r="M38" s="2">
        <v>0.21210000000000001</v>
      </c>
      <c r="N38" s="2">
        <v>2.1</v>
      </c>
      <c r="O38" s="2" t="s">
        <v>544</v>
      </c>
      <c r="P38" s="2" t="s">
        <v>544</v>
      </c>
      <c r="Q38" s="2" t="s">
        <v>544</v>
      </c>
      <c r="R38" s="2">
        <v>0.1</v>
      </c>
      <c r="S38" s="2" t="s">
        <v>544</v>
      </c>
      <c r="T38" s="2">
        <v>0.7</v>
      </c>
      <c r="U38" s="2">
        <v>3.5349999999999999E-2</v>
      </c>
      <c r="V38" s="2" t="s">
        <v>544</v>
      </c>
      <c r="W38" s="2">
        <v>100</v>
      </c>
      <c r="X38" s="2">
        <v>25</v>
      </c>
      <c r="Y38" s="2">
        <v>550</v>
      </c>
      <c r="Z38" s="2">
        <v>100</v>
      </c>
      <c r="AA38" s="2">
        <v>51</v>
      </c>
      <c r="AB38" s="2">
        <v>0.2</v>
      </c>
      <c r="AC38" s="2">
        <v>0.01</v>
      </c>
      <c r="AD38" s="2">
        <v>820</v>
      </c>
      <c r="AE38" s="2">
        <v>1E-3</v>
      </c>
      <c r="AF38" s="2">
        <v>1.4999999999999999E-2</v>
      </c>
      <c r="AG38" s="2">
        <v>1.2</v>
      </c>
      <c r="AH38" s="2" t="s">
        <v>544</v>
      </c>
      <c r="AI38" s="2">
        <v>8.5999999999999993E-2</v>
      </c>
      <c r="AJ38" s="2">
        <v>6.4000000000000001E-2</v>
      </c>
      <c r="AK38" s="2">
        <v>0.17</v>
      </c>
      <c r="AL38" s="2">
        <v>1.4100000000000001E-4</v>
      </c>
      <c r="AM38" s="2">
        <v>4.95E-4</v>
      </c>
      <c r="AN38" s="2">
        <v>0.2</v>
      </c>
      <c r="AO38" s="2"/>
      <c r="AP38" s="2">
        <v>60.1</v>
      </c>
    </row>
    <row r="39" spans="1:42">
      <c r="A39" s="2" t="s">
        <v>576</v>
      </c>
      <c r="B39" s="2" t="s">
        <v>543</v>
      </c>
      <c r="C39" s="2">
        <v>3.8</v>
      </c>
      <c r="D39" s="2">
        <v>4.9496999999999999E-2</v>
      </c>
      <c r="E39" s="2">
        <v>11</v>
      </c>
      <c r="F39" s="2">
        <v>0.8</v>
      </c>
      <c r="G39" s="2" t="s">
        <v>544</v>
      </c>
      <c r="H39" s="2">
        <v>0.1414</v>
      </c>
      <c r="I39" s="2">
        <v>0.2</v>
      </c>
      <c r="J39" s="2">
        <v>2</v>
      </c>
      <c r="K39" s="2" t="s">
        <v>544</v>
      </c>
      <c r="L39" s="2">
        <v>0.1</v>
      </c>
      <c r="M39" s="2">
        <v>0.21210000000000001</v>
      </c>
      <c r="N39" s="2">
        <v>1.4</v>
      </c>
      <c r="O39" s="2" t="s">
        <v>544</v>
      </c>
      <c r="P39" s="2" t="s">
        <v>544</v>
      </c>
      <c r="Q39" s="2" t="s">
        <v>544</v>
      </c>
      <c r="R39" s="2">
        <v>0.06</v>
      </c>
      <c r="S39" s="2" t="s">
        <v>544</v>
      </c>
      <c r="T39" s="2">
        <v>1.5</v>
      </c>
      <c r="U39" s="2">
        <v>0.2</v>
      </c>
      <c r="V39" s="2" t="s">
        <v>544</v>
      </c>
      <c r="W39" s="2">
        <v>52</v>
      </c>
      <c r="X39" s="2">
        <v>21</v>
      </c>
      <c r="Y39" s="2">
        <v>730</v>
      </c>
      <c r="Z39" s="2">
        <v>66</v>
      </c>
      <c r="AA39" s="2">
        <v>33</v>
      </c>
      <c r="AB39" s="2">
        <v>0.16</v>
      </c>
      <c r="AC39" s="2">
        <v>8.0000000000000002E-3</v>
      </c>
      <c r="AD39" s="2">
        <v>310</v>
      </c>
      <c r="AE39" s="2">
        <v>5.9999999999999995E-4</v>
      </c>
      <c r="AF39" s="2">
        <v>2.4E-2</v>
      </c>
      <c r="AG39" s="2">
        <v>0.91</v>
      </c>
      <c r="AH39" s="2" t="s">
        <v>544</v>
      </c>
      <c r="AI39" s="2">
        <v>3.5000000000000003E-2</v>
      </c>
      <c r="AJ39" s="2">
        <v>3.5999999999999997E-2</v>
      </c>
      <c r="AK39" s="2">
        <v>8.7999999999999995E-2</v>
      </c>
      <c r="AL39" s="2">
        <v>1.4100000000000001E-4</v>
      </c>
      <c r="AM39" s="2">
        <v>4.95E-4</v>
      </c>
      <c r="AN39" s="2">
        <v>0.12</v>
      </c>
      <c r="AO39" s="2"/>
      <c r="AP39" s="2">
        <v>240</v>
      </c>
    </row>
    <row r="40" spans="1:42">
      <c r="A40" s="2" t="s">
        <v>577</v>
      </c>
      <c r="B40" s="2" t="s">
        <v>543</v>
      </c>
      <c r="C40" s="2">
        <v>2.6</v>
      </c>
      <c r="D40" s="2">
        <v>4.9496999999999999E-2</v>
      </c>
      <c r="E40" s="2">
        <v>6.9</v>
      </c>
      <c r="F40" s="2">
        <v>0.6</v>
      </c>
      <c r="G40" s="2" t="s">
        <v>544</v>
      </c>
      <c r="H40" s="2">
        <v>0.1414</v>
      </c>
      <c r="I40" s="2">
        <v>0.3</v>
      </c>
      <c r="J40" s="2">
        <v>2.8</v>
      </c>
      <c r="K40" s="2" t="s">
        <v>544</v>
      </c>
      <c r="L40" s="2">
        <v>0.1</v>
      </c>
      <c r="M40" s="2">
        <v>0.21210000000000001</v>
      </c>
      <c r="N40" s="2">
        <v>2.8</v>
      </c>
      <c r="O40" s="2" t="s">
        <v>544</v>
      </c>
      <c r="P40" s="2" t="s">
        <v>544</v>
      </c>
      <c r="Q40" s="2" t="s">
        <v>544</v>
      </c>
      <c r="R40" s="2">
        <v>0.1</v>
      </c>
      <c r="S40" s="2" t="s">
        <v>544</v>
      </c>
      <c r="T40" s="2">
        <v>0.9</v>
      </c>
      <c r="U40" s="2">
        <v>3.5349999999999999E-2</v>
      </c>
      <c r="V40" s="2" t="s">
        <v>544</v>
      </c>
      <c r="W40" s="2">
        <v>42</v>
      </c>
      <c r="X40" s="2">
        <v>20</v>
      </c>
      <c r="Y40" s="2">
        <v>740</v>
      </c>
      <c r="Z40" s="2">
        <v>110</v>
      </c>
      <c r="AA40" s="2">
        <v>66</v>
      </c>
      <c r="AB40" s="2">
        <v>0.39</v>
      </c>
      <c r="AC40" s="2">
        <v>8.9999999999999993E-3</v>
      </c>
      <c r="AD40" s="2">
        <v>620</v>
      </c>
      <c r="AE40" s="2">
        <v>5.9999999999999995E-4</v>
      </c>
      <c r="AF40" s="2">
        <v>7.0000000000000001E-3</v>
      </c>
      <c r="AG40" s="2">
        <v>1.3</v>
      </c>
      <c r="AH40" s="2" t="s">
        <v>544</v>
      </c>
      <c r="AI40" s="2">
        <v>5.1999999999999998E-2</v>
      </c>
      <c r="AJ40" s="2">
        <v>6.6000000000000003E-2</v>
      </c>
      <c r="AK40" s="2">
        <v>0.14000000000000001</v>
      </c>
      <c r="AL40" s="2">
        <v>1.4100000000000001E-4</v>
      </c>
      <c r="AM40" s="2">
        <v>4.95E-4</v>
      </c>
      <c r="AN40" s="2">
        <v>0.19</v>
      </c>
      <c r="AO40" s="2"/>
      <c r="AP40" s="2">
        <v>188</v>
      </c>
    </row>
    <row r="41" spans="1:42">
      <c r="A41" s="2" t="s">
        <v>578</v>
      </c>
      <c r="B41" s="2" t="s">
        <v>543</v>
      </c>
      <c r="C41" s="2">
        <v>1</v>
      </c>
      <c r="D41" s="2">
        <v>4.9496999999999999E-2</v>
      </c>
      <c r="E41" s="2">
        <v>13</v>
      </c>
      <c r="F41" s="2">
        <v>0.7</v>
      </c>
      <c r="G41" s="2" t="s">
        <v>544</v>
      </c>
      <c r="H41" s="2">
        <v>0.1414</v>
      </c>
      <c r="I41" s="2">
        <v>6.3640000000000002E-2</v>
      </c>
      <c r="J41" s="2">
        <v>3.9</v>
      </c>
      <c r="K41" s="2" t="s">
        <v>544</v>
      </c>
      <c r="L41" s="2">
        <v>0.2</v>
      </c>
      <c r="M41" s="2">
        <v>0.3</v>
      </c>
      <c r="N41" s="2">
        <v>2.6</v>
      </c>
      <c r="O41" s="2" t="s">
        <v>544</v>
      </c>
      <c r="P41" s="2" t="s">
        <v>544</v>
      </c>
      <c r="Q41" s="2" t="s">
        <v>544</v>
      </c>
      <c r="R41" s="2">
        <v>0.2</v>
      </c>
      <c r="S41" s="2" t="s">
        <v>544</v>
      </c>
      <c r="T41" s="2">
        <v>0.3</v>
      </c>
      <c r="U41" s="2">
        <v>0.3</v>
      </c>
      <c r="V41" s="2" t="s">
        <v>544</v>
      </c>
      <c r="W41" s="2">
        <v>52</v>
      </c>
      <c r="X41" s="2">
        <v>23</v>
      </c>
      <c r="Y41" s="2">
        <v>540</v>
      </c>
      <c r="Z41" s="2">
        <v>57</v>
      </c>
      <c r="AA41" s="2">
        <v>52</v>
      </c>
      <c r="AB41" s="2">
        <v>0.21</v>
      </c>
      <c r="AC41" s="2">
        <v>7.0000000000000001E-3</v>
      </c>
      <c r="AD41" s="2">
        <v>550</v>
      </c>
      <c r="AE41" s="2">
        <v>6.9999999999999999E-4</v>
      </c>
      <c r="AF41" s="2">
        <v>7.5999999999999998E-2</v>
      </c>
      <c r="AG41" s="2">
        <v>1.2</v>
      </c>
      <c r="AH41" s="2" t="s">
        <v>544</v>
      </c>
      <c r="AI41" s="2">
        <v>4.4999999999999998E-2</v>
      </c>
      <c r="AJ41" s="2">
        <v>3.6999999999999998E-2</v>
      </c>
      <c r="AK41" s="2">
        <v>0.11</v>
      </c>
      <c r="AL41" s="2">
        <v>1.4100000000000001E-4</v>
      </c>
      <c r="AM41" s="2">
        <v>1E-3</v>
      </c>
      <c r="AN41" s="2">
        <v>0.1</v>
      </c>
      <c r="AO41" s="2"/>
      <c r="AP41" s="2">
        <v>225</v>
      </c>
    </row>
    <row r="42" spans="1:42">
      <c r="A42" s="2" t="s">
        <v>579</v>
      </c>
      <c r="B42" s="2" t="s">
        <v>543</v>
      </c>
      <c r="C42" s="2">
        <v>2.9</v>
      </c>
      <c r="D42" s="2">
        <v>4.9496999999999999E-2</v>
      </c>
      <c r="E42" s="2">
        <v>4</v>
      </c>
      <c r="F42" s="2">
        <v>1.6</v>
      </c>
      <c r="G42" s="2" t="s">
        <v>544</v>
      </c>
      <c r="H42" s="2">
        <v>0.1414</v>
      </c>
      <c r="I42" s="2">
        <v>0.1</v>
      </c>
      <c r="J42" s="2">
        <v>2.2999999999999998</v>
      </c>
      <c r="K42" s="2" t="s">
        <v>544</v>
      </c>
      <c r="L42" s="2">
        <v>6.3640000000000002E-2</v>
      </c>
      <c r="M42" s="2">
        <v>0.4</v>
      </c>
      <c r="N42" s="2">
        <v>2.2999999999999998</v>
      </c>
      <c r="O42" s="2" t="s">
        <v>544</v>
      </c>
      <c r="P42" s="2" t="s">
        <v>544</v>
      </c>
      <c r="Q42" s="2" t="s">
        <v>544</v>
      </c>
      <c r="R42" s="2">
        <v>0.1</v>
      </c>
      <c r="S42" s="2" t="s">
        <v>544</v>
      </c>
      <c r="T42" s="2">
        <v>0.2</v>
      </c>
      <c r="U42" s="2">
        <v>3.5349999999999999E-2</v>
      </c>
      <c r="V42" s="2" t="s">
        <v>544</v>
      </c>
      <c r="W42" s="2">
        <v>54</v>
      </c>
      <c r="X42" s="2">
        <v>18</v>
      </c>
      <c r="Y42" s="2">
        <v>400</v>
      </c>
      <c r="Z42" s="2">
        <v>82</v>
      </c>
      <c r="AA42" s="2">
        <v>49</v>
      </c>
      <c r="AB42" s="2">
        <v>0.45</v>
      </c>
      <c r="AC42" s="2">
        <v>8.9999999999999993E-3</v>
      </c>
      <c r="AD42" s="2">
        <v>510</v>
      </c>
      <c r="AE42" s="2">
        <v>6.9999999999999999E-4</v>
      </c>
      <c r="AF42" s="2">
        <v>3.4000000000000002E-2</v>
      </c>
      <c r="AG42" s="2">
        <v>0.93</v>
      </c>
      <c r="AH42" s="2" t="s">
        <v>544</v>
      </c>
      <c r="AI42" s="2">
        <v>4.3999999999999997E-2</v>
      </c>
      <c r="AJ42" s="2">
        <v>5.2999999999999999E-2</v>
      </c>
      <c r="AK42" s="2">
        <v>0.1</v>
      </c>
      <c r="AL42" s="2">
        <v>1.4100000000000001E-4</v>
      </c>
      <c r="AM42" s="2">
        <v>4.95E-4</v>
      </c>
      <c r="AN42" s="2">
        <v>0.15</v>
      </c>
      <c r="AO42" s="2"/>
      <c r="AP42" s="2">
        <v>172</v>
      </c>
    </row>
    <row r="43" spans="1:42">
      <c r="A43" s="2" t="s">
        <v>580</v>
      </c>
      <c r="B43" s="2" t="s">
        <v>543</v>
      </c>
      <c r="C43" s="2">
        <v>8.6</v>
      </c>
      <c r="D43" s="2">
        <v>4.9496999999999999E-2</v>
      </c>
      <c r="E43" s="2">
        <v>60</v>
      </c>
      <c r="F43" s="2">
        <v>1.4</v>
      </c>
      <c r="G43" s="2" t="s">
        <v>544</v>
      </c>
      <c r="H43" s="2">
        <v>0.1414</v>
      </c>
      <c r="I43" s="2">
        <v>6.3640000000000002E-2</v>
      </c>
      <c r="J43" s="2">
        <v>3.8</v>
      </c>
      <c r="K43" s="2" t="s">
        <v>544</v>
      </c>
      <c r="L43" s="2">
        <v>0.2</v>
      </c>
      <c r="M43" s="2">
        <v>0.21210000000000001</v>
      </c>
      <c r="N43" s="2">
        <v>4.2</v>
      </c>
      <c r="O43" s="2" t="s">
        <v>544</v>
      </c>
      <c r="P43" s="2" t="s">
        <v>544</v>
      </c>
      <c r="Q43" s="2" t="s">
        <v>544</v>
      </c>
      <c r="R43" s="2">
        <v>0.3</v>
      </c>
      <c r="S43" s="2" t="s">
        <v>544</v>
      </c>
      <c r="T43" s="2">
        <v>0.8</v>
      </c>
      <c r="U43" s="2">
        <v>0.1</v>
      </c>
      <c r="V43" s="2" t="s">
        <v>544</v>
      </c>
      <c r="W43" s="2">
        <v>190</v>
      </c>
      <c r="X43" s="2">
        <v>47</v>
      </c>
      <c r="Y43" s="2">
        <v>940</v>
      </c>
      <c r="Z43" s="2">
        <v>150</v>
      </c>
      <c r="AA43" s="2">
        <v>87</v>
      </c>
      <c r="AB43" s="2">
        <v>0.32</v>
      </c>
      <c r="AC43" s="2">
        <v>1.2E-2</v>
      </c>
      <c r="AD43" s="2">
        <v>1050</v>
      </c>
      <c r="AE43" s="2">
        <v>2E-3</v>
      </c>
      <c r="AF43" s="2">
        <v>0.12</v>
      </c>
      <c r="AG43" s="2">
        <v>1.5</v>
      </c>
      <c r="AH43" s="2" t="s">
        <v>544</v>
      </c>
      <c r="AI43" s="2">
        <v>0.13</v>
      </c>
      <c r="AJ43" s="2">
        <v>8.8999999999999996E-2</v>
      </c>
      <c r="AK43" s="2">
        <v>0.2</v>
      </c>
      <c r="AL43" s="2">
        <v>2.9999999999999997E-4</v>
      </c>
      <c r="AM43" s="2">
        <v>1E-3</v>
      </c>
      <c r="AN43" s="2">
        <v>0.3</v>
      </c>
      <c r="AO43" s="2"/>
      <c r="AP43" s="2">
        <v>123</v>
      </c>
    </row>
    <row r="44" spans="1:42">
      <c r="A44" s="2" t="s">
        <v>581</v>
      </c>
      <c r="B44" s="2" t="s">
        <v>543</v>
      </c>
      <c r="C44" s="2">
        <v>1.9</v>
      </c>
      <c r="D44" s="2">
        <v>4.9496999999999999E-2</v>
      </c>
      <c r="E44" s="2">
        <v>1.909</v>
      </c>
      <c r="F44" s="2">
        <v>0.9</v>
      </c>
      <c r="G44" s="2" t="s">
        <v>544</v>
      </c>
      <c r="H44" s="2">
        <v>0.2</v>
      </c>
      <c r="I44" s="2">
        <v>6.3640000000000002E-2</v>
      </c>
      <c r="J44" s="2">
        <v>1.2</v>
      </c>
      <c r="K44" s="2" t="s">
        <v>544</v>
      </c>
      <c r="L44" s="2">
        <v>6.3640000000000002E-2</v>
      </c>
      <c r="M44" s="2">
        <v>0.21210000000000001</v>
      </c>
      <c r="N44" s="2">
        <v>1.7</v>
      </c>
      <c r="O44" s="2" t="s">
        <v>544</v>
      </c>
      <c r="P44" s="2" t="s">
        <v>544</v>
      </c>
      <c r="Q44" s="2" t="s">
        <v>544</v>
      </c>
      <c r="R44" s="2">
        <v>0.08</v>
      </c>
      <c r="S44" s="2" t="s">
        <v>544</v>
      </c>
      <c r="T44" s="2">
        <v>0.2</v>
      </c>
      <c r="U44" s="2">
        <v>0.1</v>
      </c>
      <c r="V44" s="2" t="s">
        <v>544</v>
      </c>
      <c r="W44" s="2">
        <v>21</v>
      </c>
      <c r="X44" s="2">
        <v>16</v>
      </c>
      <c r="Y44" s="2">
        <v>370</v>
      </c>
      <c r="Z44" s="2">
        <v>38</v>
      </c>
      <c r="AA44" s="2">
        <v>45</v>
      </c>
      <c r="AB44" s="2">
        <v>0.32</v>
      </c>
      <c r="AC44" s="2">
        <v>7.0000000000000001E-3</v>
      </c>
      <c r="AD44" s="2">
        <v>330</v>
      </c>
      <c r="AE44" s="2">
        <v>4.0000000000000002E-4</v>
      </c>
      <c r="AF44" s="2">
        <v>2.7E-2</v>
      </c>
      <c r="AG44" s="2">
        <v>0.48</v>
      </c>
      <c r="AH44" s="2">
        <v>5.9999999999999995E-4</v>
      </c>
      <c r="AI44" s="2">
        <v>8.9999999999999993E-3</v>
      </c>
      <c r="AJ44" s="2">
        <v>3.5999999999999997E-2</v>
      </c>
      <c r="AK44" s="2">
        <v>6.6000000000000003E-2</v>
      </c>
      <c r="AL44" s="2">
        <v>1.4100000000000001E-4</v>
      </c>
      <c r="AM44" s="2">
        <v>4.95E-4</v>
      </c>
      <c r="AN44" s="2">
        <v>7.0710999999999996E-2</v>
      </c>
      <c r="AO44" s="2"/>
      <c r="AP44" s="2">
        <v>158</v>
      </c>
    </row>
    <row r="45" spans="1:42">
      <c r="A45" s="2" t="s">
        <v>582</v>
      </c>
      <c r="B45" s="2" t="s">
        <v>543</v>
      </c>
      <c r="C45" s="2">
        <v>2</v>
      </c>
      <c r="D45" s="2">
        <v>4.9496999999999999E-2</v>
      </c>
      <c r="E45" s="2">
        <v>12</v>
      </c>
      <c r="F45" s="2">
        <v>0.7</v>
      </c>
      <c r="G45" s="2" t="s">
        <v>544</v>
      </c>
      <c r="H45" s="2">
        <v>13</v>
      </c>
      <c r="I45" s="2">
        <v>0.1</v>
      </c>
      <c r="J45" s="2">
        <v>2.9</v>
      </c>
      <c r="K45" s="2" t="s">
        <v>544</v>
      </c>
      <c r="L45" s="2">
        <v>0.2</v>
      </c>
      <c r="M45" s="2">
        <v>0.6</v>
      </c>
      <c r="N45" s="2">
        <v>3</v>
      </c>
      <c r="O45" s="2" t="s">
        <v>544</v>
      </c>
      <c r="P45" s="2" t="s">
        <v>544</v>
      </c>
      <c r="Q45" s="2" t="s">
        <v>544</v>
      </c>
      <c r="R45" s="2">
        <v>0.2</v>
      </c>
      <c r="S45" s="2" t="s">
        <v>544</v>
      </c>
      <c r="T45" s="2">
        <v>0.3</v>
      </c>
      <c r="U45" s="2">
        <v>3.5349999999999999E-2</v>
      </c>
      <c r="V45" s="2" t="s">
        <v>544</v>
      </c>
      <c r="W45" s="2">
        <v>150</v>
      </c>
      <c r="X45" s="2">
        <v>26</v>
      </c>
      <c r="Y45" s="2">
        <v>710</v>
      </c>
      <c r="Z45" s="2">
        <v>94</v>
      </c>
      <c r="AA45" s="2">
        <v>57</v>
      </c>
      <c r="AB45" s="2">
        <v>0.25</v>
      </c>
      <c r="AC45" s="2">
        <v>8.9999999999999993E-3</v>
      </c>
      <c r="AD45" s="2">
        <v>470</v>
      </c>
      <c r="AE45" s="2">
        <v>8.9999999999999998E-4</v>
      </c>
      <c r="AF45" s="2">
        <v>4.7E-2</v>
      </c>
      <c r="AG45" s="2">
        <v>0.84</v>
      </c>
      <c r="AH45" s="2" t="s">
        <v>544</v>
      </c>
      <c r="AI45" s="2">
        <v>2.7E-2</v>
      </c>
      <c r="AJ45" s="2">
        <v>6.2E-2</v>
      </c>
      <c r="AK45" s="2">
        <v>7.4999999999999997E-2</v>
      </c>
      <c r="AL45" s="2">
        <v>2.0000000000000001E-4</v>
      </c>
      <c r="AM45" s="2">
        <v>4.95E-4</v>
      </c>
      <c r="AN45" s="2">
        <v>0.19</v>
      </c>
      <c r="AO45" s="2"/>
      <c r="AP45" s="2">
        <v>118</v>
      </c>
    </row>
    <row r="46" spans="1:42">
      <c r="A46" s="2" t="s">
        <v>583</v>
      </c>
      <c r="B46" s="2" t="s">
        <v>543</v>
      </c>
      <c r="C46" s="2">
        <v>4.3</v>
      </c>
      <c r="D46" s="2">
        <v>4.9496999999999999E-2</v>
      </c>
      <c r="E46" s="2">
        <v>24</v>
      </c>
      <c r="F46" s="2">
        <v>1</v>
      </c>
      <c r="G46" s="2" t="s">
        <v>544</v>
      </c>
      <c r="H46" s="2">
        <v>0.1414</v>
      </c>
      <c r="I46" s="2">
        <v>6.3640000000000002E-2</v>
      </c>
      <c r="J46" s="2">
        <v>4.5</v>
      </c>
      <c r="K46" s="2" t="s">
        <v>544</v>
      </c>
      <c r="L46" s="2">
        <v>0.2</v>
      </c>
      <c r="M46" s="2">
        <v>0.21210000000000001</v>
      </c>
      <c r="N46" s="2">
        <v>1.6</v>
      </c>
      <c r="O46" s="2" t="s">
        <v>544</v>
      </c>
      <c r="P46" s="2" t="s">
        <v>544</v>
      </c>
      <c r="Q46" s="2" t="s">
        <v>544</v>
      </c>
      <c r="R46" s="2">
        <v>0.2</v>
      </c>
      <c r="S46" s="2" t="s">
        <v>544</v>
      </c>
      <c r="T46" s="2">
        <v>0.4</v>
      </c>
      <c r="U46" s="2">
        <v>0.1</v>
      </c>
      <c r="V46" s="2" t="s">
        <v>544</v>
      </c>
      <c r="W46" s="2">
        <v>74</v>
      </c>
      <c r="X46" s="2">
        <v>23</v>
      </c>
      <c r="Y46" s="2">
        <v>1180</v>
      </c>
      <c r="Z46" s="2">
        <v>49</v>
      </c>
      <c r="AA46" s="2">
        <v>69</v>
      </c>
      <c r="AB46" s="2">
        <v>0.21</v>
      </c>
      <c r="AC46" s="2">
        <v>8.0000000000000002E-3</v>
      </c>
      <c r="AD46" s="2">
        <v>670</v>
      </c>
      <c r="AE46" s="2">
        <v>6.9999999999999999E-4</v>
      </c>
      <c r="AF46" s="2">
        <v>6.5000000000000002E-2</v>
      </c>
      <c r="AG46" s="2">
        <v>1.2</v>
      </c>
      <c r="AH46" s="2" t="s">
        <v>544</v>
      </c>
      <c r="AI46" s="2">
        <v>9.0999999999999998E-2</v>
      </c>
      <c r="AJ46" s="2">
        <v>7.3999999999999996E-2</v>
      </c>
      <c r="AK46" s="2">
        <v>0.15</v>
      </c>
      <c r="AL46" s="2">
        <v>1.4100000000000001E-4</v>
      </c>
      <c r="AM46" s="2">
        <v>4.95E-4</v>
      </c>
      <c r="AN46" s="2">
        <v>7.0710999999999996E-2</v>
      </c>
      <c r="AO46" s="2"/>
      <c r="AP46" s="2">
        <v>157</v>
      </c>
    </row>
    <row r="47" spans="1:42">
      <c r="A47" s="2" t="s">
        <v>584</v>
      </c>
      <c r="B47" s="2" t="s">
        <v>543</v>
      </c>
      <c r="C47" s="2">
        <v>4.3</v>
      </c>
      <c r="D47" s="2">
        <v>4.9496999999999999E-2</v>
      </c>
      <c r="E47" s="2">
        <v>1.909</v>
      </c>
      <c r="F47" s="2">
        <v>0.1414</v>
      </c>
      <c r="G47" s="2" t="s">
        <v>544</v>
      </c>
      <c r="H47" s="2">
        <v>0.1414</v>
      </c>
      <c r="I47" s="2">
        <v>6.3640000000000002E-2</v>
      </c>
      <c r="J47" s="2">
        <v>2.9</v>
      </c>
      <c r="K47" s="2" t="s">
        <v>544</v>
      </c>
      <c r="L47" s="2">
        <v>6.3640000000000002E-2</v>
      </c>
      <c r="M47" s="2">
        <v>0.21210000000000001</v>
      </c>
      <c r="N47" s="2">
        <v>0.56559999999999999</v>
      </c>
      <c r="O47" s="2" t="s">
        <v>544</v>
      </c>
      <c r="P47" s="2" t="s">
        <v>544</v>
      </c>
      <c r="Q47" s="2" t="s">
        <v>544</v>
      </c>
      <c r="R47" s="2">
        <v>3.5349999999999999E-2</v>
      </c>
      <c r="S47" s="2" t="s">
        <v>544</v>
      </c>
      <c r="T47" s="2">
        <v>4.9489999999999999E-2</v>
      </c>
      <c r="U47" s="2">
        <v>0.2</v>
      </c>
      <c r="V47" s="2" t="s">
        <v>544</v>
      </c>
      <c r="W47" s="2">
        <v>46</v>
      </c>
      <c r="X47" s="2">
        <v>20</v>
      </c>
      <c r="Y47" s="2">
        <v>660</v>
      </c>
      <c r="Z47" s="2">
        <v>13</v>
      </c>
      <c r="AA47" s="2">
        <v>42</v>
      </c>
      <c r="AB47" s="2">
        <v>0.17</v>
      </c>
      <c r="AC47" s="2">
        <v>6.0000000000000001E-3</v>
      </c>
      <c r="AD47" s="2">
        <v>340</v>
      </c>
      <c r="AE47" s="2">
        <v>2.8284271247461902E-4</v>
      </c>
      <c r="AF47" s="2">
        <v>5.6000000000000001E-2</v>
      </c>
      <c r="AG47" s="2">
        <v>1.3</v>
      </c>
      <c r="AH47" s="2" t="s">
        <v>544</v>
      </c>
      <c r="AI47" s="2">
        <v>6.7000000000000004E-2</v>
      </c>
      <c r="AJ47" s="2">
        <v>2.5999999999999999E-2</v>
      </c>
      <c r="AK47" s="2">
        <v>2.7E-2</v>
      </c>
      <c r="AL47" s="2">
        <v>1.4100000000000001E-4</v>
      </c>
      <c r="AM47" s="2">
        <v>4.95E-4</v>
      </c>
      <c r="AN47" s="2">
        <v>7.0710999999999996E-2</v>
      </c>
      <c r="AO47" s="2"/>
      <c r="AP47" s="2">
        <v>41.3</v>
      </c>
    </row>
    <row r="48" spans="1:42">
      <c r="A48" s="2" t="s">
        <v>585</v>
      </c>
      <c r="B48" s="2" t="s">
        <v>543</v>
      </c>
      <c r="C48" s="2">
        <v>1.7</v>
      </c>
      <c r="D48" s="2">
        <v>4.9496999999999999E-2</v>
      </c>
      <c r="E48" s="2">
        <v>7.1</v>
      </c>
      <c r="F48" s="2">
        <v>1.7</v>
      </c>
      <c r="G48" s="2" t="s">
        <v>544</v>
      </c>
      <c r="H48" s="2">
        <v>0.1414</v>
      </c>
      <c r="I48" s="2">
        <v>0.1</v>
      </c>
      <c r="J48" s="2">
        <v>2.8</v>
      </c>
      <c r="K48" s="2" t="s">
        <v>544</v>
      </c>
      <c r="L48" s="2">
        <v>0.1</v>
      </c>
      <c r="M48" s="2">
        <v>0.21210000000000001</v>
      </c>
      <c r="N48" s="2">
        <v>1.6</v>
      </c>
      <c r="O48" s="2" t="s">
        <v>544</v>
      </c>
      <c r="P48" s="2" t="s">
        <v>544</v>
      </c>
      <c r="Q48" s="2" t="s">
        <v>544</v>
      </c>
      <c r="R48" s="2">
        <v>0.2</v>
      </c>
      <c r="S48" s="2" t="s">
        <v>544</v>
      </c>
      <c r="T48" s="2">
        <v>0.2</v>
      </c>
      <c r="U48" s="2">
        <v>0.05</v>
      </c>
      <c r="V48" s="2" t="s">
        <v>544</v>
      </c>
      <c r="W48" s="2">
        <v>93</v>
      </c>
      <c r="X48" s="2">
        <v>34</v>
      </c>
      <c r="Y48" s="2">
        <v>550</v>
      </c>
      <c r="Z48" s="2">
        <v>31</v>
      </c>
      <c r="AA48" s="2">
        <v>63</v>
      </c>
      <c r="AB48" s="2">
        <v>0.1</v>
      </c>
      <c r="AC48" s="2">
        <v>7.0000000000000001E-3</v>
      </c>
      <c r="AD48" s="2">
        <v>480</v>
      </c>
      <c r="AE48" s="2">
        <v>1E-3</v>
      </c>
      <c r="AF48" s="2">
        <v>6.4000000000000001E-2</v>
      </c>
      <c r="AG48" s="2">
        <v>0.91</v>
      </c>
      <c r="AH48" s="2" t="s">
        <v>544</v>
      </c>
      <c r="AI48" s="2">
        <v>3.6999999999999998E-2</v>
      </c>
      <c r="AJ48" s="2">
        <v>4.5999999999999999E-2</v>
      </c>
      <c r="AK48" s="2">
        <v>5.8999999999999997E-2</v>
      </c>
      <c r="AL48" s="2">
        <v>1.4100000000000001E-4</v>
      </c>
      <c r="AM48" s="2">
        <v>1E-3</v>
      </c>
      <c r="AN48" s="2">
        <v>7.0710999999999996E-2</v>
      </c>
      <c r="AO48" s="2"/>
      <c r="AP48" s="2">
        <v>186</v>
      </c>
    </row>
    <row r="49" spans="1:42">
      <c r="A49" s="2" t="s">
        <v>586</v>
      </c>
      <c r="B49" s="2" t="s">
        <v>543</v>
      </c>
      <c r="C49" s="2">
        <v>2.4</v>
      </c>
      <c r="D49" s="2">
        <v>4.9496999999999999E-2</v>
      </c>
      <c r="E49" s="2">
        <v>15</v>
      </c>
      <c r="F49" s="2">
        <v>2.2999999999999998</v>
      </c>
      <c r="G49" s="2" t="s">
        <v>544</v>
      </c>
      <c r="H49" s="2">
        <v>5.3</v>
      </c>
      <c r="I49" s="2">
        <v>6.3640000000000002E-2</v>
      </c>
      <c r="J49" s="2">
        <v>3.7</v>
      </c>
      <c r="K49" s="2" t="s">
        <v>544</v>
      </c>
      <c r="L49" s="2">
        <v>0.2</v>
      </c>
      <c r="M49" s="2">
        <v>0.21210000000000001</v>
      </c>
      <c r="N49" s="2">
        <v>1.3</v>
      </c>
      <c r="O49" s="2" t="s">
        <v>544</v>
      </c>
      <c r="P49" s="2" t="s">
        <v>544</v>
      </c>
      <c r="Q49" s="2" t="s">
        <v>544</v>
      </c>
      <c r="R49" s="2">
        <v>0.2</v>
      </c>
      <c r="S49" s="2" t="s">
        <v>544</v>
      </c>
      <c r="T49" s="2">
        <v>0.3</v>
      </c>
      <c r="U49" s="2">
        <v>3.5349999999999999E-2</v>
      </c>
      <c r="V49" s="2" t="s">
        <v>544</v>
      </c>
      <c r="W49" s="2">
        <v>65</v>
      </c>
      <c r="X49" s="2">
        <v>31</v>
      </c>
      <c r="Y49" s="2">
        <v>260</v>
      </c>
      <c r="Z49" s="2">
        <v>53</v>
      </c>
      <c r="AA49" s="2">
        <v>48</v>
      </c>
      <c r="AB49" s="2">
        <v>0.27</v>
      </c>
      <c r="AC49" s="2">
        <v>8.9999999999999993E-3</v>
      </c>
      <c r="AD49" s="2">
        <v>490</v>
      </c>
      <c r="AE49" s="2">
        <v>1E-3</v>
      </c>
      <c r="AF49" s="2">
        <v>3.5000000000000003E-2</v>
      </c>
      <c r="AG49" s="2">
        <v>2.2000000000000002</v>
      </c>
      <c r="AH49" s="2" t="s">
        <v>544</v>
      </c>
      <c r="AI49" s="2">
        <v>0.28000000000000003</v>
      </c>
      <c r="AJ49" s="2">
        <v>3.2000000000000001E-2</v>
      </c>
      <c r="AK49" s="2">
        <v>0.17</v>
      </c>
      <c r="AL49" s="2">
        <v>1.4100000000000001E-4</v>
      </c>
      <c r="AM49" s="2">
        <v>4.95E-4</v>
      </c>
      <c r="AN49" s="2">
        <v>7.0710999999999996E-2</v>
      </c>
      <c r="AO49" s="2"/>
      <c r="AP49" s="2">
        <v>48.7</v>
      </c>
    </row>
    <row r="50" spans="1:42" s="131" customFormat="1">
      <c r="A50" s="131" t="s">
        <v>773</v>
      </c>
      <c r="B50" s="131" t="s">
        <v>543</v>
      </c>
      <c r="C50" s="131" t="s">
        <v>544</v>
      </c>
      <c r="D50" s="131" t="s">
        <v>544</v>
      </c>
      <c r="E50" s="131">
        <v>4.9000000000000004</v>
      </c>
      <c r="F50" s="131">
        <v>0.3</v>
      </c>
      <c r="G50" s="131" t="s">
        <v>544</v>
      </c>
      <c r="H50" s="131" t="s">
        <v>544</v>
      </c>
      <c r="I50" s="131" t="s">
        <v>544</v>
      </c>
      <c r="J50" s="131">
        <v>3.6</v>
      </c>
      <c r="K50" s="131" t="s">
        <v>544</v>
      </c>
      <c r="L50" s="131">
        <v>0.2</v>
      </c>
      <c r="M50" s="131" t="s">
        <v>544</v>
      </c>
      <c r="N50" s="131">
        <v>0.6</v>
      </c>
      <c r="O50" s="131" t="s">
        <v>544</v>
      </c>
      <c r="P50" s="131" t="s">
        <v>544</v>
      </c>
      <c r="Q50" s="131" t="s">
        <v>544</v>
      </c>
      <c r="R50" s="131">
        <v>0.09</v>
      </c>
      <c r="S50" s="131" t="s">
        <v>544</v>
      </c>
      <c r="T50" s="131">
        <v>1.2</v>
      </c>
      <c r="U50" s="131" t="s">
        <v>544</v>
      </c>
      <c r="V50" s="131" t="s">
        <v>544</v>
      </c>
      <c r="W50" s="131">
        <v>43</v>
      </c>
      <c r="X50" s="131">
        <v>31</v>
      </c>
      <c r="Y50" s="131">
        <v>470</v>
      </c>
      <c r="Z50" s="131">
        <v>18</v>
      </c>
      <c r="AA50" s="131">
        <v>17</v>
      </c>
      <c r="AB50" s="131">
        <v>0.11</v>
      </c>
      <c r="AC50" s="131">
        <v>8.0000000000000002E-3</v>
      </c>
      <c r="AD50" s="131">
        <v>310</v>
      </c>
      <c r="AE50" s="131">
        <v>8.9999999999999998E-4</v>
      </c>
      <c r="AF50" s="131">
        <v>0.04</v>
      </c>
      <c r="AG50" s="131">
        <v>1.7</v>
      </c>
      <c r="AH50" s="131" t="s">
        <v>544</v>
      </c>
      <c r="AI50" s="131">
        <v>0.05</v>
      </c>
      <c r="AJ50" s="131">
        <v>2.9000000000000001E-2</v>
      </c>
      <c r="AK50" s="131">
        <v>2.5000000000000001E-2</v>
      </c>
      <c r="AL50" s="131" t="s">
        <v>544</v>
      </c>
      <c r="AM50" s="131" t="s">
        <v>544</v>
      </c>
      <c r="AN50" s="131" t="s">
        <v>544</v>
      </c>
      <c r="AP50" s="131">
        <v>177</v>
      </c>
    </row>
    <row r="51" spans="1:42">
      <c r="A51" s="2" t="s">
        <v>587</v>
      </c>
      <c r="B51" s="2" t="s">
        <v>543</v>
      </c>
      <c r="C51" s="2">
        <v>4.0999999999999996</v>
      </c>
      <c r="D51" s="2">
        <v>4.9496999999999999E-2</v>
      </c>
      <c r="E51" s="2">
        <v>4.0999999999999996</v>
      </c>
      <c r="F51" s="2">
        <v>1.2</v>
      </c>
      <c r="G51" s="2" t="s">
        <v>544</v>
      </c>
      <c r="H51" s="2">
        <v>0.7</v>
      </c>
      <c r="I51" s="2">
        <v>0.1</v>
      </c>
      <c r="J51" s="2">
        <v>2.1</v>
      </c>
      <c r="K51" s="2" t="s">
        <v>544</v>
      </c>
      <c r="L51" s="2">
        <v>0.4</v>
      </c>
      <c r="M51" s="2">
        <v>0.21210000000000001</v>
      </c>
      <c r="N51" s="2">
        <v>3.6</v>
      </c>
      <c r="O51" s="2" t="s">
        <v>544</v>
      </c>
      <c r="P51" s="2" t="s">
        <v>544</v>
      </c>
      <c r="Q51" s="2" t="s">
        <v>544</v>
      </c>
      <c r="R51" s="2">
        <v>0.1</v>
      </c>
      <c r="S51" s="2" t="s">
        <v>544</v>
      </c>
      <c r="T51" s="2">
        <v>0.7</v>
      </c>
      <c r="U51" s="2">
        <v>0.1</v>
      </c>
      <c r="V51" s="2" t="s">
        <v>544</v>
      </c>
      <c r="W51" s="2">
        <v>170</v>
      </c>
      <c r="X51" s="2">
        <v>15</v>
      </c>
      <c r="Y51" s="2">
        <v>750</v>
      </c>
      <c r="Z51" s="2">
        <v>170</v>
      </c>
      <c r="AA51" s="2">
        <v>140</v>
      </c>
      <c r="AB51" s="2">
        <v>0.57999999999999996</v>
      </c>
      <c r="AC51" s="2">
        <v>0.01</v>
      </c>
      <c r="AD51" s="2">
        <v>770</v>
      </c>
      <c r="AE51" s="2">
        <v>6.9999999999999999E-4</v>
      </c>
      <c r="AF51" s="2">
        <v>4.3999999999999997E-2</v>
      </c>
      <c r="AG51" s="2">
        <v>1.1000000000000001</v>
      </c>
      <c r="AH51" s="2" t="s">
        <v>544</v>
      </c>
      <c r="AI51" s="2">
        <v>8.2000000000000003E-2</v>
      </c>
      <c r="AJ51" s="2">
        <v>7.8E-2</v>
      </c>
      <c r="AK51" s="2">
        <v>0.19</v>
      </c>
      <c r="AL51" s="2">
        <v>2.0000000000000001E-4</v>
      </c>
      <c r="AM51" s="2">
        <v>4.95E-4</v>
      </c>
      <c r="AN51" s="2">
        <v>0.3</v>
      </c>
      <c r="AO51" s="2"/>
      <c r="AP51" s="2">
        <v>129</v>
      </c>
    </row>
    <row r="52" spans="1:42">
      <c r="A52" s="2" t="s">
        <v>588</v>
      </c>
      <c r="B52" s="2" t="s">
        <v>543</v>
      </c>
      <c r="C52" s="2">
        <v>2</v>
      </c>
      <c r="D52" s="2">
        <v>4.9496999999999999E-2</v>
      </c>
      <c r="E52" s="2">
        <v>7.9</v>
      </c>
      <c r="F52" s="2">
        <v>0.2</v>
      </c>
      <c r="G52" s="2" t="s">
        <v>544</v>
      </c>
      <c r="H52" s="2">
        <v>0.1414</v>
      </c>
      <c r="I52" s="2">
        <v>0.3</v>
      </c>
      <c r="J52" s="2">
        <v>5.8</v>
      </c>
      <c r="K52" s="2" t="s">
        <v>544</v>
      </c>
      <c r="L52" s="2">
        <v>0.2</v>
      </c>
      <c r="M52" s="2">
        <v>0.5</v>
      </c>
      <c r="N52" s="2">
        <v>2.2999999999999998</v>
      </c>
      <c r="O52" s="2" t="s">
        <v>544</v>
      </c>
      <c r="P52" s="2" t="s">
        <v>544</v>
      </c>
      <c r="Q52" s="2" t="s">
        <v>544</v>
      </c>
      <c r="R52" s="2">
        <v>0.2</v>
      </c>
      <c r="S52" s="2" t="s">
        <v>544</v>
      </c>
      <c r="T52" s="2">
        <v>2.2000000000000002</v>
      </c>
      <c r="U52" s="2">
        <v>0.4</v>
      </c>
      <c r="V52" s="2" t="s">
        <v>544</v>
      </c>
      <c r="W52" s="2">
        <v>46</v>
      </c>
      <c r="X52" s="2">
        <v>31</v>
      </c>
      <c r="Y52" s="2">
        <v>550</v>
      </c>
      <c r="Z52" s="2">
        <v>4.2</v>
      </c>
      <c r="AA52" s="2">
        <v>61</v>
      </c>
      <c r="AB52" s="2">
        <v>0.43</v>
      </c>
      <c r="AC52" s="2">
        <v>8.0000000000000002E-3</v>
      </c>
      <c r="AD52" s="2">
        <v>490</v>
      </c>
      <c r="AE52" s="2">
        <v>1E-3</v>
      </c>
      <c r="AF52" s="2">
        <v>7.8E-2</v>
      </c>
      <c r="AG52" s="2">
        <v>2.7</v>
      </c>
      <c r="AH52" s="2" t="s">
        <v>544</v>
      </c>
      <c r="AI52" s="2">
        <v>3.5999999999999997E-2</v>
      </c>
      <c r="AJ52" s="2">
        <v>4.2000000000000003E-2</v>
      </c>
      <c r="AK52" s="2">
        <v>1.9E-2</v>
      </c>
      <c r="AL52" s="2">
        <v>1.4100000000000001E-4</v>
      </c>
      <c r="AM52" s="2">
        <v>4.95E-4</v>
      </c>
      <c r="AN52" s="2">
        <v>7.0710999999999996E-2</v>
      </c>
      <c r="AO52" s="2"/>
      <c r="AP52" s="2">
        <v>154</v>
      </c>
    </row>
    <row r="53" spans="1:42">
      <c r="A53" s="2" t="s">
        <v>589</v>
      </c>
      <c r="B53" s="2" t="s">
        <v>543</v>
      </c>
      <c r="C53" s="2">
        <v>7.2</v>
      </c>
      <c r="D53" s="2">
        <v>4.9496999999999999E-2</v>
      </c>
      <c r="E53" s="2">
        <v>1.909</v>
      </c>
      <c r="F53" s="2">
        <v>0.4</v>
      </c>
      <c r="G53" s="2" t="s">
        <v>544</v>
      </c>
      <c r="H53" s="2">
        <v>0.1414</v>
      </c>
      <c r="I53" s="2">
        <v>0.2</v>
      </c>
      <c r="J53" s="2">
        <v>2.2999999999999998</v>
      </c>
      <c r="K53" s="2" t="s">
        <v>544</v>
      </c>
      <c r="L53" s="2">
        <v>0.2</v>
      </c>
      <c r="M53" s="2">
        <v>0.21210000000000001</v>
      </c>
      <c r="N53" s="2">
        <v>3.1</v>
      </c>
      <c r="O53" s="2" t="s">
        <v>544</v>
      </c>
      <c r="P53" s="2" t="s">
        <v>544</v>
      </c>
      <c r="Q53" s="2" t="s">
        <v>544</v>
      </c>
      <c r="R53" s="2">
        <v>0.1</v>
      </c>
      <c r="S53" s="2" t="s">
        <v>544</v>
      </c>
      <c r="T53" s="2">
        <v>1.1000000000000001</v>
      </c>
      <c r="U53" s="2">
        <v>0.2</v>
      </c>
      <c r="V53" s="2" t="s">
        <v>544</v>
      </c>
      <c r="W53" s="2">
        <v>140</v>
      </c>
      <c r="X53" s="2">
        <v>38</v>
      </c>
      <c r="Y53" s="2">
        <v>730</v>
      </c>
      <c r="Z53" s="2">
        <v>95</v>
      </c>
      <c r="AA53" s="2">
        <v>74</v>
      </c>
      <c r="AB53" s="2">
        <v>0.14000000000000001</v>
      </c>
      <c r="AC53" s="2">
        <v>8.0000000000000002E-3</v>
      </c>
      <c r="AD53" s="2">
        <v>500</v>
      </c>
      <c r="AE53" s="2">
        <v>2E-3</v>
      </c>
      <c r="AF53" s="2">
        <v>6.7000000000000004E-2</v>
      </c>
      <c r="AG53" s="2">
        <v>0.94</v>
      </c>
      <c r="AH53" s="2" t="s">
        <v>544</v>
      </c>
      <c r="AI53" s="2">
        <v>0.03</v>
      </c>
      <c r="AJ53" s="2">
        <v>4.9000000000000002E-2</v>
      </c>
      <c r="AK53" s="2">
        <v>0.12</v>
      </c>
      <c r="AL53" s="2">
        <v>1.4100000000000001E-4</v>
      </c>
      <c r="AM53" s="2">
        <v>4.95E-4</v>
      </c>
      <c r="AN53" s="2">
        <v>0.2</v>
      </c>
      <c r="AO53" s="2"/>
      <c r="AP53" s="2">
        <v>204</v>
      </c>
    </row>
    <row r="54" spans="1:42">
      <c r="A54" s="2" t="s">
        <v>590</v>
      </c>
      <c r="B54" s="2" t="s">
        <v>543</v>
      </c>
      <c r="C54" s="2">
        <v>1.3</v>
      </c>
      <c r="D54" s="2">
        <v>4.9496999999999999E-2</v>
      </c>
      <c r="E54" s="2">
        <v>2.8</v>
      </c>
      <c r="F54" s="2">
        <v>2.2000000000000002</v>
      </c>
      <c r="G54" s="2" t="s">
        <v>544</v>
      </c>
      <c r="H54" s="2">
        <v>0.1414</v>
      </c>
      <c r="I54" s="2">
        <v>0.09</v>
      </c>
      <c r="J54" s="2">
        <v>2.8</v>
      </c>
      <c r="K54" s="2" t="s">
        <v>544</v>
      </c>
      <c r="L54" s="2">
        <v>0.1</v>
      </c>
      <c r="M54" s="2">
        <v>0.21210000000000001</v>
      </c>
      <c r="N54" s="2">
        <v>1.5</v>
      </c>
      <c r="O54" s="2" t="s">
        <v>544</v>
      </c>
      <c r="P54" s="2" t="s">
        <v>544</v>
      </c>
      <c r="Q54" s="2" t="s">
        <v>544</v>
      </c>
      <c r="R54" s="2">
        <v>0.06</v>
      </c>
      <c r="S54" s="2" t="s">
        <v>544</v>
      </c>
      <c r="T54" s="2">
        <v>0.1</v>
      </c>
      <c r="U54" s="2">
        <v>0.1</v>
      </c>
      <c r="V54" s="2" t="s">
        <v>544</v>
      </c>
      <c r="W54" s="2">
        <v>44</v>
      </c>
      <c r="X54" s="2">
        <v>17</v>
      </c>
      <c r="Y54" s="2">
        <v>630</v>
      </c>
      <c r="Z54" s="2">
        <v>61</v>
      </c>
      <c r="AA54" s="2">
        <v>56</v>
      </c>
      <c r="AB54" s="2">
        <v>5.1999999999999998E-2</v>
      </c>
      <c r="AC54" s="2">
        <v>6.0000000000000001E-3</v>
      </c>
      <c r="AD54" s="2">
        <v>300</v>
      </c>
      <c r="AE54" s="2">
        <v>5.9999999999999995E-4</v>
      </c>
      <c r="AF54" s="2">
        <v>2.1999999999999999E-2</v>
      </c>
      <c r="AG54" s="2">
        <v>0.67</v>
      </c>
      <c r="AH54" s="2" t="s">
        <v>544</v>
      </c>
      <c r="AI54" s="2">
        <v>4.5999999999999999E-2</v>
      </c>
      <c r="AJ54" s="2">
        <v>3.2000000000000001E-2</v>
      </c>
      <c r="AK54" s="2">
        <v>0.1</v>
      </c>
      <c r="AL54" s="2">
        <v>1.4100000000000001E-4</v>
      </c>
      <c r="AM54" s="2">
        <v>4.95E-4</v>
      </c>
      <c r="AN54" s="2">
        <v>0.12</v>
      </c>
      <c r="AO54" s="2"/>
      <c r="AP54" s="2">
        <v>253</v>
      </c>
    </row>
    <row r="55" spans="1:42">
      <c r="A55" s="2" t="s">
        <v>591</v>
      </c>
      <c r="B55" s="2" t="s">
        <v>543</v>
      </c>
      <c r="C55" s="2">
        <v>1.6</v>
      </c>
      <c r="D55" s="2">
        <v>4.9496999999999999E-2</v>
      </c>
      <c r="E55" s="2">
        <v>22</v>
      </c>
      <c r="F55" s="2">
        <v>0.9</v>
      </c>
      <c r="G55" s="2" t="s">
        <v>544</v>
      </c>
      <c r="H55" s="2">
        <v>0.1414</v>
      </c>
      <c r="I55" s="2">
        <v>0.2</v>
      </c>
      <c r="J55" s="2">
        <v>2.2000000000000002</v>
      </c>
      <c r="K55" s="2" t="s">
        <v>544</v>
      </c>
      <c r="L55" s="2">
        <v>0.2</v>
      </c>
      <c r="M55" s="2">
        <v>0.3</v>
      </c>
      <c r="N55" s="2">
        <v>2</v>
      </c>
      <c r="O55" s="2" t="s">
        <v>544</v>
      </c>
      <c r="P55" s="2" t="s">
        <v>544</v>
      </c>
      <c r="Q55" s="2" t="s">
        <v>544</v>
      </c>
      <c r="R55" s="2">
        <v>0.2</v>
      </c>
      <c r="S55" s="2" t="s">
        <v>544</v>
      </c>
      <c r="T55" s="2">
        <v>0.6</v>
      </c>
      <c r="U55" s="2">
        <v>0.2</v>
      </c>
      <c r="V55" s="2" t="s">
        <v>544</v>
      </c>
      <c r="W55" s="2">
        <v>61</v>
      </c>
      <c r="X55" s="2">
        <v>28</v>
      </c>
      <c r="Y55" s="2">
        <v>500</v>
      </c>
      <c r="Z55" s="2">
        <v>70</v>
      </c>
      <c r="AA55" s="2">
        <v>83</v>
      </c>
      <c r="AB55" s="2">
        <v>9.5000000000000001E-2</v>
      </c>
      <c r="AC55" s="2">
        <v>8.9999999999999993E-3</v>
      </c>
      <c r="AD55" s="2">
        <v>560</v>
      </c>
      <c r="AE55" s="2">
        <v>8.9999999999999998E-4</v>
      </c>
      <c r="AF55" s="2">
        <v>7.9000000000000001E-2</v>
      </c>
      <c r="AG55" s="2">
        <v>1.1000000000000001</v>
      </c>
      <c r="AH55" s="2" t="s">
        <v>544</v>
      </c>
      <c r="AI55" s="2">
        <v>7.1999999999999995E-2</v>
      </c>
      <c r="AJ55" s="2">
        <v>5.7000000000000002E-2</v>
      </c>
      <c r="AK55" s="2">
        <v>0.1</v>
      </c>
      <c r="AL55" s="2">
        <v>1.4100000000000001E-4</v>
      </c>
      <c r="AM55" s="2">
        <v>4.95E-4</v>
      </c>
      <c r="AN55" s="2">
        <v>0.14000000000000001</v>
      </c>
      <c r="AO55" s="2"/>
      <c r="AP55" s="2">
        <v>231</v>
      </c>
    </row>
    <row r="56" spans="1:42">
      <c r="A56" s="2" t="s">
        <v>592</v>
      </c>
      <c r="B56" s="2" t="s">
        <v>543</v>
      </c>
      <c r="C56" s="2">
        <v>2.1</v>
      </c>
      <c r="D56" s="2">
        <v>4.9496999999999999E-2</v>
      </c>
      <c r="E56" s="2">
        <v>7.1</v>
      </c>
      <c r="F56" s="2">
        <v>1</v>
      </c>
      <c r="G56" s="2" t="s">
        <v>544</v>
      </c>
      <c r="H56" s="2">
        <v>0.1414</v>
      </c>
      <c r="I56" s="2">
        <v>6.3640000000000002E-2</v>
      </c>
      <c r="J56" s="2">
        <v>3.4</v>
      </c>
      <c r="K56" s="2" t="s">
        <v>544</v>
      </c>
      <c r="L56" s="2">
        <v>0.2</v>
      </c>
      <c r="M56" s="2">
        <v>0.5</v>
      </c>
      <c r="N56" s="2">
        <v>2.5</v>
      </c>
      <c r="O56" s="2" t="s">
        <v>544</v>
      </c>
      <c r="P56" s="2" t="s">
        <v>544</v>
      </c>
      <c r="Q56" s="2" t="s">
        <v>544</v>
      </c>
      <c r="R56" s="2">
        <v>0.3</v>
      </c>
      <c r="S56" s="2" t="s">
        <v>544</v>
      </c>
      <c r="T56" s="2">
        <v>0.4</v>
      </c>
      <c r="U56" s="2">
        <v>0.08</v>
      </c>
      <c r="V56" s="2" t="s">
        <v>544</v>
      </c>
      <c r="W56" s="2">
        <v>250</v>
      </c>
      <c r="X56" s="2">
        <v>53</v>
      </c>
      <c r="Y56" s="2">
        <v>620</v>
      </c>
      <c r="Z56" s="2">
        <v>87</v>
      </c>
      <c r="AA56" s="2">
        <v>61</v>
      </c>
      <c r="AB56" s="2">
        <v>0.26</v>
      </c>
      <c r="AC56" s="2">
        <v>8.0000000000000002E-3</v>
      </c>
      <c r="AD56" s="2">
        <v>350</v>
      </c>
      <c r="AE56" s="2">
        <v>2E-3</v>
      </c>
      <c r="AF56" s="2">
        <v>2.7E-2</v>
      </c>
      <c r="AG56" s="2">
        <v>0.64</v>
      </c>
      <c r="AH56" s="2" t="s">
        <v>544</v>
      </c>
      <c r="AI56" s="2">
        <v>6.2E-2</v>
      </c>
      <c r="AJ56" s="2">
        <v>4.5999999999999999E-2</v>
      </c>
      <c r="AK56" s="2">
        <v>0.13</v>
      </c>
      <c r="AL56" s="2">
        <v>4.0000000000000002E-4</v>
      </c>
      <c r="AM56" s="2">
        <v>1E-3</v>
      </c>
      <c r="AN56" s="2">
        <v>0.18</v>
      </c>
      <c r="AO56" s="2"/>
      <c r="AP56" s="2">
        <v>72.7</v>
      </c>
    </row>
    <row r="57" spans="1:42">
      <c r="A57" s="2" t="s">
        <v>593</v>
      </c>
      <c r="B57" s="2" t="s">
        <v>543</v>
      </c>
      <c r="C57" s="2">
        <v>4</v>
      </c>
      <c r="D57" s="2">
        <v>4.9496999999999999E-2</v>
      </c>
      <c r="E57" s="2">
        <v>11</v>
      </c>
      <c r="F57" s="2">
        <v>0.9</v>
      </c>
      <c r="G57" s="2" t="s">
        <v>544</v>
      </c>
      <c r="H57" s="2">
        <v>0.1414</v>
      </c>
      <c r="I57" s="2">
        <v>0.3</v>
      </c>
      <c r="J57" s="2">
        <v>4.7</v>
      </c>
      <c r="K57" s="2" t="s">
        <v>544</v>
      </c>
      <c r="L57" s="2">
        <v>0.2</v>
      </c>
      <c r="M57" s="2">
        <v>0.21210000000000001</v>
      </c>
      <c r="N57" s="2">
        <v>3.3</v>
      </c>
      <c r="O57" s="2" t="s">
        <v>544</v>
      </c>
      <c r="P57" s="2" t="s">
        <v>544</v>
      </c>
      <c r="Q57" s="2" t="s">
        <v>544</v>
      </c>
      <c r="R57" s="2">
        <v>0.2</v>
      </c>
      <c r="S57" s="2" t="s">
        <v>544</v>
      </c>
      <c r="T57" s="2">
        <v>0.1</v>
      </c>
      <c r="U57" s="2">
        <v>0.08</v>
      </c>
      <c r="V57" s="2" t="s">
        <v>544</v>
      </c>
      <c r="W57" s="2">
        <v>110</v>
      </c>
      <c r="X57" s="2">
        <v>39</v>
      </c>
      <c r="Y57" s="2">
        <v>860</v>
      </c>
      <c r="Z57" s="2">
        <v>62</v>
      </c>
      <c r="AA57" s="2">
        <v>36</v>
      </c>
      <c r="AB57" s="2">
        <v>0.46</v>
      </c>
      <c r="AC57" s="2">
        <v>0.01</v>
      </c>
      <c r="AD57" s="2">
        <v>340</v>
      </c>
      <c r="AE57" s="2">
        <v>1E-3</v>
      </c>
      <c r="AF57" s="2">
        <v>5.8000000000000003E-2</v>
      </c>
      <c r="AG57" s="2">
        <v>3.8</v>
      </c>
      <c r="AH57" s="2" t="s">
        <v>544</v>
      </c>
      <c r="AI57" s="2">
        <v>9.9000000000000005E-2</v>
      </c>
      <c r="AJ57" s="2">
        <v>3.9E-2</v>
      </c>
      <c r="AK57" s="2">
        <v>0.1</v>
      </c>
      <c r="AL57" s="2">
        <v>1.4100000000000001E-4</v>
      </c>
      <c r="AM57" s="2">
        <v>2E-3</v>
      </c>
      <c r="AN57" s="2">
        <v>0.12</v>
      </c>
      <c r="AO57" s="2"/>
      <c r="AP57" s="2">
        <v>108</v>
      </c>
    </row>
    <row r="58" spans="1:42">
      <c r="A58" s="2" t="s">
        <v>594</v>
      </c>
      <c r="B58" s="2" t="s">
        <v>543</v>
      </c>
      <c r="C58" s="2">
        <v>2.4</v>
      </c>
      <c r="D58" s="2">
        <v>4.9496999999999999E-2</v>
      </c>
      <c r="E58" s="2">
        <v>1.909</v>
      </c>
      <c r="F58" s="2">
        <v>1.2</v>
      </c>
      <c r="G58" s="2" t="s">
        <v>544</v>
      </c>
      <c r="H58" s="2">
        <v>0.1414</v>
      </c>
      <c r="I58" s="2">
        <v>0.3</v>
      </c>
      <c r="J58" s="2">
        <v>1.7</v>
      </c>
      <c r="K58" s="2" t="s">
        <v>544</v>
      </c>
      <c r="L58" s="2">
        <v>0.1</v>
      </c>
      <c r="M58" s="2">
        <v>0.21210000000000001</v>
      </c>
      <c r="N58" s="2">
        <v>2.7</v>
      </c>
      <c r="O58" s="2" t="s">
        <v>544</v>
      </c>
      <c r="P58" s="2" t="s">
        <v>544</v>
      </c>
      <c r="Q58" s="2" t="s">
        <v>544</v>
      </c>
      <c r="R58" s="2">
        <v>7.0000000000000007E-2</v>
      </c>
      <c r="S58" s="2" t="s">
        <v>544</v>
      </c>
      <c r="T58" s="2">
        <v>0.3</v>
      </c>
      <c r="U58" s="2">
        <v>0.1</v>
      </c>
      <c r="V58" s="2" t="s">
        <v>544</v>
      </c>
      <c r="W58" s="2">
        <v>58</v>
      </c>
      <c r="X58" s="2">
        <v>17</v>
      </c>
      <c r="Y58" s="2">
        <v>830</v>
      </c>
      <c r="Z58" s="2">
        <v>110</v>
      </c>
      <c r="AA58" s="2">
        <v>65</v>
      </c>
      <c r="AB58" s="2">
        <v>0.43</v>
      </c>
      <c r="AC58" s="2">
        <v>8.0000000000000002E-3</v>
      </c>
      <c r="AD58" s="2">
        <v>440</v>
      </c>
      <c r="AE58" s="2">
        <v>5.9999999999999995E-4</v>
      </c>
      <c r="AF58" s="2">
        <v>8.8999999999999996E-2</v>
      </c>
      <c r="AG58" s="2">
        <v>0.94</v>
      </c>
      <c r="AH58" s="2" t="s">
        <v>544</v>
      </c>
      <c r="AI58" s="2">
        <v>2.3E-2</v>
      </c>
      <c r="AJ58" s="2">
        <v>3.9E-2</v>
      </c>
      <c r="AK58" s="2">
        <v>0.1</v>
      </c>
      <c r="AL58" s="2">
        <v>1.4100000000000001E-4</v>
      </c>
      <c r="AM58" s="2">
        <v>6.9999999999999999E-4</v>
      </c>
      <c r="AN58" s="2">
        <v>0.21</v>
      </c>
      <c r="AO58" s="2"/>
      <c r="AP58" s="2">
        <v>246</v>
      </c>
    </row>
    <row r="59" spans="1:42">
      <c r="A59" s="2" t="s">
        <v>595</v>
      </c>
      <c r="B59" s="2" t="s">
        <v>543</v>
      </c>
      <c r="C59" s="2">
        <v>5.0999999999999996</v>
      </c>
      <c r="D59" s="2">
        <v>4.9496999999999999E-2</v>
      </c>
      <c r="E59" s="2">
        <v>5.2</v>
      </c>
      <c r="F59" s="2">
        <v>1.5</v>
      </c>
      <c r="G59" s="2" t="s">
        <v>544</v>
      </c>
      <c r="H59" s="2">
        <v>0.1414</v>
      </c>
      <c r="I59" s="2">
        <v>0.1</v>
      </c>
      <c r="J59" s="2">
        <v>1.7</v>
      </c>
      <c r="K59" s="2" t="s">
        <v>544</v>
      </c>
      <c r="L59" s="2">
        <v>0.2</v>
      </c>
      <c r="M59" s="2">
        <v>0.21210000000000001</v>
      </c>
      <c r="N59" s="2">
        <v>4</v>
      </c>
      <c r="O59" s="2" t="s">
        <v>544</v>
      </c>
      <c r="P59" s="2" t="s">
        <v>544</v>
      </c>
      <c r="Q59" s="2" t="s">
        <v>544</v>
      </c>
      <c r="R59" s="2">
        <v>0.05</v>
      </c>
      <c r="S59" s="2" t="s">
        <v>544</v>
      </c>
      <c r="T59" s="2">
        <v>0.5</v>
      </c>
      <c r="U59" s="2">
        <v>0.1</v>
      </c>
      <c r="V59" s="2">
        <v>0.05</v>
      </c>
      <c r="W59" s="2">
        <v>66</v>
      </c>
      <c r="X59" s="2">
        <v>12</v>
      </c>
      <c r="Y59" s="2">
        <v>920</v>
      </c>
      <c r="Z59" s="2">
        <v>210</v>
      </c>
      <c r="AA59" s="2">
        <v>110</v>
      </c>
      <c r="AB59" s="2">
        <v>0.49</v>
      </c>
      <c r="AC59" s="2">
        <v>0.01</v>
      </c>
      <c r="AD59" s="2">
        <v>410</v>
      </c>
      <c r="AE59" s="2">
        <v>5.9999999999999995E-4</v>
      </c>
      <c r="AF59" s="2">
        <v>4.8000000000000001E-2</v>
      </c>
      <c r="AG59" s="2">
        <v>0.82</v>
      </c>
      <c r="AH59" s="2" t="s">
        <v>544</v>
      </c>
      <c r="AI59" s="2">
        <v>0.06</v>
      </c>
      <c r="AJ59" s="2">
        <v>0.05</v>
      </c>
      <c r="AK59" s="2">
        <v>0.21</v>
      </c>
      <c r="AL59" s="2">
        <v>2.9999999999999997E-4</v>
      </c>
      <c r="AM59" s="2">
        <v>8.0000000000000004E-4</v>
      </c>
      <c r="AN59" s="2">
        <v>0.35</v>
      </c>
      <c r="AO59" s="2"/>
      <c r="AP59" s="2">
        <v>216</v>
      </c>
    </row>
    <row r="60" spans="1:42">
      <c r="A60" s="2" t="s">
        <v>596</v>
      </c>
      <c r="B60" s="2" t="s">
        <v>543</v>
      </c>
      <c r="C60" s="2">
        <v>5.4</v>
      </c>
      <c r="D60" s="2">
        <v>4.9496999999999999E-2</v>
      </c>
      <c r="E60" s="2">
        <v>4.7</v>
      </c>
      <c r="F60" s="2">
        <v>1.4</v>
      </c>
      <c r="G60" s="2" t="s">
        <v>544</v>
      </c>
      <c r="H60" s="2">
        <v>0.1414</v>
      </c>
      <c r="I60" s="2">
        <v>0.2</v>
      </c>
      <c r="J60" s="2">
        <v>3.6</v>
      </c>
      <c r="K60" s="2" t="s">
        <v>544</v>
      </c>
      <c r="L60" s="2">
        <v>0.2</v>
      </c>
      <c r="M60" s="2">
        <v>0.21210000000000001</v>
      </c>
      <c r="N60" s="2">
        <v>3.3</v>
      </c>
      <c r="O60" s="2" t="s">
        <v>544</v>
      </c>
      <c r="P60" s="2" t="s">
        <v>544</v>
      </c>
      <c r="Q60" s="2" t="s">
        <v>544</v>
      </c>
      <c r="R60" s="2">
        <v>0.08</v>
      </c>
      <c r="S60" s="2" t="s">
        <v>544</v>
      </c>
      <c r="T60" s="2">
        <v>4.9489999999999999E-2</v>
      </c>
      <c r="U60" s="2">
        <v>0.1</v>
      </c>
      <c r="V60" s="2" t="s">
        <v>544</v>
      </c>
      <c r="W60" s="2">
        <v>74</v>
      </c>
      <c r="X60" s="2">
        <v>16</v>
      </c>
      <c r="Y60" s="2">
        <v>740</v>
      </c>
      <c r="Z60" s="2">
        <v>120</v>
      </c>
      <c r="AA60" s="2">
        <v>60</v>
      </c>
      <c r="AB60" s="2">
        <v>0.31</v>
      </c>
      <c r="AC60" s="2">
        <v>0.01</v>
      </c>
      <c r="AD60" s="2">
        <v>500</v>
      </c>
      <c r="AE60" s="2">
        <v>5.0000000000000001E-4</v>
      </c>
      <c r="AF60" s="2">
        <v>4.7E-2</v>
      </c>
      <c r="AG60" s="2">
        <v>1</v>
      </c>
      <c r="AH60" s="2" t="s">
        <v>544</v>
      </c>
      <c r="AI60" s="2">
        <v>3.5000000000000003E-2</v>
      </c>
      <c r="AJ60" s="2">
        <v>4.1000000000000002E-2</v>
      </c>
      <c r="AK60" s="2">
        <v>0.1</v>
      </c>
      <c r="AL60" s="2">
        <v>1.4100000000000001E-4</v>
      </c>
      <c r="AM60" s="2">
        <v>2E-3</v>
      </c>
      <c r="AN60" s="2">
        <v>0.22</v>
      </c>
      <c r="AO60" s="2"/>
      <c r="AP60" s="2">
        <v>184</v>
      </c>
    </row>
    <row r="61" spans="1:42">
      <c r="A61" s="2" t="s">
        <v>597</v>
      </c>
      <c r="B61" s="2" t="s">
        <v>543</v>
      </c>
      <c r="C61" s="2">
        <v>1.6</v>
      </c>
      <c r="D61" s="2">
        <v>4.9496999999999999E-2</v>
      </c>
      <c r="E61" s="2">
        <v>42</v>
      </c>
      <c r="F61" s="2">
        <v>1.4</v>
      </c>
      <c r="G61" s="2" t="s">
        <v>544</v>
      </c>
      <c r="H61" s="2">
        <v>0.1414</v>
      </c>
      <c r="I61" s="2">
        <v>6.3640000000000002E-2</v>
      </c>
      <c r="J61" s="2">
        <v>5.6</v>
      </c>
      <c r="K61" s="2" t="s">
        <v>544</v>
      </c>
      <c r="L61" s="2">
        <v>0.3</v>
      </c>
      <c r="M61" s="2">
        <v>0.5</v>
      </c>
      <c r="N61" s="2">
        <v>2.4</v>
      </c>
      <c r="O61" s="2" t="s">
        <v>544</v>
      </c>
      <c r="P61" s="2" t="s">
        <v>544</v>
      </c>
      <c r="Q61" s="2" t="s">
        <v>544</v>
      </c>
      <c r="R61" s="2">
        <v>0.2</v>
      </c>
      <c r="S61" s="2" t="s">
        <v>544</v>
      </c>
      <c r="T61" s="2">
        <v>0.6</v>
      </c>
      <c r="U61" s="2">
        <v>3.5349999999999999E-2</v>
      </c>
      <c r="V61" s="2" t="s">
        <v>544</v>
      </c>
      <c r="W61" s="2">
        <v>110</v>
      </c>
      <c r="X61" s="2">
        <v>29</v>
      </c>
      <c r="Y61" s="2">
        <v>650</v>
      </c>
      <c r="Z61" s="2">
        <v>32</v>
      </c>
      <c r="AA61" s="2">
        <v>44</v>
      </c>
      <c r="AB61" s="2">
        <v>0.2</v>
      </c>
      <c r="AC61" s="2">
        <v>4.4999999999999998E-2</v>
      </c>
      <c r="AD61" s="2">
        <v>830</v>
      </c>
      <c r="AE61" s="2">
        <v>1E-3</v>
      </c>
      <c r="AF61" s="2">
        <v>3.9E-2</v>
      </c>
      <c r="AG61" s="2">
        <v>1.5</v>
      </c>
      <c r="AH61" s="2" t="s">
        <v>544</v>
      </c>
      <c r="AI61" s="2">
        <v>0.08</v>
      </c>
      <c r="AJ61" s="2">
        <v>7.4999999999999997E-2</v>
      </c>
      <c r="AK61" s="2">
        <v>0.1</v>
      </c>
      <c r="AL61" s="2">
        <v>1.4100000000000001E-4</v>
      </c>
      <c r="AM61" s="2">
        <v>4.95E-4</v>
      </c>
      <c r="AN61" s="2">
        <v>7.0710999999999996E-2</v>
      </c>
      <c r="AO61" s="2"/>
      <c r="AP61" s="2">
        <v>144</v>
      </c>
    </row>
    <row r="62" spans="1:42">
      <c r="A62" s="2" t="s">
        <v>598</v>
      </c>
      <c r="B62" s="2" t="s">
        <v>543</v>
      </c>
      <c r="C62" s="2">
        <v>9.9</v>
      </c>
      <c r="D62" s="2">
        <v>4.9496999999999999E-2</v>
      </c>
      <c r="E62" s="2">
        <v>5.2</v>
      </c>
      <c r="F62" s="2">
        <v>3</v>
      </c>
      <c r="G62" s="2" t="s">
        <v>544</v>
      </c>
      <c r="H62" s="2">
        <v>2.1</v>
      </c>
      <c r="I62" s="2">
        <v>0.4</v>
      </c>
      <c r="J62" s="2">
        <v>3.8</v>
      </c>
      <c r="K62" s="2" t="s">
        <v>544</v>
      </c>
      <c r="L62" s="2">
        <v>0.2</v>
      </c>
      <c r="M62" s="2">
        <v>0.21210000000000001</v>
      </c>
      <c r="N62" s="2">
        <v>3.3</v>
      </c>
      <c r="O62" s="2" t="s">
        <v>544</v>
      </c>
      <c r="P62" s="2" t="s">
        <v>544</v>
      </c>
      <c r="Q62" s="2" t="s">
        <v>544</v>
      </c>
      <c r="R62" s="2">
        <v>7.0000000000000007E-2</v>
      </c>
      <c r="S62" s="2" t="s">
        <v>544</v>
      </c>
      <c r="T62" s="2">
        <v>0.4</v>
      </c>
      <c r="U62" s="2">
        <v>0.2</v>
      </c>
      <c r="V62" s="2" t="s">
        <v>544</v>
      </c>
      <c r="W62" s="2">
        <v>96</v>
      </c>
      <c r="X62" s="2">
        <v>20</v>
      </c>
      <c r="Y62" s="2">
        <v>730</v>
      </c>
      <c r="Z62" s="2">
        <v>150</v>
      </c>
      <c r="AA62" s="2">
        <v>76</v>
      </c>
      <c r="AB62" s="2">
        <v>0.66</v>
      </c>
      <c r="AC62" s="2">
        <v>8.0000000000000002E-3</v>
      </c>
      <c r="AD62" s="2">
        <v>390</v>
      </c>
      <c r="AE62" s="2">
        <v>8.0000000000000004E-4</v>
      </c>
      <c r="AF62" s="2">
        <v>4.1000000000000002E-2</v>
      </c>
      <c r="AG62" s="2">
        <v>0.75</v>
      </c>
      <c r="AH62" s="2" t="s">
        <v>544</v>
      </c>
      <c r="AI62" s="2">
        <v>3.2000000000000001E-2</v>
      </c>
      <c r="AJ62" s="2">
        <v>3.7999999999999999E-2</v>
      </c>
      <c r="AK62" s="2">
        <v>0.19</v>
      </c>
      <c r="AL62" s="2">
        <v>1.4100000000000001E-4</v>
      </c>
      <c r="AM62" s="2">
        <v>4.95E-4</v>
      </c>
      <c r="AN62" s="2">
        <v>0.28000000000000003</v>
      </c>
      <c r="AO62" s="2"/>
      <c r="AP62" s="2">
        <v>170</v>
      </c>
    </row>
    <row r="63" spans="1:42">
      <c r="A63" s="2" t="s">
        <v>599</v>
      </c>
      <c r="B63" s="2" t="s">
        <v>543</v>
      </c>
      <c r="C63" s="2">
        <v>2.4</v>
      </c>
      <c r="D63" s="2">
        <v>4.9496999999999999E-2</v>
      </c>
      <c r="E63" s="2">
        <v>15</v>
      </c>
      <c r="F63" s="2">
        <v>2.2999999999999998</v>
      </c>
      <c r="G63" s="2" t="s">
        <v>544</v>
      </c>
      <c r="H63" s="2">
        <v>0.1414</v>
      </c>
      <c r="I63" s="2">
        <v>6.3640000000000002E-2</v>
      </c>
      <c r="J63" s="2">
        <v>5.2</v>
      </c>
      <c r="K63" s="2" t="s">
        <v>544</v>
      </c>
      <c r="L63" s="2">
        <v>0.3</v>
      </c>
      <c r="M63" s="2">
        <v>0.21210000000000001</v>
      </c>
      <c r="N63" s="2">
        <v>2</v>
      </c>
      <c r="O63" s="2" t="s">
        <v>544</v>
      </c>
      <c r="P63" s="2" t="s">
        <v>544</v>
      </c>
      <c r="Q63" s="2" t="s">
        <v>544</v>
      </c>
      <c r="R63" s="2">
        <v>0.1</v>
      </c>
      <c r="S63" s="2" t="s">
        <v>544</v>
      </c>
      <c r="T63" s="2">
        <v>0.3</v>
      </c>
      <c r="U63" s="2">
        <v>3.5349999999999999E-2</v>
      </c>
      <c r="V63" s="2" t="s">
        <v>544</v>
      </c>
      <c r="W63" s="2">
        <v>59</v>
      </c>
      <c r="X63" s="2">
        <v>14</v>
      </c>
      <c r="Y63" s="2">
        <v>580</v>
      </c>
      <c r="Z63" s="2">
        <v>80</v>
      </c>
      <c r="AA63" s="2">
        <v>74</v>
      </c>
      <c r="AB63" s="2">
        <v>0.56999999999999995</v>
      </c>
      <c r="AC63" s="2">
        <v>1.0999999999999999E-2</v>
      </c>
      <c r="AD63" s="2">
        <v>400</v>
      </c>
      <c r="AE63" s="2">
        <v>5.9999999999999995E-4</v>
      </c>
      <c r="AF63" s="2">
        <v>3.5000000000000003E-2</v>
      </c>
      <c r="AG63" s="2">
        <v>2.8</v>
      </c>
      <c r="AH63" s="2" t="s">
        <v>544</v>
      </c>
      <c r="AI63" s="2">
        <v>7.8E-2</v>
      </c>
      <c r="AJ63" s="2">
        <v>5.8000000000000003E-2</v>
      </c>
      <c r="AK63" s="2">
        <v>0.2</v>
      </c>
      <c r="AL63" s="2">
        <v>1.4100000000000001E-4</v>
      </c>
      <c r="AM63" s="2">
        <v>4.95E-4</v>
      </c>
      <c r="AN63" s="2">
        <v>7.0710999999999996E-2</v>
      </c>
      <c r="AO63" s="2"/>
      <c r="AP63" s="2">
        <v>62.9</v>
      </c>
    </row>
    <row r="65" spans="1:42">
      <c r="A65" t="s">
        <v>600</v>
      </c>
      <c r="C65">
        <v>1</v>
      </c>
      <c r="D65">
        <v>7.0000000000000007E-2</v>
      </c>
      <c r="E65">
        <v>2.7</v>
      </c>
      <c r="F65">
        <v>0.2</v>
      </c>
      <c r="G65">
        <v>0</v>
      </c>
      <c r="H65">
        <v>0.2</v>
      </c>
      <c r="I65">
        <v>0.09</v>
      </c>
      <c r="J65">
        <v>1.2</v>
      </c>
      <c r="K65">
        <v>0.08</v>
      </c>
      <c r="L65">
        <v>0.09</v>
      </c>
      <c r="M65">
        <v>0.3</v>
      </c>
      <c r="N65">
        <v>0.8</v>
      </c>
      <c r="O65">
        <v>0</v>
      </c>
      <c r="P65">
        <v>0</v>
      </c>
      <c r="Q65">
        <v>0</v>
      </c>
      <c r="R65">
        <v>0.05</v>
      </c>
      <c r="S65">
        <v>0</v>
      </c>
      <c r="T65">
        <v>7.0000000000000007E-2</v>
      </c>
      <c r="U65">
        <v>0.05</v>
      </c>
      <c r="V65">
        <v>0.05</v>
      </c>
      <c r="W65">
        <v>21</v>
      </c>
      <c r="X65">
        <v>10</v>
      </c>
      <c r="Y65">
        <v>190</v>
      </c>
      <c r="Z65">
        <v>4.2</v>
      </c>
      <c r="AA65">
        <v>26</v>
      </c>
      <c r="AB65">
        <v>5.1999999999999998E-2</v>
      </c>
      <c r="AC65">
        <v>6.0000000000000001E-3</v>
      </c>
      <c r="AD65">
        <v>290</v>
      </c>
      <c r="AE65">
        <v>4.0000000000000002E-4</v>
      </c>
      <c r="AF65">
        <v>3.0000000000000001E-3</v>
      </c>
      <c r="AG65">
        <v>0.48</v>
      </c>
      <c r="AH65">
        <v>5.9999999999999995E-4</v>
      </c>
      <c r="AI65">
        <v>8.9999999999999993E-3</v>
      </c>
      <c r="AJ65">
        <v>2.5999999999999999E-2</v>
      </c>
      <c r="AK65">
        <v>1.9E-2</v>
      </c>
      <c r="AL65">
        <v>2.0000000000000001E-4</v>
      </c>
      <c r="AM65">
        <v>6.9999999999999999E-4</v>
      </c>
      <c r="AN65">
        <v>0.1</v>
      </c>
      <c r="AP65">
        <v>41.3</v>
      </c>
    </row>
    <row r="66" spans="1:42">
      <c r="A66" t="s">
        <v>601</v>
      </c>
      <c r="C66">
        <f>C65/SQRT(2)</f>
        <v>0.70710678118654746</v>
      </c>
      <c r="D66">
        <f t="shared" ref="D66:AP66" si="0">D65/SQRT(2)</f>
        <v>4.9497474683058325E-2</v>
      </c>
      <c r="E66">
        <f t="shared" si="0"/>
        <v>1.9091883092036783</v>
      </c>
      <c r="F66">
        <f t="shared" si="0"/>
        <v>0.1414213562373095</v>
      </c>
      <c r="G66">
        <f t="shared" si="0"/>
        <v>0</v>
      </c>
      <c r="H66">
        <f t="shared" si="0"/>
        <v>0.1414213562373095</v>
      </c>
      <c r="I66">
        <f t="shared" si="0"/>
        <v>6.3639610306789274E-2</v>
      </c>
      <c r="J66">
        <f t="shared" si="0"/>
        <v>0.84852813742385691</v>
      </c>
      <c r="K66">
        <f t="shared" si="0"/>
        <v>5.6568542494923796E-2</v>
      </c>
      <c r="L66">
        <f t="shared" si="0"/>
        <v>6.3639610306789274E-2</v>
      </c>
      <c r="M66">
        <f t="shared" si="0"/>
        <v>0.21213203435596423</v>
      </c>
      <c r="N66">
        <f t="shared" si="0"/>
        <v>0.56568542494923801</v>
      </c>
      <c r="O66">
        <f t="shared" si="0"/>
        <v>0</v>
      </c>
      <c r="P66">
        <f t="shared" si="0"/>
        <v>0</v>
      </c>
      <c r="Q66">
        <f t="shared" si="0"/>
        <v>0</v>
      </c>
      <c r="R66">
        <f t="shared" si="0"/>
        <v>3.5355339059327376E-2</v>
      </c>
      <c r="S66">
        <f t="shared" si="0"/>
        <v>0</v>
      </c>
      <c r="T66">
        <f t="shared" si="0"/>
        <v>4.9497474683058325E-2</v>
      </c>
      <c r="U66">
        <f t="shared" si="0"/>
        <v>3.5355339059327376E-2</v>
      </c>
      <c r="V66">
        <f t="shared" si="0"/>
        <v>3.5355339059327376E-2</v>
      </c>
      <c r="W66">
        <f t="shared" si="0"/>
        <v>14.849242404917497</v>
      </c>
      <c r="X66">
        <f t="shared" si="0"/>
        <v>7.0710678118654746</v>
      </c>
      <c r="Y66">
        <f t="shared" si="0"/>
        <v>134.35028842544403</v>
      </c>
      <c r="Z66">
        <f t="shared" si="0"/>
        <v>2.9698484809834995</v>
      </c>
      <c r="AA66">
        <f t="shared" si="0"/>
        <v>18.384776310850235</v>
      </c>
      <c r="AB66">
        <f t="shared" si="0"/>
        <v>3.6769552621700466E-2</v>
      </c>
      <c r="AC66">
        <f t="shared" si="0"/>
        <v>4.2426406871192849E-3</v>
      </c>
      <c r="AD66">
        <f t="shared" si="0"/>
        <v>205.06096654409876</v>
      </c>
      <c r="AE66">
        <f t="shared" si="0"/>
        <v>2.8284271247461902E-4</v>
      </c>
      <c r="AF66">
        <f t="shared" si="0"/>
        <v>2.1213203435596424E-3</v>
      </c>
      <c r="AG66">
        <f t="shared" si="0"/>
        <v>0.33941125496954277</v>
      </c>
      <c r="AH66">
        <f t="shared" si="0"/>
        <v>4.2426406871192844E-4</v>
      </c>
      <c r="AI66">
        <f t="shared" si="0"/>
        <v>6.3639610306789269E-3</v>
      </c>
      <c r="AJ66">
        <f t="shared" si="0"/>
        <v>1.8384776310850233E-2</v>
      </c>
      <c r="AK66">
        <f t="shared" si="0"/>
        <v>1.3435028842544402E-2</v>
      </c>
      <c r="AL66">
        <f t="shared" si="0"/>
        <v>1.4142135623730951E-4</v>
      </c>
      <c r="AM66">
        <f t="shared" si="0"/>
        <v>4.9497474683058318E-4</v>
      </c>
      <c r="AN66">
        <f t="shared" si="0"/>
        <v>7.0710678118654752E-2</v>
      </c>
      <c r="AP66">
        <f t="shared" si="0"/>
        <v>29.203510063004408</v>
      </c>
    </row>
    <row r="67" spans="1:42">
      <c r="A67" t="s">
        <v>602</v>
      </c>
      <c r="C67">
        <f>COUNTIF(C3:C33,"&lt;1")</f>
        <v>1</v>
      </c>
      <c r="D67">
        <f>COUNTIF(D3:D33,"&lt;.07")</f>
        <v>26</v>
      </c>
      <c r="E67">
        <f>COUNTIF(E3:E33,"2.7")</f>
        <v>1</v>
      </c>
      <c r="F67">
        <f>COUNTIF(F3:F33,"&lt;0.2")</f>
        <v>0</v>
      </c>
      <c r="G67">
        <f>COUNTIF(G3:G33,"&lt;g65")</f>
        <v>28</v>
      </c>
      <c r="H67">
        <f>COUNTIF(H3:H33,"&lt;0.2")</f>
        <v>25</v>
      </c>
      <c r="I67">
        <f>COUNTIF(I3:I33,"&lt;0.09")</f>
        <v>7</v>
      </c>
      <c r="J67">
        <f>COUNTIF(J3:J33,"&lt;1.2")</f>
        <v>0</v>
      </c>
      <c r="K67">
        <f>COUNTIF(K3:K33,"&lt;k65")</f>
        <v>26</v>
      </c>
      <c r="L67">
        <f>COUNTIF(L3:L33,"&lt;l65")</f>
        <v>0</v>
      </c>
      <c r="M67">
        <f>COUNTIF(M3:M33,"&lt;m65")</f>
        <v>0</v>
      </c>
      <c r="N67">
        <f>COUNTIF(N3:N33,"&lt;0.8")</f>
        <v>0</v>
      </c>
      <c r="O67">
        <f>COUNTIF(O3:O33,"&lt;o65")</f>
        <v>28</v>
      </c>
      <c r="P67">
        <f>COUNTIF(P3:P33,"&lt;p65")</f>
        <v>28</v>
      </c>
      <c r="Q67">
        <f>COUNTIF(Q3:Q33,"&lt;q65")</f>
        <v>28</v>
      </c>
      <c r="R67">
        <f>COUNTIF(R3:R33,"&lt;0.05")</f>
        <v>0</v>
      </c>
      <c r="S67">
        <f>COUNTIF(S3:S33,"&lt;S65")</f>
        <v>28</v>
      </c>
      <c r="T67">
        <f>COUNTIF(T3:T33,"&lt;0.07")</f>
        <v>0</v>
      </c>
      <c r="U67">
        <f>COUNTIF(U3:U33,"&lt;0.05")</f>
        <v>11</v>
      </c>
      <c r="V67">
        <f>COUNTIF(V3:V33,"&lt;V65")</f>
        <v>26</v>
      </c>
      <c r="W67">
        <f>COUNTIF(W3:W33,"&lt;21")</f>
        <v>0</v>
      </c>
      <c r="X67">
        <f>COUNTIF(X3:X33,"&lt;X65")</f>
        <v>0</v>
      </c>
      <c r="Y67">
        <f>COUNTIF(Y3:Y33,"&lt;Y65")</f>
        <v>0</v>
      </c>
      <c r="Z67">
        <f>COUNTIF(Z3:Z33,"&lt;Z65")</f>
        <v>0</v>
      </c>
      <c r="AA67">
        <f>COUNTIF(AA3:AA33,"&lt;AA65")</f>
        <v>0</v>
      </c>
      <c r="AB67">
        <f>COUNTIF(AB3:AB33,"&lt;AB65")</f>
        <v>0</v>
      </c>
      <c r="AC67">
        <f>COUNTIF(AC3:AC33,"&lt;AC65")</f>
        <v>0</v>
      </c>
      <c r="AD67">
        <f>COUNTIF(AD3:AD33,"&lt;AD65")</f>
        <v>0</v>
      </c>
      <c r="AE67">
        <f>COUNTIF(AE3:AE33,"&lt;.0004")</f>
        <v>0</v>
      </c>
      <c r="AF67">
        <f>COUNTIF(AF3:AF33,"&lt;AF65")</f>
        <v>0</v>
      </c>
      <c r="AG67">
        <f>COUNTIF(AG3:AG33,"&lt;AG65")</f>
        <v>0</v>
      </c>
      <c r="AH67">
        <f>COUNTIF(AH3:AH33,"&lt;AH65")</f>
        <v>28</v>
      </c>
      <c r="AI67">
        <f>COUNTIF(AI3:AI33,"&lt;AI65")</f>
        <v>0</v>
      </c>
      <c r="AJ67">
        <f>COUNTIF(AJ3:AJ33,"&lt;AJ65")</f>
        <v>0</v>
      </c>
      <c r="AK67">
        <f>COUNTIF(AK3:AK33,"&lt;AK65")</f>
        <v>0</v>
      </c>
      <c r="AL67">
        <f>COUNTIF(AL3:AL33,"&lt;.0002")</f>
        <v>22</v>
      </c>
      <c r="AM67">
        <f>COUNTIF(AM3:AM33,"&lt;.0007")</f>
        <v>23</v>
      </c>
      <c r="AN67">
        <f>COUNTIF(AN3:AN33,"&lt;.1")</f>
        <v>7</v>
      </c>
      <c r="AP67">
        <f>COUNTIF(AP3:AP33,"&lt;AP65")</f>
        <v>0</v>
      </c>
    </row>
    <row r="68" spans="1:42">
      <c r="A68" t="s">
        <v>603</v>
      </c>
      <c r="C68">
        <f>COUNTIF(C35:C63,"&lt;1")</f>
        <v>0</v>
      </c>
      <c r="D68">
        <f>COUNTIF(D35:D63,"&lt;.07")</f>
        <v>28</v>
      </c>
      <c r="E68">
        <f>COUNTIF(E35:E63,"&lt;2.7")</f>
        <v>4</v>
      </c>
      <c r="F68">
        <f>COUNTIF(F35:F63,"&lt;0.2")</f>
        <v>1</v>
      </c>
      <c r="G68">
        <f>COUNTIF(G35:G63,"&lt;G65")</f>
        <v>29</v>
      </c>
      <c r="H68">
        <f>COUNTIF(H35:H63,"&lt;0.2")</f>
        <v>23</v>
      </c>
      <c r="I68">
        <f>COUNTIF(I35:I63,"&lt;0.09")</f>
        <v>11</v>
      </c>
      <c r="J68">
        <f>COUNTIF(J35:J63,"&lt;1.2")</f>
        <v>0</v>
      </c>
      <c r="K68">
        <f>COUNTIF(K35:K63,"&lt;K65")</f>
        <v>29</v>
      </c>
      <c r="L68">
        <f>COUNTIF(L35:L63,"LC65")</f>
        <v>0</v>
      </c>
      <c r="M68">
        <f>COUNTIF(M35:M63,"&lt;M65")</f>
        <v>1</v>
      </c>
      <c r="N68">
        <f>COUNTIF(N35:N63,"&lt;0.8")</f>
        <v>2</v>
      </c>
      <c r="O68">
        <f>COUNTIF(O35:O63,"&lt;O65")</f>
        <v>29</v>
      </c>
      <c r="P68">
        <f>COUNTIF(P35:P63,"&lt;P65")</f>
        <v>29</v>
      </c>
      <c r="Q68">
        <f>COUNTIF(Q35:Q63,"&lt;Q65")</f>
        <v>29</v>
      </c>
      <c r="R68">
        <f>COUNTIF(R35:R63,"&lt;0.05")</f>
        <v>2</v>
      </c>
      <c r="S68">
        <f>COUNTIF(S35:S63,"&lt;s65")</f>
        <v>29</v>
      </c>
      <c r="T68">
        <f>COUNTIF(T35:T63,"&lt;0.07")</f>
        <v>2</v>
      </c>
      <c r="U68">
        <f>COUNTIF(U35:U63,"&lt;0.05")</f>
        <v>7</v>
      </c>
      <c r="V68">
        <f>COUNTIF(V35:V63,"&lt;v65")</f>
        <v>28</v>
      </c>
      <c r="W68">
        <f>COUNTIF(W35:W63,"&lt;21")</f>
        <v>0</v>
      </c>
      <c r="X68">
        <f>COUNTIF(X35:X63,"&lt;x65")</f>
        <v>0</v>
      </c>
      <c r="Y68">
        <f>COUNTIF(Y35:Y63,"&lt;y65")</f>
        <v>0</v>
      </c>
      <c r="Z68">
        <f>COUNTIF(Z35:Z63,"&lt;z65")</f>
        <v>0</v>
      </c>
      <c r="AA68">
        <f>COUNTIF(AA35:AA63,"&lt;aa65")</f>
        <v>0</v>
      </c>
      <c r="AB68">
        <f>COUNTIF(AB35:AB63,"&lt;ab65")</f>
        <v>0</v>
      </c>
      <c r="AC68">
        <f>COUNTIF(AC35:AC63,"&lt;ac65")</f>
        <v>0</v>
      </c>
      <c r="AD68">
        <f>COUNTIF(AD35:AD63,"&lt;ad65")</f>
        <v>0</v>
      </c>
      <c r="AE68">
        <f>COUNTIF(AE35:AE63,"&lt;.0004")</f>
        <v>2</v>
      </c>
      <c r="AF68">
        <f>COUNTIF(AF35:AF63,"&lt;af65")</f>
        <v>0</v>
      </c>
      <c r="AG68">
        <f>COUNTIF(AG35:AG63,"&lt;ag65")</f>
        <v>0</v>
      </c>
      <c r="AH68">
        <f>COUNTIF(AH35:AH63,"&lt;ah65")</f>
        <v>28</v>
      </c>
      <c r="AI68">
        <f>COUNTIF(AI35:AI63,"&lt;ai65")</f>
        <v>0</v>
      </c>
      <c r="AJ68">
        <f>COUNTIF(AJ35:AJ63,"&lt;Caj5")</f>
        <v>0</v>
      </c>
      <c r="AK68">
        <f>COUNTIF(AK35:AK63,"&lt;ak65")</f>
        <v>0</v>
      </c>
      <c r="AL68">
        <f>COUNTIF(AL35:AL63,"&lt;.0002")</f>
        <v>22</v>
      </c>
      <c r="AM68">
        <f>COUNTIF(AM35:AM63,"&lt;.0007")</f>
        <v>19</v>
      </c>
      <c r="AN68">
        <f>COUNTIF(AN35:AN63,"&lt;.1")</f>
        <v>8</v>
      </c>
      <c r="AP68">
        <f>COUNTIF(AP35:AP63,"&lt;ap65")</f>
        <v>0</v>
      </c>
    </row>
    <row r="69" spans="1:42">
      <c r="A69" t="s">
        <v>604</v>
      </c>
      <c r="C69" s="108">
        <f>C67/28</f>
        <v>3.5714285714285712E-2</v>
      </c>
      <c r="D69" s="108">
        <f t="shared" ref="D69:AP70" si="1">D67/28</f>
        <v>0.9285714285714286</v>
      </c>
      <c r="E69" s="108">
        <f t="shared" si="1"/>
        <v>3.5714285714285712E-2</v>
      </c>
      <c r="F69" s="108">
        <f t="shared" si="1"/>
        <v>0</v>
      </c>
      <c r="G69" s="108">
        <f t="shared" si="1"/>
        <v>1</v>
      </c>
      <c r="H69" s="108">
        <f t="shared" si="1"/>
        <v>0.8928571428571429</v>
      </c>
      <c r="I69" s="108">
        <f t="shared" si="1"/>
        <v>0.25</v>
      </c>
      <c r="J69" s="108">
        <f t="shared" si="1"/>
        <v>0</v>
      </c>
      <c r="K69" s="108">
        <f t="shared" si="1"/>
        <v>0.9285714285714286</v>
      </c>
      <c r="L69" s="108">
        <f t="shared" si="1"/>
        <v>0</v>
      </c>
      <c r="M69" s="108">
        <f t="shared" si="1"/>
        <v>0</v>
      </c>
      <c r="N69" s="108">
        <f t="shared" si="1"/>
        <v>0</v>
      </c>
      <c r="O69" s="108">
        <f t="shared" si="1"/>
        <v>1</v>
      </c>
      <c r="P69" s="108">
        <f t="shared" si="1"/>
        <v>1</v>
      </c>
      <c r="Q69" s="108">
        <f t="shared" si="1"/>
        <v>1</v>
      </c>
      <c r="R69" s="108">
        <f t="shared" si="1"/>
        <v>0</v>
      </c>
      <c r="S69" s="108">
        <f t="shared" si="1"/>
        <v>1</v>
      </c>
      <c r="T69" s="108">
        <f t="shared" si="1"/>
        <v>0</v>
      </c>
      <c r="U69" s="108">
        <f t="shared" si="1"/>
        <v>0.39285714285714285</v>
      </c>
      <c r="V69" s="108">
        <f t="shared" si="1"/>
        <v>0.9285714285714286</v>
      </c>
      <c r="W69" s="108">
        <f t="shared" si="1"/>
        <v>0</v>
      </c>
      <c r="X69" s="108">
        <f t="shared" si="1"/>
        <v>0</v>
      </c>
      <c r="Y69" s="108">
        <f t="shared" si="1"/>
        <v>0</v>
      </c>
      <c r="Z69" s="108">
        <f t="shared" si="1"/>
        <v>0</v>
      </c>
      <c r="AA69" s="108">
        <f t="shared" si="1"/>
        <v>0</v>
      </c>
      <c r="AB69" s="108">
        <f t="shared" si="1"/>
        <v>0</v>
      </c>
      <c r="AC69" s="108">
        <f t="shared" si="1"/>
        <v>0</v>
      </c>
      <c r="AD69" s="108">
        <f t="shared" si="1"/>
        <v>0</v>
      </c>
      <c r="AE69" s="108">
        <f t="shared" si="1"/>
        <v>0</v>
      </c>
      <c r="AF69" s="108">
        <f t="shared" si="1"/>
        <v>0</v>
      </c>
      <c r="AG69" s="108">
        <f t="shared" si="1"/>
        <v>0</v>
      </c>
      <c r="AH69" s="108">
        <f t="shared" si="1"/>
        <v>1</v>
      </c>
      <c r="AI69" s="108">
        <f t="shared" si="1"/>
        <v>0</v>
      </c>
      <c r="AJ69" s="108">
        <f t="shared" si="1"/>
        <v>0</v>
      </c>
      <c r="AK69" s="108">
        <f t="shared" si="1"/>
        <v>0</v>
      </c>
      <c r="AL69" s="108">
        <f t="shared" si="1"/>
        <v>0.7857142857142857</v>
      </c>
      <c r="AM69" s="108">
        <f t="shared" si="1"/>
        <v>0.8214285714285714</v>
      </c>
      <c r="AN69" s="108">
        <f t="shared" si="1"/>
        <v>0.25</v>
      </c>
      <c r="AO69" s="108"/>
      <c r="AP69" s="108">
        <f t="shared" si="1"/>
        <v>0</v>
      </c>
    </row>
    <row r="70" spans="1:42">
      <c r="A70" t="s">
        <v>605</v>
      </c>
      <c r="C70" s="108">
        <f>C68/28</f>
        <v>0</v>
      </c>
      <c r="D70" s="108">
        <f t="shared" si="1"/>
        <v>1</v>
      </c>
      <c r="E70" s="108">
        <f t="shared" si="1"/>
        <v>0.14285714285714285</v>
      </c>
      <c r="F70" s="108">
        <f t="shared" si="1"/>
        <v>3.5714285714285712E-2</v>
      </c>
      <c r="G70" s="108">
        <f t="shared" si="1"/>
        <v>1.0357142857142858</v>
      </c>
      <c r="H70" s="108">
        <f t="shared" si="1"/>
        <v>0.8214285714285714</v>
      </c>
      <c r="I70" s="108">
        <f t="shared" si="1"/>
        <v>0.39285714285714285</v>
      </c>
      <c r="J70" s="108">
        <f t="shared" si="1"/>
        <v>0</v>
      </c>
      <c r="K70" s="108">
        <f t="shared" si="1"/>
        <v>1.0357142857142858</v>
      </c>
      <c r="L70" s="108">
        <f t="shared" si="1"/>
        <v>0</v>
      </c>
      <c r="M70" s="108">
        <f t="shared" si="1"/>
        <v>3.5714285714285712E-2</v>
      </c>
      <c r="N70" s="108">
        <f t="shared" si="1"/>
        <v>7.1428571428571425E-2</v>
      </c>
      <c r="O70" s="108">
        <f t="shared" si="1"/>
        <v>1.0357142857142858</v>
      </c>
      <c r="P70" s="108">
        <f t="shared" si="1"/>
        <v>1.0357142857142858</v>
      </c>
      <c r="Q70" s="108">
        <f t="shared" si="1"/>
        <v>1.0357142857142858</v>
      </c>
      <c r="R70" s="108">
        <f t="shared" si="1"/>
        <v>7.1428571428571425E-2</v>
      </c>
      <c r="S70" s="108">
        <f t="shared" si="1"/>
        <v>1.0357142857142858</v>
      </c>
      <c r="T70" s="108">
        <f t="shared" si="1"/>
        <v>7.1428571428571425E-2</v>
      </c>
      <c r="U70" s="108">
        <f t="shared" si="1"/>
        <v>0.25</v>
      </c>
      <c r="V70" s="108">
        <f t="shared" si="1"/>
        <v>1</v>
      </c>
      <c r="W70" s="108">
        <f t="shared" si="1"/>
        <v>0</v>
      </c>
      <c r="X70" s="108">
        <f t="shared" si="1"/>
        <v>0</v>
      </c>
      <c r="Y70" s="108">
        <f t="shared" si="1"/>
        <v>0</v>
      </c>
      <c r="Z70" s="108">
        <f t="shared" si="1"/>
        <v>0</v>
      </c>
      <c r="AA70" s="108">
        <f t="shared" si="1"/>
        <v>0</v>
      </c>
      <c r="AB70" s="108">
        <f t="shared" si="1"/>
        <v>0</v>
      </c>
      <c r="AC70" s="108">
        <f t="shared" si="1"/>
        <v>0</v>
      </c>
      <c r="AD70" s="108">
        <f t="shared" si="1"/>
        <v>0</v>
      </c>
      <c r="AE70" s="108">
        <f t="shared" si="1"/>
        <v>7.1428571428571425E-2</v>
      </c>
      <c r="AF70" s="108">
        <f t="shared" si="1"/>
        <v>0</v>
      </c>
      <c r="AG70" s="108">
        <f t="shared" si="1"/>
        <v>0</v>
      </c>
      <c r="AH70" s="108">
        <f t="shared" si="1"/>
        <v>1</v>
      </c>
      <c r="AI70" s="108">
        <f t="shared" si="1"/>
        <v>0</v>
      </c>
      <c r="AJ70" s="108">
        <f t="shared" si="1"/>
        <v>0</v>
      </c>
      <c r="AK70" s="108">
        <f t="shared" si="1"/>
        <v>0</v>
      </c>
      <c r="AL70" s="108">
        <f t="shared" si="1"/>
        <v>0.7857142857142857</v>
      </c>
      <c r="AM70" s="108">
        <f t="shared" si="1"/>
        <v>0.6785714285714286</v>
      </c>
      <c r="AN70" s="108">
        <f t="shared" si="1"/>
        <v>0.2857142857142857</v>
      </c>
      <c r="AO70" s="108"/>
      <c r="AP70" s="108">
        <f t="shared" si="1"/>
        <v>0</v>
      </c>
    </row>
    <row r="71" spans="1:42">
      <c r="D71" s="20" t="s">
        <v>606</v>
      </c>
      <c r="G71" s="20" t="s">
        <v>607</v>
      </c>
      <c r="K71" s="20" t="s">
        <v>606</v>
      </c>
      <c r="O71" s="20" t="s">
        <v>607</v>
      </c>
      <c r="P71" s="20"/>
      <c r="Q71" s="20"/>
      <c r="S71" s="20" t="s">
        <v>607</v>
      </c>
      <c r="V71" s="20" t="s">
        <v>608</v>
      </c>
      <c r="AH71" s="20" t="s">
        <v>609</v>
      </c>
    </row>
    <row r="73" spans="1:42">
      <c r="A73" t="s">
        <v>489</v>
      </c>
      <c r="C73">
        <f t="shared" ref="C73:AN73" si="2">COUNT(C3:C33)</f>
        <v>28</v>
      </c>
      <c r="D73">
        <f t="shared" si="2"/>
        <v>28</v>
      </c>
      <c r="E73">
        <f t="shared" si="2"/>
        <v>28</v>
      </c>
      <c r="F73">
        <f t="shared" si="2"/>
        <v>28</v>
      </c>
      <c r="G73">
        <f t="shared" si="2"/>
        <v>0</v>
      </c>
      <c r="H73">
        <f t="shared" si="2"/>
        <v>28</v>
      </c>
      <c r="I73">
        <f t="shared" si="2"/>
        <v>28</v>
      </c>
      <c r="J73">
        <f t="shared" si="2"/>
        <v>28</v>
      </c>
      <c r="K73">
        <f t="shared" si="2"/>
        <v>2</v>
      </c>
      <c r="L73">
        <f t="shared" si="2"/>
        <v>28</v>
      </c>
      <c r="M73">
        <f t="shared" si="2"/>
        <v>28</v>
      </c>
      <c r="N73">
        <f t="shared" si="2"/>
        <v>28</v>
      </c>
      <c r="O73">
        <f t="shared" si="2"/>
        <v>0</v>
      </c>
      <c r="P73">
        <f t="shared" si="2"/>
        <v>0</v>
      </c>
      <c r="Q73">
        <f t="shared" si="2"/>
        <v>0</v>
      </c>
      <c r="R73">
        <f t="shared" si="2"/>
        <v>28</v>
      </c>
      <c r="S73">
        <f t="shared" si="2"/>
        <v>0</v>
      </c>
      <c r="T73">
        <f t="shared" si="2"/>
        <v>26</v>
      </c>
      <c r="U73">
        <f t="shared" si="2"/>
        <v>28</v>
      </c>
      <c r="V73">
        <f t="shared" si="2"/>
        <v>2</v>
      </c>
      <c r="W73">
        <f t="shared" si="2"/>
        <v>28</v>
      </c>
      <c r="X73">
        <f t="shared" si="2"/>
        <v>28</v>
      </c>
      <c r="Y73">
        <f t="shared" si="2"/>
        <v>28</v>
      </c>
      <c r="Z73">
        <f t="shared" si="2"/>
        <v>28</v>
      </c>
      <c r="AA73">
        <f t="shared" si="2"/>
        <v>28</v>
      </c>
      <c r="AB73">
        <f t="shared" si="2"/>
        <v>28</v>
      </c>
      <c r="AC73">
        <f t="shared" si="2"/>
        <v>28</v>
      </c>
      <c r="AD73">
        <f t="shared" si="2"/>
        <v>28</v>
      </c>
      <c r="AE73">
        <f t="shared" si="2"/>
        <v>28</v>
      </c>
      <c r="AF73">
        <f t="shared" si="2"/>
        <v>28</v>
      </c>
      <c r="AG73">
        <f t="shared" si="2"/>
        <v>28</v>
      </c>
      <c r="AH73">
        <f t="shared" si="2"/>
        <v>0</v>
      </c>
      <c r="AI73">
        <f t="shared" si="2"/>
        <v>28</v>
      </c>
      <c r="AJ73">
        <f t="shared" si="2"/>
        <v>28</v>
      </c>
      <c r="AK73">
        <f t="shared" si="2"/>
        <v>28</v>
      </c>
      <c r="AL73">
        <f t="shared" si="2"/>
        <v>28</v>
      </c>
      <c r="AM73">
        <f t="shared" si="2"/>
        <v>28</v>
      </c>
      <c r="AN73">
        <f t="shared" si="2"/>
        <v>28</v>
      </c>
      <c r="AP73">
        <f>COUNT(AP3:AP33)</f>
        <v>28</v>
      </c>
    </row>
    <row r="74" spans="1:42">
      <c r="A74" t="s">
        <v>610</v>
      </c>
      <c r="C74">
        <f t="shared" ref="C74:AN74" si="3">COUNT(C35:C63)</f>
        <v>28</v>
      </c>
      <c r="D74">
        <f t="shared" si="3"/>
        <v>28</v>
      </c>
      <c r="E74">
        <f t="shared" si="3"/>
        <v>29</v>
      </c>
      <c r="F74">
        <f t="shared" si="3"/>
        <v>29</v>
      </c>
      <c r="G74">
        <f t="shared" si="3"/>
        <v>0</v>
      </c>
      <c r="H74">
        <f t="shared" si="3"/>
        <v>28</v>
      </c>
      <c r="I74">
        <f t="shared" si="3"/>
        <v>28</v>
      </c>
      <c r="J74">
        <f t="shared" si="3"/>
        <v>29</v>
      </c>
      <c r="K74">
        <f t="shared" si="3"/>
        <v>0</v>
      </c>
      <c r="L74">
        <f t="shared" si="3"/>
        <v>29</v>
      </c>
      <c r="M74">
        <f t="shared" si="3"/>
        <v>28</v>
      </c>
      <c r="N74">
        <f t="shared" si="3"/>
        <v>29</v>
      </c>
      <c r="O74">
        <f t="shared" si="3"/>
        <v>0</v>
      </c>
      <c r="P74">
        <f t="shared" si="3"/>
        <v>0</v>
      </c>
      <c r="Q74">
        <f t="shared" si="3"/>
        <v>0</v>
      </c>
      <c r="R74">
        <f t="shared" si="3"/>
        <v>29</v>
      </c>
      <c r="S74">
        <f t="shared" si="3"/>
        <v>0</v>
      </c>
      <c r="T74">
        <f t="shared" si="3"/>
        <v>29</v>
      </c>
      <c r="U74">
        <f t="shared" si="3"/>
        <v>28</v>
      </c>
      <c r="V74">
        <f t="shared" si="3"/>
        <v>1</v>
      </c>
      <c r="W74">
        <f t="shared" si="3"/>
        <v>29</v>
      </c>
      <c r="X74">
        <f t="shared" si="3"/>
        <v>29</v>
      </c>
      <c r="Y74">
        <f t="shared" si="3"/>
        <v>29</v>
      </c>
      <c r="Z74">
        <f t="shared" si="3"/>
        <v>29</v>
      </c>
      <c r="AA74">
        <f t="shared" si="3"/>
        <v>29</v>
      </c>
      <c r="AB74">
        <f t="shared" si="3"/>
        <v>29</v>
      </c>
      <c r="AC74">
        <f t="shared" si="3"/>
        <v>29</v>
      </c>
      <c r="AD74">
        <f t="shared" si="3"/>
        <v>29</v>
      </c>
      <c r="AE74">
        <f t="shared" si="3"/>
        <v>29</v>
      </c>
      <c r="AF74">
        <f t="shared" si="3"/>
        <v>29</v>
      </c>
      <c r="AG74">
        <f t="shared" si="3"/>
        <v>29</v>
      </c>
      <c r="AH74">
        <f t="shared" si="3"/>
        <v>1</v>
      </c>
      <c r="AI74">
        <f t="shared" si="3"/>
        <v>29</v>
      </c>
      <c r="AJ74">
        <f t="shared" si="3"/>
        <v>29</v>
      </c>
      <c r="AK74">
        <f t="shared" si="3"/>
        <v>29</v>
      </c>
      <c r="AL74">
        <f t="shared" si="3"/>
        <v>28</v>
      </c>
      <c r="AM74">
        <f t="shared" si="3"/>
        <v>28</v>
      </c>
      <c r="AN74">
        <f t="shared" si="3"/>
        <v>28</v>
      </c>
      <c r="AP74">
        <f>COUNT(AP35:AP63)</f>
        <v>29</v>
      </c>
    </row>
    <row r="76" spans="1:42">
      <c r="A76" t="s">
        <v>611</v>
      </c>
      <c r="C76" s="109">
        <f>AVERAGE(C3:C33)</f>
        <v>4.8323928571428585</v>
      </c>
      <c r="D76" s="109"/>
      <c r="E76" s="109">
        <f>AVERAGE(E3:E33)</f>
        <v>11.911035714285713</v>
      </c>
      <c r="F76" s="109">
        <f>AVERAGE(F3:F33)</f>
        <v>1.6535714285714287</v>
      </c>
      <c r="G76" s="109"/>
      <c r="H76" s="109">
        <f>AVERAGE(H3:H33)</f>
        <v>0.49410714285714336</v>
      </c>
      <c r="I76" s="109">
        <f>AVERAGE(I3:I33)</f>
        <v>0.16841</v>
      </c>
      <c r="J76" s="109">
        <f>AVERAGE(J3:J33)</f>
        <v>3.6857142857142859</v>
      </c>
      <c r="K76" s="109"/>
      <c r="L76" s="109">
        <f>AVERAGE(L3:L33)</f>
        <v>0.18435142857142858</v>
      </c>
      <c r="M76" s="109">
        <f>AVERAGE(M3:M33)</f>
        <v>0.31264642857142866</v>
      </c>
      <c r="N76" s="109">
        <f>AVERAGE(N3:N33)</f>
        <v>3.1249999999999996</v>
      </c>
      <c r="O76" s="109"/>
      <c r="P76" s="109"/>
      <c r="Q76" s="109"/>
      <c r="R76" s="109">
        <f>AVERAGE(R3:R33)</f>
        <v>0.15964285714285714</v>
      </c>
      <c r="S76" s="109"/>
      <c r="T76" s="109">
        <f>AVERAGE(T3:T33)</f>
        <v>0.5823076923076923</v>
      </c>
      <c r="U76" s="109">
        <f>AVERAGE(U3:U33)</f>
        <v>8.6387500000000034E-2</v>
      </c>
      <c r="V76" s="109"/>
      <c r="W76" s="109">
        <f t="shared" ref="W76:AG76" si="4">AVERAGE(W3:W33)</f>
        <v>94.642857142857139</v>
      </c>
      <c r="X76" s="109">
        <f t="shared" si="4"/>
        <v>25.75</v>
      </c>
      <c r="Y76" s="109">
        <f t="shared" si="4"/>
        <v>592.14285714285711</v>
      </c>
      <c r="Z76" s="109">
        <f t="shared" si="4"/>
        <v>113.53571428571429</v>
      </c>
      <c r="AA76" s="109">
        <f t="shared" si="4"/>
        <v>73.714285714285708</v>
      </c>
      <c r="AB76" s="109">
        <f t="shared" si="4"/>
        <v>0.31467857142857142</v>
      </c>
      <c r="AC76" s="109">
        <f t="shared" si="4"/>
        <v>1.0500000000000006E-2</v>
      </c>
      <c r="AD76" s="109">
        <f t="shared" si="4"/>
        <v>558.92857142857144</v>
      </c>
      <c r="AE76" s="110">
        <f t="shared" si="4"/>
        <v>1.0178571428571433E-3</v>
      </c>
      <c r="AF76" s="109">
        <f t="shared" si="4"/>
        <v>3.9857142857142869E-2</v>
      </c>
      <c r="AG76" s="109">
        <f t="shared" si="4"/>
        <v>1.5160714285714285</v>
      </c>
      <c r="AH76" s="109"/>
      <c r="AI76" s="109">
        <f t="shared" ref="AI76:AN76" si="5">AVERAGE(AI3:AI33)</f>
        <v>6.2249999999999993E-2</v>
      </c>
      <c r="AJ76" s="109">
        <f t="shared" si="5"/>
        <v>4.8142857142857147E-2</v>
      </c>
      <c r="AK76" s="109">
        <f t="shared" si="5"/>
        <v>0.14442857142857143</v>
      </c>
      <c r="AL76" s="110">
        <f t="shared" si="5"/>
        <v>1.8578571428571423E-4</v>
      </c>
      <c r="AM76" s="110">
        <f t="shared" si="5"/>
        <v>6.1732142857142866E-4</v>
      </c>
      <c r="AN76" s="109">
        <f t="shared" si="5"/>
        <v>0.21446346428571433</v>
      </c>
      <c r="AO76" s="109"/>
      <c r="AP76" s="109">
        <f>AVERAGE(AP3:AP33)</f>
        <v>141.87142857142857</v>
      </c>
    </row>
    <row r="77" spans="1:42">
      <c r="A77" t="s">
        <v>612</v>
      </c>
      <c r="C77" s="109">
        <f>AVERAGE(C35:C63)</f>
        <v>3.8178571428571426</v>
      </c>
      <c r="D77" s="109"/>
      <c r="E77" s="109">
        <f>AVERAGE(E35:E63)</f>
        <v>11.046068965517239</v>
      </c>
      <c r="F77" s="109">
        <f>AVERAGE(F35:F63)</f>
        <v>1.308324137931034</v>
      </c>
      <c r="G77" s="109"/>
      <c r="H77" s="109">
        <f>AVERAGE(H35:H63)</f>
        <v>0.87686428571428621</v>
      </c>
      <c r="I77" s="109">
        <f>AVERAGE(I35:I63)</f>
        <v>0.14250142857142856</v>
      </c>
      <c r="J77" s="109">
        <f>AVERAGE(J35:J63)</f>
        <v>3.1862068965517238</v>
      </c>
      <c r="K77" s="109"/>
      <c r="L77" s="109">
        <f>AVERAGE(L35:L63)</f>
        <v>0.17774344827586211</v>
      </c>
      <c r="M77" s="109">
        <f>AVERAGE(M35:M63)</f>
        <v>0.26978928571428579</v>
      </c>
      <c r="N77" s="109">
        <f>AVERAGE(N35:N63)</f>
        <v>2.622951724137931</v>
      </c>
      <c r="O77" s="109"/>
      <c r="P77" s="109"/>
      <c r="Q77" s="109"/>
      <c r="R77" s="109">
        <f>AVERAGE(R35:R63)</f>
        <v>0.13036896551724139</v>
      </c>
      <c r="S77" s="109"/>
      <c r="T77" s="109">
        <f>AVERAGE(T35:T63)</f>
        <v>0.53099931034482761</v>
      </c>
      <c r="U77" s="109">
        <f>AVERAGE(U35:U63)</f>
        <v>0.12669464285714291</v>
      </c>
      <c r="V77" s="109"/>
      <c r="W77" s="109">
        <f t="shared" ref="W77:AG77" si="6">AVERAGE(W35:W63)</f>
        <v>86.758620689655174</v>
      </c>
      <c r="X77" s="109">
        <f t="shared" si="6"/>
        <v>24.448275862068964</v>
      </c>
      <c r="Y77" s="109">
        <f t="shared" si="6"/>
        <v>658.27586206896547</v>
      </c>
      <c r="Z77" s="109">
        <f t="shared" si="6"/>
        <v>91.455172413793093</v>
      </c>
      <c r="AA77" s="109">
        <f t="shared" si="6"/>
        <v>66.310344827586206</v>
      </c>
      <c r="AB77" s="109">
        <f t="shared" si="6"/>
        <v>0.30127586206896545</v>
      </c>
      <c r="AC77" s="109">
        <f t="shared" si="6"/>
        <v>9.8620689655172442E-3</v>
      </c>
      <c r="AD77" s="109">
        <f t="shared" si="6"/>
        <v>510.34482758620692</v>
      </c>
      <c r="AE77" s="110">
        <f t="shared" si="6"/>
        <v>8.574374284465255E-4</v>
      </c>
      <c r="AF77" s="109">
        <f t="shared" si="6"/>
        <v>5.0137931034482747E-2</v>
      </c>
      <c r="AG77" s="109">
        <f t="shared" si="6"/>
        <v>1.3355172413793104</v>
      </c>
      <c r="AH77" s="109"/>
      <c r="AI77" s="109">
        <f t="shared" ref="AI77:AN77" si="7">AVERAGE(AI35:AI63)</f>
        <v>6.9724137931034491E-2</v>
      </c>
      <c r="AJ77" s="109">
        <f t="shared" si="7"/>
        <v>4.8620689655172411E-2</v>
      </c>
      <c r="AK77" s="109">
        <f t="shared" si="7"/>
        <v>0.12410344827586209</v>
      </c>
      <c r="AL77" s="110">
        <f t="shared" si="7"/>
        <v>1.6792857142857142E-4</v>
      </c>
      <c r="AM77" s="110">
        <f t="shared" si="7"/>
        <v>7.8232142857142845E-4</v>
      </c>
      <c r="AN77" s="109">
        <f t="shared" si="7"/>
        <v>0.1769888571428572</v>
      </c>
      <c r="AO77" s="109"/>
      <c r="AP77" s="109">
        <f>AVERAGE(AP35:AP63)</f>
        <v>152.48965517241376</v>
      </c>
    </row>
    <row r="78" spans="1:42">
      <c r="A78" t="s">
        <v>613</v>
      </c>
      <c r="C78" s="109">
        <f>STDEV(C3:C33)</f>
        <v>7.8067474819770171</v>
      </c>
      <c r="D78" s="109"/>
      <c r="E78" s="109">
        <f>STDEV(E3:E33)</f>
        <v>17.868373333666103</v>
      </c>
      <c r="F78" s="109">
        <f>STDEV(F3:F33)</f>
        <v>1.3560514965795587</v>
      </c>
      <c r="G78" s="109"/>
      <c r="H78" s="109">
        <f>STDEV(H3:H33)</f>
        <v>1.6356432269517127</v>
      </c>
      <c r="I78" s="109">
        <f>STDEV(I3:I33)</f>
        <v>0.14122694638483546</v>
      </c>
      <c r="J78" s="109">
        <f>STDEV(J3:J33)</f>
        <v>1.3623819787727138</v>
      </c>
      <c r="K78" s="109"/>
      <c r="L78" s="109">
        <f>STDEV(L3:L33)</f>
        <v>0.12894266879090349</v>
      </c>
      <c r="M78" s="109">
        <f>STDEV(M3:M33)</f>
        <v>0.25803936748480377</v>
      </c>
      <c r="N78" s="109">
        <f>STDEV(N3:N33)</f>
        <v>1.6401501737928141</v>
      </c>
      <c r="O78" s="109"/>
      <c r="P78" s="109"/>
      <c r="Q78" s="109"/>
      <c r="R78" s="109">
        <f>STDEV(R3:R33)</f>
        <v>8.6985828682230787E-2</v>
      </c>
      <c r="S78" s="109"/>
      <c r="T78" s="109">
        <f>STDEV(T3:T33)</f>
        <v>1.0125939272672246</v>
      </c>
      <c r="U78" s="109">
        <f>STDEV(U3:U33)</f>
        <v>8.3994586052382622E-2</v>
      </c>
      <c r="V78" s="109"/>
      <c r="W78" s="109">
        <f t="shared" ref="W78:AG78" si="8">STDEV(W3:W33)</f>
        <v>57.550759743811788</v>
      </c>
      <c r="X78" s="109">
        <f t="shared" si="8"/>
        <v>11.856003323836191</v>
      </c>
      <c r="Y78" s="109">
        <f t="shared" si="8"/>
        <v>217.58535392665163</v>
      </c>
      <c r="Z78" s="109">
        <f t="shared" si="8"/>
        <v>72.903529428791046</v>
      </c>
      <c r="AA78" s="109">
        <f t="shared" si="8"/>
        <v>22.58294529040484</v>
      </c>
      <c r="AB78" s="109">
        <f t="shared" si="8"/>
        <v>0.20621492807468275</v>
      </c>
      <c r="AC78" s="109">
        <f t="shared" si="8"/>
        <v>3.4694433324435328E-3</v>
      </c>
      <c r="AD78" s="109">
        <f t="shared" si="8"/>
        <v>251.04727731990127</v>
      </c>
      <c r="AE78" s="110">
        <f t="shared" si="8"/>
        <v>4.9966920274248676E-4</v>
      </c>
      <c r="AF78" s="109">
        <f t="shared" si="8"/>
        <v>2.9726798342279283E-2</v>
      </c>
      <c r="AG78" s="109">
        <f t="shared" si="8"/>
        <v>0.88073344555342226</v>
      </c>
      <c r="AH78" s="109"/>
      <c r="AI78" s="109">
        <f t="shared" ref="AI78:AN78" si="9">STDEV(AI3:AI33)</f>
        <v>4.4037547111022833E-2</v>
      </c>
      <c r="AJ78" s="109">
        <f t="shared" si="9"/>
        <v>1.2613086342761126E-2</v>
      </c>
      <c r="AK78" s="109">
        <f t="shared" si="9"/>
        <v>8.0090887525050267E-2</v>
      </c>
      <c r="AL78" s="110">
        <f t="shared" si="9"/>
        <v>1.0200303450201396E-4</v>
      </c>
      <c r="AM78" s="110">
        <f t="shared" si="9"/>
        <v>3.2059979131383772E-4</v>
      </c>
      <c r="AN78" s="109">
        <f t="shared" si="9"/>
        <v>0.13663307829405655</v>
      </c>
      <c r="AO78" s="109"/>
      <c r="AP78" s="109">
        <f>STDEV(AP3:AP33)</f>
        <v>59.470608097725282</v>
      </c>
    </row>
    <row r="79" spans="1:42">
      <c r="A79" t="s">
        <v>614</v>
      </c>
      <c r="C79" s="109">
        <f>STDEV(C35:C63)</f>
        <v>2.3371482419311591</v>
      </c>
      <c r="D79" s="109"/>
      <c r="E79" s="109">
        <f>STDEV(E35:E63)</f>
        <v>12.651642434118513</v>
      </c>
      <c r="F79" s="109">
        <f>STDEV(F35:F63)</f>
        <v>0.84304601876392016</v>
      </c>
      <c r="G79" s="109"/>
      <c r="H79" s="109">
        <f>STDEV(H35:H63)</f>
        <v>2.5888715814701801</v>
      </c>
      <c r="I79" s="109">
        <f>STDEV(I35:I63)</f>
        <v>9.8894658797249249E-2</v>
      </c>
      <c r="J79" s="109">
        <f>STDEV(J35:J63)</f>
        <v>1.1840379270985719</v>
      </c>
      <c r="K79" s="109"/>
      <c r="L79" s="109">
        <f>STDEV(L35:L63)</f>
        <v>7.7921877006756998E-2</v>
      </c>
      <c r="M79" s="109">
        <f>STDEV(M35:M63)</f>
        <v>0.11493949564327349</v>
      </c>
      <c r="N79" s="109">
        <f>STDEV(N35:N63)</f>
        <v>1.2333680179030937</v>
      </c>
      <c r="O79" s="109"/>
      <c r="P79" s="109"/>
      <c r="Q79" s="109"/>
      <c r="R79" s="109">
        <f>STDEV(R35:R63)</f>
        <v>7.5996545285428554E-2</v>
      </c>
      <c r="S79" s="109"/>
      <c r="T79" s="109">
        <f>STDEV(T35:T63)</f>
        <v>0.47801863233957009</v>
      </c>
      <c r="U79" s="109">
        <f>STDEV(U35:U63)</f>
        <v>0.10232563248194794</v>
      </c>
      <c r="V79" s="109"/>
      <c r="W79" s="109">
        <f t="shared" ref="W79:AG79" si="10">STDEV(W35:W63)</f>
        <v>51.382080792830742</v>
      </c>
      <c r="X79" s="109">
        <f t="shared" si="10"/>
        <v>10.551188852773729</v>
      </c>
      <c r="Y79" s="109">
        <f t="shared" si="10"/>
        <v>200.34022785389797</v>
      </c>
      <c r="Z79" s="109">
        <f t="shared" si="10"/>
        <v>59.586741012019608</v>
      </c>
      <c r="AA79" s="109">
        <f t="shared" si="10"/>
        <v>26.574831605804153</v>
      </c>
      <c r="AB79" s="109">
        <f t="shared" si="10"/>
        <v>0.15952852332324347</v>
      </c>
      <c r="AC79" s="109">
        <f t="shared" si="10"/>
        <v>6.9164614091054713E-3</v>
      </c>
      <c r="AD79" s="109">
        <f t="shared" si="10"/>
        <v>188.48044155108144</v>
      </c>
      <c r="AE79" s="110">
        <f t="shared" si="10"/>
        <v>4.4758202092191505E-4</v>
      </c>
      <c r="AF79" s="109">
        <f t="shared" si="10"/>
        <v>2.5781671421395255E-2</v>
      </c>
      <c r="AG79" s="109">
        <f t="shared" si="10"/>
        <v>0.72857780350731671</v>
      </c>
      <c r="AH79" s="109"/>
      <c r="AI79" s="109">
        <f t="shared" ref="AI79:AN79" si="11">STDEV(AI35:AI63)</f>
        <v>5.3524291248876699E-2</v>
      </c>
      <c r="AJ79" s="109">
        <f t="shared" si="11"/>
        <v>1.641735534884493E-2</v>
      </c>
      <c r="AK79" s="109">
        <f t="shared" si="11"/>
        <v>5.9122357885747788E-2</v>
      </c>
      <c r="AL79" s="110">
        <f t="shared" si="11"/>
        <v>6.3181647928181137E-5</v>
      </c>
      <c r="AM79" s="110">
        <f t="shared" si="11"/>
        <v>5.9779607904067249E-4</v>
      </c>
      <c r="AN79" s="109">
        <f t="shared" si="11"/>
        <v>0.10463318797402879</v>
      </c>
      <c r="AO79" s="109"/>
      <c r="AP79" s="109">
        <f>STDEV(AP35:AP63)</f>
        <v>64.544853423400795</v>
      </c>
    </row>
    <row r="81" spans="1:42">
      <c r="A81" t="s">
        <v>20</v>
      </c>
      <c r="C81" s="1">
        <f>TTEST(C3:C33,C35:C63,2,3)</f>
        <v>0.5147817003653945</v>
      </c>
      <c r="D81" s="1"/>
      <c r="E81" s="1">
        <f>TTEST(E3:E33,E35:E63,2,3)</f>
        <v>0.83434041092461131</v>
      </c>
      <c r="F81" s="1">
        <f>TTEST(F3:F33,F35:F63,2,3)</f>
        <v>0.25637194319643114</v>
      </c>
      <c r="G81" s="1"/>
      <c r="H81" s="1">
        <f>TTEST(H3:H33,H35:H63,2,3)</f>
        <v>0.5116918010364977</v>
      </c>
      <c r="I81" s="1">
        <f>TTEST(I3:I33,I35:I63,2,3)</f>
        <v>0.43040117246487208</v>
      </c>
      <c r="J81" s="1">
        <f>TTEST(J3:J33,J35:J63,2,3)</f>
        <v>0.14599901604724266</v>
      </c>
      <c r="K81" s="1"/>
      <c r="L81" s="1">
        <f>TTEST(L3:L33,L35:L63,2,3)</f>
        <v>0.81671085207667715</v>
      </c>
      <c r="M81" s="1">
        <f>TTEST(M3:M33,M35:M63,2,3)</f>
        <v>0.42716889897756916</v>
      </c>
      <c r="N81" s="1">
        <f>TTEST(N3:N33,N35:N63,2,3)</f>
        <v>0.19863656845960811</v>
      </c>
      <c r="O81" s="1"/>
      <c r="P81" s="1"/>
      <c r="Q81" s="1"/>
      <c r="R81" s="1">
        <f>TTEST(R3:R33,R35:R63,2,3)</f>
        <v>0.18232698115698553</v>
      </c>
      <c r="S81" s="1"/>
      <c r="T81" s="1">
        <f>TTEST(T3:T33,T35:T63,2,3)</f>
        <v>0.81491296103913546</v>
      </c>
      <c r="U81" s="1">
        <f>TTEST(U3:U33,U35:U63,2,3)</f>
        <v>0.11320780811586295</v>
      </c>
      <c r="V81" s="1"/>
      <c r="W81" s="1">
        <f t="shared" ref="W81:AG81" si="12">TTEST(W3:W33,W35:W63,2,3)</f>
        <v>0.58804800893616638</v>
      </c>
      <c r="X81" s="1">
        <f t="shared" si="12"/>
        <v>0.6636121156239132</v>
      </c>
      <c r="Y81" s="1">
        <f t="shared" si="12"/>
        <v>0.23820401915102965</v>
      </c>
      <c r="Z81" s="1">
        <f t="shared" si="12"/>
        <v>0.21704045109536324</v>
      </c>
      <c r="AA81" s="1">
        <f t="shared" si="12"/>
        <v>0.2614473147262335</v>
      </c>
      <c r="AB81" s="1">
        <f t="shared" si="12"/>
        <v>0.7853530064483234</v>
      </c>
      <c r="AC81" s="1">
        <f t="shared" si="12"/>
        <v>0.66050550038178479</v>
      </c>
      <c r="AD81" s="1">
        <f t="shared" si="12"/>
        <v>0.41381304623332127</v>
      </c>
      <c r="AE81" s="1">
        <f t="shared" si="12"/>
        <v>0.20769886563638376</v>
      </c>
      <c r="AF81" s="1">
        <f t="shared" si="12"/>
        <v>0.16944330326254367</v>
      </c>
      <c r="AG81" s="1">
        <f t="shared" si="12"/>
        <v>0.40374243382145669</v>
      </c>
      <c r="AH81" s="1"/>
      <c r="AI81" s="1">
        <f t="shared" ref="AI81:AN81" si="13">TTEST(AI3:AI33,AI35:AI63,2,3)</f>
        <v>0.56664821602938797</v>
      </c>
      <c r="AJ81" s="1">
        <f t="shared" si="13"/>
        <v>0.90220341636864787</v>
      </c>
      <c r="AK81" s="1">
        <f t="shared" si="13"/>
        <v>0.28228397529047611</v>
      </c>
      <c r="AL81" s="1">
        <f t="shared" si="13"/>
        <v>0.43510025917515793</v>
      </c>
      <c r="AM81" s="1">
        <f t="shared" si="13"/>
        <v>0.20521509925682038</v>
      </c>
      <c r="AN81" s="1">
        <f t="shared" si="13"/>
        <v>0.25463595769585745</v>
      </c>
      <c r="AO81" s="1"/>
      <c r="AP81" s="1">
        <f>TTEST(AP3:AP33,AP35:AP63,2,3)</f>
        <v>0.52081609310228461</v>
      </c>
    </row>
    <row r="82" spans="1:42">
      <c r="A82" t="s">
        <v>21</v>
      </c>
      <c r="C82" s="108">
        <f>C76/C77 -1</f>
        <v>0.2657343311506084</v>
      </c>
      <c r="D82" s="108"/>
      <c r="E82" s="108">
        <f t="shared" ref="E82:AP82" si="14">E76/E77 -1</f>
        <v>7.8305390946648901E-2</v>
      </c>
      <c r="F82" s="108">
        <f t="shared" si="14"/>
        <v>0.26388513414295334</v>
      </c>
      <c r="G82" s="108"/>
      <c r="H82" s="108">
        <f t="shared" si="14"/>
        <v>-0.43650670815649895</v>
      </c>
      <c r="I82" s="108">
        <f t="shared" si="14"/>
        <v>0.18181271365700602</v>
      </c>
      <c r="J82" s="108">
        <f t="shared" si="14"/>
        <v>0.15677179962894261</v>
      </c>
      <c r="K82" s="108"/>
      <c r="L82" s="108">
        <f t="shared" si="14"/>
        <v>3.7177068182624229E-2</v>
      </c>
      <c r="M82" s="108">
        <f t="shared" si="14"/>
        <v>0.15885413219311362</v>
      </c>
      <c r="N82" s="108">
        <f t="shared" si="14"/>
        <v>0.1914058391704001</v>
      </c>
      <c r="O82" s="108"/>
      <c r="P82" s="108"/>
      <c r="Q82" s="108"/>
      <c r="R82" s="108">
        <f t="shared" si="14"/>
        <v>0.22454647476468814</v>
      </c>
      <c r="S82" s="108"/>
      <c r="T82" s="108">
        <f t="shared" si="14"/>
        <v>9.6626080228890299E-2</v>
      </c>
      <c r="U82" s="108">
        <f t="shared" si="14"/>
        <v>-0.31814401894318456</v>
      </c>
      <c r="V82" s="108"/>
      <c r="W82" s="108">
        <f t="shared" si="14"/>
        <v>9.0875539404951189E-2</v>
      </c>
      <c r="X82" s="108">
        <f t="shared" si="14"/>
        <v>5.3244005641748915E-2</v>
      </c>
      <c r="Y82" s="108">
        <f t="shared" si="14"/>
        <v>-0.10046396767192989</v>
      </c>
      <c r="Z82" s="108">
        <f t="shared" si="14"/>
        <v>0.24143568142889471</v>
      </c>
      <c r="AA82" s="108">
        <f t="shared" si="14"/>
        <v>0.11165589480722082</v>
      </c>
      <c r="AB82" s="108">
        <f t="shared" si="14"/>
        <v>4.4486502395395755E-2</v>
      </c>
      <c r="AC82" s="108">
        <f t="shared" si="14"/>
        <v>6.4685314685315021E-2</v>
      </c>
      <c r="AD82" s="108">
        <f t="shared" si="14"/>
        <v>9.5197876447876473E-2</v>
      </c>
      <c r="AE82" s="108">
        <f t="shared" si="14"/>
        <v>0.18709203620987314</v>
      </c>
      <c r="AF82" s="108">
        <f t="shared" si="14"/>
        <v>-0.20505010807624247</v>
      </c>
      <c r="AG82" s="108">
        <f t="shared" si="14"/>
        <v>0.13519420161558027</v>
      </c>
      <c r="AH82" s="108"/>
      <c r="AI82" s="108">
        <f t="shared" si="14"/>
        <v>-0.10719584569732954</v>
      </c>
      <c r="AJ82" s="108">
        <f t="shared" si="14"/>
        <v>-9.8277608915905423E-3</v>
      </c>
      <c r="AK82" s="108">
        <f t="shared" si="14"/>
        <v>0.16377565196681609</v>
      </c>
      <c r="AL82" s="108">
        <f t="shared" si="14"/>
        <v>0.10633772862611623</v>
      </c>
      <c r="AM82" s="108">
        <f t="shared" si="14"/>
        <v>-0.21091075097009793</v>
      </c>
      <c r="AN82" s="108">
        <f t="shared" si="14"/>
        <v>0.21173427382837651</v>
      </c>
      <c r="AO82" s="108"/>
      <c r="AP82" s="108">
        <f t="shared" si="14"/>
        <v>-6.9632438928264428E-2</v>
      </c>
    </row>
  </sheetData>
  <conditionalFormatting sqref="C3:AN20 C22:AN49 C51:AN63">
    <cfRule type="containsText" dxfId="2" priority="3" operator="containsText" text="&lt;dl">
      <formula>NOT(ISERROR(SEARCH("&lt;dl",C3)))</formula>
    </cfRule>
  </conditionalFormatting>
  <conditionalFormatting sqref="C1:AN1">
    <cfRule type="containsText" dxfId="1" priority="2" operator="containsText" text="&lt;dl">
      <formula>NOT(ISERROR(SEARCH("&lt;dl",C1)))</formula>
    </cfRule>
  </conditionalFormatting>
  <conditionalFormatting sqref="C50:AN50">
    <cfRule type="containsText" dxfId="0" priority="1" operator="containsText" text="&lt;dl">
      <formula>NOT(ISERROR(SEARCH("&lt;dl",C50)))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7"/>
  <sheetViews>
    <sheetView workbookViewId="0">
      <selection activeCell="D49" sqref="D49"/>
    </sheetView>
  </sheetViews>
  <sheetFormatPr defaultColWidth="10.5703125" defaultRowHeight="15"/>
  <cols>
    <col min="1" max="1" width="14.140625" style="55" customWidth="1"/>
    <col min="2" max="2" width="10.5703125" style="35"/>
    <col min="3" max="16384" width="10.5703125" style="29"/>
  </cols>
  <sheetData>
    <row r="1" spans="1:2" s="25" customFormat="1">
      <c r="A1" s="24" t="s">
        <v>126</v>
      </c>
      <c r="B1" s="133" t="s">
        <v>120</v>
      </c>
    </row>
    <row r="2" spans="1:2" s="28" customFormat="1">
      <c r="A2" s="27"/>
      <c r="B2" s="68"/>
    </row>
    <row r="3" spans="1:2">
      <c r="A3" s="53" t="s">
        <v>40</v>
      </c>
      <c r="B3" s="132">
        <v>44.097222222222221</v>
      </c>
    </row>
    <row r="4" spans="1:2">
      <c r="A4" s="54" t="s">
        <v>41</v>
      </c>
      <c r="B4" s="132">
        <v>36.961111111111109</v>
      </c>
    </row>
    <row r="5" spans="1:2">
      <c r="A5" s="55" t="s">
        <v>42</v>
      </c>
      <c r="B5" s="132">
        <v>40.869444444444447</v>
      </c>
    </row>
    <row r="6" spans="1:2">
      <c r="A6" s="55" t="s">
        <v>43</v>
      </c>
      <c r="B6" s="132">
        <v>33.858333333333334</v>
      </c>
    </row>
    <row r="7" spans="1:2">
      <c r="A7" s="55" t="s">
        <v>44</v>
      </c>
      <c r="B7" s="132">
        <v>34.855555555555554</v>
      </c>
    </row>
    <row r="8" spans="1:2">
      <c r="A8" s="55" t="s">
        <v>45</v>
      </c>
      <c r="B8" s="132">
        <v>28.616666666666667</v>
      </c>
    </row>
    <row r="9" spans="1:2">
      <c r="A9" s="54" t="s">
        <v>112</v>
      </c>
      <c r="B9" s="132">
        <v>39.769444444444446</v>
      </c>
    </row>
    <row r="10" spans="1:2">
      <c r="A10" s="54" t="s">
        <v>48</v>
      </c>
      <c r="B10" s="132">
        <v>27.052777777777777</v>
      </c>
    </row>
    <row r="11" spans="1:2">
      <c r="A11" s="55" t="s">
        <v>49</v>
      </c>
      <c r="B11" s="132">
        <v>37.911111111111111</v>
      </c>
    </row>
    <row r="12" spans="1:2">
      <c r="A12" s="55" t="s">
        <v>50</v>
      </c>
      <c r="B12" s="132">
        <v>31.919444444444444</v>
      </c>
    </row>
    <row r="13" spans="1:2">
      <c r="A13" s="55" t="s">
        <v>51</v>
      </c>
      <c r="B13" s="132">
        <v>40.161111111111111</v>
      </c>
    </row>
    <row r="14" spans="1:2">
      <c r="A14" s="55" t="s">
        <v>52</v>
      </c>
      <c r="B14" s="132">
        <v>34.866666666666667</v>
      </c>
    </row>
    <row r="15" spans="1:2">
      <c r="A15" s="55" t="s">
        <v>53</v>
      </c>
      <c r="B15" s="132">
        <v>34.016666666666666</v>
      </c>
    </row>
    <row r="16" spans="1:2">
      <c r="A16" s="53" t="s">
        <v>54</v>
      </c>
      <c r="B16" s="132">
        <v>41.852777777777774</v>
      </c>
    </row>
    <row r="17" spans="1:2">
      <c r="A17" s="13" t="s">
        <v>113</v>
      </c>
      <c r="B17" s="132">
        <v>28.138888888888889</v>
      </c>
    </row>
    <row r="18" spans="1:2">
      <c r="A18" s="13" t="s">
        <v>56</v>
      </c>
      <c r="B18" s="132">
        <v>32.761111111111113</v>
      </c>
    </row>
    <row r="19" spans="1:2">
      <c r="A19" s="13" t="s">
        <v>114</v>
      </c>
      <c r="B19" s="132">
        <v>33.577777777777776</v>
      </c>
    </row>
    <row r="20" spans="1:2">
      <c r="A20" s="13" t="s">
        <v>58</v>
      </c>
      <c r="B20" s="132">
        <v>34.863888888888887</v>
      </c>
    </row>
    <row r="21" spans="1:2">
      <c r="A21" s="13"/>
      <c r="B21" s="132"/>
    </row>
    <row r="22" spans="1:2">
      <c r="A22" s="13" t="s">
        <v>115</v>
      </c>
      <c r="B22" s="132">
        <v>45.030555555555559</v>
      </c>
    </row>
    <row r="23" spans="1:2">
      <c r="A23" s="14" t="s">
        <v>60</v>
      </c>
      <c r="B23" s="132">
        <v>35.716666666666669</v>
      </c>
    </row>
    <row r="24" spans="1:2">
      <c r="A24" s="13" t="s">
        <v>61</v>
      </c>
      <c r="B24" s="132">
        <v>31.691666666666666</v>
      </c>
    </row>
    <row r="25" spans="1:2">
      <c r="A25" s="13" t="s">
        <v>63</v>
      </c>
      <c r="B25" s="132">
        <v>27.786111111111111</v>
      </c>
    </row>
    <row r="26" spans="1:2">
      <c r="A26" s="55" t="s">
        <v>64</v>
      </c>
      <c r="B26" s="132">
        <v>41.086111111111109</v>
      </c>
    </row>
    <row r="27" spans="1:2">
      <c r="A27" s="13" t="s">
        <v>116</v>
      </c>
      <c r="B27" s="132">
        <v>27.447222222222223</v>
      </c>
    </row>
    <row r="28" spans="1:2">
      <c r="A28" s="15" t="s">
        <v>66</v>
      </c>
      <c r="B28" s="132">
        <v>38.180555555555557</v>
      </c>
    </row>
    <row r="29" spans="1:2">
      <c r="A29" s="15" t="s">
        <v>67</v>
      </c>
      <c r="B29" s="132">
        <v>44.266666666666666</v>
      </c>
    </row>
    <row r="30" spans="1:2">
      <c r="A30" s="15" t="s">
        <v>68</v>
      </c>
      <c r="B30" s="132">
        <v>37.144444444444446</v>
      </c>
    </row>
    <row r="31" spans="1:2">
      <c r="A31" s="16" t="s">
        <v>69</v>
      </c>
      <c r="B31" s="132">
        <v>35.6</v>
      </c>
    </row>
    <row r="32" spans="1:2">
      <c r="A32" s="17" t="s">
        <v>70</v>
      </c>
      <c r="B32" s="132">
        <v>30.058333333333334</v>
      </c>
    </row>
    <row r="33" spans="1:2">
      <c r="A33" s="18" t="s">
        <v>71</v>
      </c>
      <c r="B33" s="132">
        <v>30.922222222222221</v>
      </c>
    </row>
    <row r="34" spans="1:2">
      <c r="A34" s="18"/>
      <c r="B34" s="132"/>
    </row>
    <row r="35" spans="1:2">
      <c r="A35" s="55" t="s">
        <v>72</v>
      </c>
      <c r="B35" s="32">
        <v>30.883333333333333</v>
      </c>
    </row>
    <row r="36" spans="1:2">
      <c r="A36" s="55" t="s">
        <v>74</v>
      </c>
      <c r="B36" s="32">
        <v>39.022222222222226</v>
      </c>
    </row>
    <row r="37" spans="1:2">
      <c r="A37" s="55" t="s">
        <v>76</v>
      </c>
      <c r="B37" s="32">
        <v>27.31111111111111</v>
      </c>
    </row>
    <row r="38" spans="1:2">
      <c r="A38" s="13" t="s">
        <v>77</v>
      </c>
      <c r="B38" s="32">
        <v>39.30833333333333</v>
      </c>
    </row>
    <row r="39" spans="1:2">
      <c r="A39" s="53" t="s">
        <v>78</v>
      </c>
      <c r="B39" s="32">
        <v>33.355555555555554</v>
      </c>
    </row>
    <row r="40" spans="1:2">
      <c r="A40" s="13" t="s">
        <v>79</v>
      </c>
      <c r="B40" s="32">
        <v>40.975000000000001</v>
      </c>
    </row>
    <row r="41" spans="1:2">
      <c r="A41" s="13" t="s">
        <v>80</v>
      </c>
      <c r="B41" s="32">
        <v>42.016666666666666</v>
      </c>
    </row>
    <row r="42" spans="1:2">
      <c r="A42" s="55" t="s">
        <v>117</v>
      </c>
      <c r="B42" s="32">
        <v>32.408333333333331</v>
      </c>
    </row>
    <row r="43" spans="1:2">
      <c r="A43" s="13" t="s">
        <v>82</v>
      </c>
      <c r="B43" s="32">
        <v>34.355555555555554</v>
      </c>
    </row>
    <row r="44" spans="1:2">
      <c r="A44" s="15" t="s">
        <v>83</v>
      </c>
      <c r="B44" s="32">
        <v>29.55</v>
      </c>
    </row>
    <row r="45" spans="1:2">
      <c r="A45" s="14" t="s">
        <v>84</v>
      </c>
      <c r="B45" s="32">
        <v>36.644444444444446</v>
      </c>
    </row>
    <row r="46" spans="1:2">
      <c r="A46" s="55" t="s">
        <v>85</v>
      </c>
      <c r="B46" s="32">
        <v>24.113888888888887</v>
      </c>
    </row>
    <row r="47" spans="1:2">
      <c r="A47" s="13" t="s">
        <v>86</v>
      </c>
      <c r="B47" s="32">
        <v>27.138888888888889</v>
      </c>
    </row>
    <row r="48" spans="1:2">
      <c r="A48" s="55" t="s">
        <v>87</v>
      </c>
      <c r="B48" s="32">
        <v>32.452777777777776</v>
      </c>
    </row>
    <row r="49" spans="1:2">
      <c r="A49" s="55" t="s">
        <v>88</v>
      </c>
      <c r="B49" s="32">
        <v>34.047222222222224</v>
      </c>
    </row>
    <row r="50" spans="1:2">
      <c r="A50" s="15" t="s">
        <v>768</v>
      </c>
      <c r="B50" s="32">
        <v>42.513888888888886</v>
      </c>
    </row>
    <row r="51" spans="1:2">
      <c r="A51" s="13" t="s">
        <v>90</v>
      </c>
      <c r="B51" s="32">
        <v>36.200000000000003</v>
      </c>
    </row>
    <row r="52" spans="1:2">
      <c r="A52" s="13" t="s">
        <v>91</v>
      </c>
      <c r="B52" s="32">
        <v>37.369444444444447</v>
      </c>
    </row>
    <row r="53" spans="1:2">
      <c r="A53" s="14" t="s">
        <v>92</v>
      </c>
      <c r="B53" s="32">
        <v>33.352777777777774</v>
      </c>
    </row>
    <row r="54" spans="1:2">
      <c r="A54" s="55" t="s">
        <v>118</v>
      </c>
      <c r="B54" s="32">
        <v>41.62222222222222</v>
      </c>
    </row>
    <row r="55" spans="1:2">
      <c r="A55" s="14" t="s">
        <v>94</v>
      </c>
      <c r="B55" s="32">
        <v>21.191666666666666</v>
      </c>
    </row>
    <row r="56" spans="1:2">
      <c r="A56" s="13" t="s">
        <v>95</v>
      </c>
      <c r="B56" s="32">
        <v>38.424999999999997</v>
      </c>
    </row>
    <row r="57" spans="1:2">
      <c r="A57" s="15" t="s">
        <v>96</v>
      </c>
      <c r="B57" s="32">
        <v>40.044444444444444</v>
      </c>
    </row>
    <row r="58" spans="1:2">
      <c r="A58" s="15" t="s">
        <v>119</v>
      </c>
      <c r="B58" s="32">
        <v>34.972222222222221</v>
      </c>
    </row>
    <row r="59" spans="1:2">
      <c r="A59" s="15" t="s">
        <v>98</v>
      </c>
      <c r="B59" s="32">
        <v>38.491666666666667</v>
      </c>
    </row>
    <row r="60" spans="1:2">
      <c r="A60" s="19" t="s">
        <v>99</v>
      </c>
      <c r="B60" s="32">
        <v>37.322222222222223</v>
      </c>
    </row>
    <row r="61" spans="1:2">
      <c r="A61" s="17" t="s">
        <v>100</v>
      </c>
      <c r="B61" s="32">
        <v>30.038888888888888</v>
      </c>
    </row>
    <row r="62" spans="1:2">
      <c r="A62" s="17" t="s">
        <v>101</v>
      </c>
      <c r="B62" s="32">
        <v>45.327777777777776</v>
      </c>
    </row>
    <row r="63" spans="1:2">
      <c r="A63" s="18" t="s">
        <v>102</v>
      </c>
      <c r="B63" s="32">
        <v>39.694444444444443</v>
      </c>
    </row>
    <row r="64" spans="1:2">
      <c r="B64" s="132"/>
    </row>
    <row r="67" spans="1:2">
      <c r="A67" s="15" t="s">
        <v>89</v>
      </c>
      <c r="B67" s="132">
        <v>34.847222222222221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3"/>
  <sheetViews>
    <sheetView topLeftCell="A16" workbookViewId="0">
      <selection activeCell="L24" sqref="L24"/>
    </sheetView>
  </sheetViews>
  <sheetFormatPr defaultRowHeight="15"/>
  <sheetData>
    <row r="1" spans="1:2" s="130" customFormat="1"/>
    <row r="2" spans="1:2" s="130" customFormat="1"/>
    <row r="3" spans="1:2">
      <c r="A3" s="29">
        <v>1</v>
      </c>
      <c r="B3" s="32">
        <v>5.8833333333333337</v>
      </c>
    </row>
    <row r="4" spans="1:2">
      <c r="A4" s="29">
        <v>2</v>
      </c>
      <c r="B4" s="32">
        <v>6.083333333333333</v>
      </c>
    </row>
    <row r="5" spans="1:2">
      <c r="A5" s="29">
        <v>3</v>
      </c>
      <c r="B5" s="32">
        <v>3.8833333333333333</v>
      </c>
    </row>
    <row r="6" spans="1:2">
      <c r="A6" s="29">
        <v>5</v>
      </c>
      <c r="B6" s="32">
        <v>3.8194444444444446</v>
      </c>
    </row>
    <row r="7" spans="1:2">
      <c r="A7" s="29">
        <v>6</v>
      </c>
      <c r="B7" s="32">
        <v>3.6</v>
      </c>
    </row>
    <row r="8" spans="1:2">
      <c r="A8" s="29">
        <v>7</v>
      </c>
      <c r="B8" s="32">
        <v>3.1305555555555555</v>
      </c>
    </row>
    <row r="9" spans="1:2">
      <c r="A9" s="29">
        <v>8</v>
      </c>
      <c r="B9" s="32">
        <v>4.9111111111111114</v>
      </c>
    </row>
    <row r="10" spans="1:2">
      <c r="A10" s="29">
        <v>9</v>
      </c>
      <c r="B10" s="32">
        <v>3.7166666666666668</v>
      </c>
    </row>
    <row r="11" spans="1:2">
      <c r="A11" s="29">
        <v>10</v>
      </c>
      <c r="B11" s="32">
        <v>4.0611111111111109</v>
      </c>
    </row>
    <row r="12" spans="1:2">
      <c r="A12" s="29">
        <v>11</v>
      </c>
      <c r="B12" s="32">
        <v>4.7638888888888893</v>
      </c>
    </row>
    <row r="13" spans="1:2">
      <c r="A13" s="29">
        <v>12</v>
      </c>
      <c r="B13" s="32">
        <v>5.1916666666666664</v>
      </c>
    </row>
    <row r="14" spans="1:2">
      <c r="A14" s="29">
        <v>13</v>
      </c>
      <c r="B14" s="32"/>
    </row>
    <row r="15" spans="1:2">
      <c r="A15" s="30">
        <v>17</v>
      </c>
      <c r="B15" s="32">
        <v>5.75</v>
      </c>
    </row>
    <row r="16" spans="1:2">
      <c r="A16" s="29">
        <v>18</v>
      </c>
      <c r="B16" s="32">
        <v>3.9361111111111109</v>
      </c>
    </row>
    <row r="17" spans="1:2">
      <c r="A17" s="29">
        <v>19</v>
      </c>
      <c r="B17" s="32">
        <v>4.9722222222222223</v>
      </c>
    </row>
    <row r="18" spans="1:2">
      <c r="A18" s="29">
        <v>20</v>
      </c>
      <c r="B18" s="32">
        <v>5.85</v>
      </c>
    </row>
    <row r="19" spans="1:2">
      <c r="A19" s="30">
        <v>21</v>
      </c>
      <c r="B19" s="32">
        <v>6.1277777777777782</v>
      </c>
    </row>
    <row r="20" spans="1:2">
      <c r="A20" s="29">
        <v>22</v>
      </c>
      <c r="B20" s="32">
        <v>3.9</v>
      </c>
    </row>
    <row r="21" spans="1:2" s="130" customFormat="1">
      <c r="A21" s="29"/>
      <c r="B21" s="32"/>
    </row>
    <row r="22" spans="1:2">
      <c r="A22" s="29">
        <v>28</v>
      </c>
      <c r="B22" s="32">
        <v>5.8166666666666664</v>
      </c>
    </row>
    <row r="23" spans="1:2">
      <c r="A23" s="29">
        <v>29</v>
      </c>
      <c r="B23" s="32">
        <v>5.3583333333333334</v>
      </c>
    </row>
    <row r="24" spans="1:2">
      <c r="A24" s="29">
        <v>30</v>
      </c>
      <c r="B24" s="32">
        <v>4.5805555555555557</v>
      </c>
    </row>
    <row r="25" spans="1:2">
      <c r="A25" s="29">
        <v>31</v>
      </c>
      <c r="B25" s="32">
        <v>4.697222222222222</v>
      </c>
    </row>
    <row r="26" spans="1:2">
      <c r="A26" s="29">
        <v>32</v>
      </c>
      <c r="B26" s="32">
        <v>5.6833333333333336</v>
      </c>
    </row>
    <row r="27" spans="1:2">
      <c r="A27" s="30">
        <v>33</v>
      </c>
      <c r="B27" s="32">
        <v>4.6916666666666664</v>
      </c>
    </row>
    <row r="28" spans="1:2">
      <c r="A28" s="30">
        <v>34</v>
      </c>
      <c r="B28" s="32">
        <v>5.9305555555555554</v>
      </c>
    </row>
    <row r="29" spans="1:2">
      <c r="A29" s="30">
        <v>35</v>
      </c>
      <c r="B29" s="32">
        <v>3.5</v>
      </c>
    </row>
    <row r="30" spans="1:2">
      <c r="A30" s="29">
        <v>36</v>
      </c>
      <c r="B30" s="32">
        <v>2.6972222222222224</v>
      </c>
    </row>
    <row r="31" spans="1:2">
      <c r="A31" s="29">
        <v>37</v>
      </c>
      <c r="B31" s="32">
        <v>4.7777777777777777</v>
      </c>
    </row>
    <row r="32" spans="1:2">
      <c r="A32" s="29">
        <v>38</v>
      </c>
      <c r="B32" s="32"/>
    </row>
    <row r="33" spans="1:2">
      <c r="A33" s="29">
        <v>39</v>
      </c>
      <c r="B33" s="32">
        <v>4.5638888888888891</v>
      </c>
    </row>
    <row r="34" spans="1:2" s="130" customFormat="1">
      <c r="A34" s="29"/>
      <c r="B34" s="32"/>
    </row>
    <row r="35" spans="1:2">
      <c r="A35" s="29">
        <v>40</v>
      </c>
      <c r="B35" s="32">
        <v>4.2111111111111112</v>
      </c>
    </row>
    <row r="36" spans="1:2">
      <c r="A36" s="29">
        <v>41</v>
      </c>
      <c r="B36" s="32">
        <v>2.3194444444444446</v>
      </c>
    </row>
    <row r="37" spans="1:2">
      <c r="A37" s="29">
        <v>42</v>
      </c>
      <c r="B37" s="32">
        <v>2.838888888888889</v>
      </c>
    </row>
    <row r="38" spans="1:2">
      <c r="A38" s="29">
        <v>43</v>
      </c>
      <c r="B38" s="32">
        <v>4.2222222222222223</v>
      </c>
    </row>
    <row r="39" spans="1:2">
      <c r="A39" s="29">
        <v>44</v>
      </c>
      <c r="B39" s="32">
        <v>5.5138888888888893</v>
      </c>
    </row>
    <row r="40" spans="1:2">
      <c r="A40" s="30">
        <v>45</v>
      </c>
      <c r="B40" s="32">
        <v>6.0666666666666664</v>
      </c>
    </row>
    <row r="41" spans="1:2">
      <c r="A41" s="29">
        <v>46</v>
      </c>
      <c r="B41" s="32">
        <v>4.1500000000000004</v>
      </c>
    </row>
    <row r="42" spans="1:2">
      <c r="A42" s="29">
        <v>47</v>
      </c>
      <c r="B42" s="32">
        <v>2.3944444444444444</v>
      </c>
    </row>
    <row r="43" spans="1:2">
      <c r="A43" s="29">
        <v>48</v>
      </c>
      <c r="B43" s="32">
        <v>4.5999999999999996</v>
      </c>
    </row>
    <row r="44" spans="1:2">
      <c r="A44" s="31">
        <v>49</v>
      </c>
      <c r="B44" s="32">
        <v>2.2749999999999999</v>
      </c>
    </row>
    <row r="45" spans="1:2">
      <c r="A45" s="29">
        <v>50</v>
      </c>
      <c r="B45" s="32">
        <v>2.9611111111111112</v>
      </c>
    </row>
    <row r="46" spans="1:2">
      <c r="A46" s="29">
        <v>51</v>
      </c>
      <c r="B46" s="32">
        <v>2.7638888888888888</v>
      </c>
    </row>
    <row r="47" spans="1:2">
      <c r="A47" s="29">
        <v>52</v>
      </c>
      <c r="B47" s="32">
        <v>2.1222222222222222</v>
      </c>
    </row>
    <row r="48" spans="1:2" s="130" customFormat="1">
      <c r="A48" s="29">
        <v>53</v>
      </c>
      <c r="B48" s="32">
        <v>5.55</v>
      </c>
    </row>
    <row r="49" spans="1:2">
      <c r="A49" s="29">
        <v>54</v>
      </c>
      <c r="B49" s="32">
        <v>3.9027777777777777</v>
      </c>
    </row>
    <row r="50" spans="1:2">
      <c r="A50" s="30">
        <v>56</v>
      </c>
      <c r="B50" s="129">
        <v>4.7694444444444448</v>
      </c>
    </row>
    <row r="51" spans="1:2">
      <c r="A51" s="29">
        <v>57</v>
      </c>
      <c r="B51" s="32">
        <v>4.3222222222222202</v>
      </c>
    </row>
    <row r="52" spans="1:2">
      <c r="A52" s="29">
        <v>58</v>
      </c>
      <c r="B52" s="32">
        <v>3.5527777777777776</v>
      </c>
    </row>
    <row r="53" spans="1:2">
      <c r="A53" s="31">
        <v>59</v>
      </c>
      <c r="B53" s="32">
        <v>1.9388888888888889</v>
      </c>
    </row>
    <row r="54" spans="1:2">
      <c r="A54" s="29">
        <v>60</v>
      </c>
      <c r="B54" s="32">
        <v>6.083333333333333</v>
      </c>
    </row>
    <row r="55" spans="1:2">
      <c r="A55" s="31">
        <v>61</v>
      </c>
      <c r="B55" s="32">
        <v>2.1416666666666666</v>
      </c>
    </row>
    <row r="56" spans="1:2">
      <c r="A56" s="30">
        <v>62</v>
      </c>
      <c r="B56" s="32">
        <v>5.6861111111111109</v>
      </c>
    </row>
    <row r="57" spans="1:2">
      <c r="A57" s="29">
        <v>63</v>
      </c>
      <c r="B57" s="32">
        <v>5.052777777777778</v>
      </c>
    </row>
    <row r="58" spans="1:2">
      <c r="A58" s="30">
        <v>65</v>
      </c>
      <c r="B58" s="32">
        <v>3.1555555555555554</v>
      </c>
    </row>
    <row r="59" spans="1:2">
      <c r="A59" s="29">
        <v>66</v>
      </c>
      <c r="B59" s="32">
        <v>3.1638888888888888</v>
      </c>
    </row>
    <row r="60" spans="1:2">
      <c r="A60" s="29">
        <v>67</v>
      </c>
      <c r="B60" s="32">
        <v>4.4777777777777779</v>
      </c>
    </row>
    <row r="61" spans="1:2">
      <c r="A61" s="30">
        <v>68</v>
      </c>
      <c r="B61" s="32">
        <v>4.947222222222222</v>
      </c>
    </row>
    <row r="62" spans="1:2">
      <c r="A62" s="30">
        <v>70</v>
      </c>
      <c r="B62" s="32">
        <v>4.1027777777777779</v>
      </c>
    </row>
    <row r="63" spans="1:2">
      <c r="A63" s="29">
        <v>71</v>
      </c>
      <c r="B63" s="32">
        <v>3.8666666666666667</v>
      </c>
    </row>
    <row r="64" spans="1:2">
      <c r="A64" s="130"/>
      <c r="B64" s="130"/>
    </row>
    <row r="65" spans="1:2">
      <c r="A65" s="30"/>
      <c r="B65" s="32"/>
    </row>
    <row r="73" spans="1:2">
      <c r="A73" s="29" t="s">
        <v>89</v>
      </c>
      <c r="B73" s="32">
        <v>4.1472222222222221</v>
      </c>
    </row>
  </sheetData>
  <sortState ref="A3:B61">
    <sortCondition ref="A3:A61"/>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Notes  (1)</vt:lpstr>
      <vt:lpstr>Jill James (2)</vt:lpstr>
      <vt:lpstr>Mayo (3)</vt:lpstr>
      <vt:lpstr>App Answers (4)</vt:lpstr>
      <vt:lpstr>DD - essential and toxic (5) </vt:lpstr>
      <vt:lpstr>Symptom Form (6)</vt:lpstr>
      <vt:lpstr>ADI-R (7)</vt:lpstr>
      <vt:lpstr>Mom diet (8)</vt:lpstr>
      <vt:lpstr>Medical History (9)</vt:lpstr>
      <vt:lpstr>ABC (10)</vt:lpstr>
      <vt:lpstr>Mom Urine (11)</vt:lpstr>
      <vt:lpstr>Mom Age (12)</vt:lpstr>
      <vt:lpstr>Child Age (13)</vt:lpstr>
      <vt:lpstr>Sheet1</vt:lpstr>
      <vt:lpstr>'Mayo (3)'!Reference_Values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Melnyk, Stepan B</dc:creator>
  <cp:lastModifiedBy>RPI</cp:lastModifiedBy>
  <dcterms:created xsi:type="dcterms:W3CDTF">2017-08-08T16:40:58Z</dcterms:created>
  <dcterms:modified xsi:type="dcterms:W3CDTF">2020-03-17T19:52:42Z</dcterms:modified>
</cp:coreProperties>
</file>