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6.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example" sheetId="1" state="visible" r:id="rId2"/>
    <sheet name="sources_inputdata" sheetId="2" state="visible" r:id="rId3"/>
    <sheet name="source_inputdata_archive" sheetId="3" state="visible" r:id="rId4"/>
    <sheet name="results overview" sheetId="4" state="visible" r:id="rId5"/>
    <sheet name="suppl-1_methods" sheetId="5" state="visible" r:id="rId6"/>
    <sheet name="suppl-2_guidevalues-interimres" sheetId="6"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<sst xmlns="http://schemas.openxmlformats.org/spreadsheetml/2006/main" count="1013" uniqueCount="464">
  <si>
    <t xml:space="preserve">example</t>
  </si>
  <si>
    <t xml:space="preserve">(Weizen + Roggen + Wintergerste + Sommergerste + Hafer + Triticale + Körnemais und CCM + sonstiges Getreide + </t>
  </si>
  <si>
    <t xml:space="preserve">neu</t>
  </si>
  <si>
    <t xml:space="preserve">Year 1</t>
  </si>
  <si>
    <t xml:space="preserve">Wert Literatur</t>
  </si>
  <si>
    <t xml:space="preserve">... Kartoffeln + Zuckerrüben + Silomais + Winterraps + Ölfrüchte + Hülsenfrüchte + übrige Ackerkulturen </t>
  </si>
  <si>
    <t xml:space="preserve">Sainju (2017)</t>
  </si>
  <si>
    <r>
      <rPr>
        <sz val="11"/>
        <color rgb="FF000000"/>
        <rFont val="Calibri"/>
        <family val="2"/>
        <charset val="1"/>
      </rPr>
      <t xml:space="preserve">F: N Balance [kg N] = (synth + org + dep + BNF + seed)
- (N harvest + vol + den + lea) - stock changes
D: N Balance [kg N] = (synth + org + dep + BNF + seed)
- (N harvest + </t>
    </r>
    <r>
      <rPr>
        <i val="true"/>
        <sz val="11"/>
        <color rgb="FF808080"/>
        <rFont val="Calibri"/>
        <family val="2"/>
        <charset val="1"/>
      </rPr>
      <t xml:space="preserve">vol</t>
    </r>
    <r>
      <rPr>
        <sz val="11"/>
        <color rgb="FF000000"/>
        <rFont val="Calibri"/>
        <family val="2"/>
        <charset val="1"/>
      </rPr>
      <t xml:space="preserve"> + </t>
    </r>
    <r>
      <rPr>
        <i val="true"/>
        <sz val="11"/>
        <color rgb="FF808080"/>
        <rFont val="Calibri"/>
        <family val="2"/>
        <charset val="1"/>
      </rPr>
      <t xml:space="preserve">den</t>
    </r>
    <r>
      <rPr>
        <sz val="11"/>
        <color rgb="FF000000"/>
        <rFont val="Calibri"/>
        <family val="2"/>
        <charset val="1"/>
      </rPr>
      <t xml:space="preserve"> + </t>
    </r>
    <r>
      <rPr>
        <i val="true"/>
        <sz val="11"/>
        <color rgb="FF808080"/>
        <rFont val="Calibri"/>
        <family val="2"/>
        <charset val="1"/>
      </rPr>
      <t xml:space="preserve">lea</t>
    </r>
    <r>
      <rPr>
        <sz val="11"/>
        <color rgb="FF000000"/>
        <rFont val="Calibri"/>
        <family val="2"/>
        <charset val="1"/>
      </rPr>
      <t xml:space="preserve">) - </t>
    </r>
    <r>
      <rPr>
        <i val="true"/>
        <sz val="11"/>
        <color rgb="FF808080"/>
        <rFont val="Calibri"/>
        <family val="2"/>
        <charset val="1"/>
      </rPr>
      <t xml:space="preserve">stock changes</t>
    </r>
  </si>
  <si>
    <t xml:space="preserve">… + Dauergrünland + Dauerkulturen + Rebland + übrige Dauerkulturen)</t>
  </si>
  <si>
    <t xml:space="preserve">Smil (1999)</t>
  </si>
  <si>
    <r>
      <rPr>
        <sz val="11"/>
        <color rgb="FF000000"/>
        <rFont val="Calibri"/>
        <family val="2"/>
        <charset val="1"/>
      </rPr>
      <t xml:space="preserve">F: N Balance [kg N]
= (synth + org + dep + BNF + seed) - (N harvest + vol + den + lea)
D: N Balance [kg N]
= (synth + org + dep + BNF + seed) - (N harvest + </t>
    </r>
    <r>
      <rPr>
        <i val="true"/>
        <sz val="11"/>
        <color rgb="FF808080"/>
        <rFont val="Calibri"/>
        <family val="2"/>
        <charset val="1"/>
      </rPr>
      <t xml:space="preserve">vol</t>
    </r>
    <r>
      <rPr>
        <sz val="11"/>
        <color rgb="FF000000"/>
        <rFont val="Calibri"/>
        <family val="2"/>
        <charset val="1"/>
      </rPr>
      <t xml:space="preserve"> + </t>
    </r>
    <r>
      <rPr>
        <i val="true"/>
        <sz val="11"/>
        <color rgb="FF808080"/>
        <rFont val="Calibri"/>
        <family val="2"/>
        <charset val="1"/>
      </rPr>
      <t xml:space="preserve">den</t>
    </r>
    <r>
      <rPr>
        <sz val="11"/>
        <color rgb="FF000000"/>
        <rFont val="Calibri"/>
        <family val="2"/>
        <charset val="1"/>
      </rPr>
      <t xml:space="preserve"> + </t>
    </r>
    <r>
      <rPr>
        <i val="true"/>
        <sz val="11"/>
        <color rgb="FF808080"/>
        <rFont val="Calibri"/>
        <family val="2"/>
        <charset val="1"/>
      </rPr>
      <t xml:space="preserve">lea</t>
    </r>
    <r>
      <rPr>
        <sz val="11"/>
        <color rgb="FF000000"/>
        <rFont val="Calibri"/>
        <family val="2"/>
        <charset val="1"/>
      </rPr>
      <t xml:space="preserve">)</t>
    </r>
  </si>
  <si>
    <t xml:space="preserve">Allison (1955)</t>
  </si>
  <si>
    <r>
      <rPr>
        <sz val="11"/>
        <color rgb="FF000000"/>
        <rFont val="Calibri"/>
        <family val="2"/>
        <charset val="1"/>
      </rPr>
      <t xml:space="preserve">F: N Balance [kg N] = (synth + org + BNF + seed) - (N harvest + vol + den + lea)
D: N Balance [kg N] = (synth + org + BNF + seed) - (N harvest + </t>
    </r>
    <r>
      <rPr>
        <i val="true"/>
        <sz val="11"/>
        <color rgb="FF808080"/>
        <rFont val="Calibri"/>
        <family val="2"/>
        <charset val="1"/>
      </rPr>
      <t xml:space="preserve">vol</t>
    </r>
    <r>
      <rPr>
        <sz val="11"/>
        <color rgb="FF000000"/>
        <rFont val="Calibri"/>
        <family val="2"/>
        <charset val="1"/>
      </rPr>
      <t xml:space="preserve"> + </t>
    </r>
    <r>
      <rPr>
        <i val="true"/>
        <sz val="11"/>
        <color rgb="FF808080"/>
        <rFont val="Calibri"/>
        <family val="2"/>
        <charset val="1"/>
      </rPr>
      <t xml:space="preserve">den</t>
    </r>
    <r>
      <rPr>
        <sz val="11"/>
        <color rgb="FF000000"/>
        <rFont val="Calibri"/>
        <family val="2"/>
        <charset val="1"/>
      </rPr>
      <t xml:space="preserve"> + </t>
    </r>
    <r>
      <rPr>
        <i val="true"/>
        <sz val="11"/>
        <color rgb="FF808080"/>
        <rFont val="Calibri"/>
        <family val="2"/>
        <charset val="1"/>
      </rPr>
      <t xml:space="preserve">lea</t>
    </r>
    <r>
      <rPr>
        <sz val="11"/>
        <color rgb="FF000000"/>
        <rFont val="Calibri"/>
        <family val="2"/>
        <charset val="1"/>
      </rPr>
      <t xml:space="preserve">)</t>
    </r>
  </si>
  <si>
    <t xml:space="preserve">Anbaufläche [ha]</t>
  </si>
  <si>
    <t xml:space="preserve">N-Bedarf [kg N / ha]</t>
  </si>
  <si>
    <t xml:space="preserve">Bouwman et al. (2013), Lassaletta et al. (2014)</t>
  </si>
  <si>
    <t xml:space="preserve">F, D: N Budget / N Surplus [kg N] = (synth + org + dep + BNF) – N harvest</t>
  </si>
  <si>
    <t xml:space="preserve">Abfuhr</t>
  </si>
  <si>
    <t xml:space="preserve">NUE</t>
  </si>
  <si>
    <t xml:space="preserve">Weizen </t>
  </si>
  <si>
    <t xml:space="preserve">N-Input [kg]</t>
  </si>
  <si>
    <t xml:space="preserve">total</t>
  </si>
  <si>
    <t xml:space="preserve">pro ha</t>
  </si>
  <si>
    <t xml:space="preserve">Godinot et al. (2016), Leip et al. (2011)</t>
  </si>
  <si>
    <r>
      <rPr>
        <sz val="11"/>
        <color rgb="FF000000"/>
        <rFont val="Calibri"/>
        <family val="2"/>
        <charset val="1"/>
      </rPr>
      <t xml:space="preserve">F: N Surplus [kg N ha-1] = (synth + org + dep + BNF + seed
- stock changes - N harvest) / aa
D: N Surplus [kg N ha-1] = (synth + org + dep + BNF + seed
- </t>
    </r>
    <r>
      <rPr>
        <i val="true"/>
        <sz val="11"/>
        <color rgb="FF808080"/>
        <rFont val="Calibri"/>
        <family val="2"/>
        <charset val="1"/>
      </rPr>
      <t xml:space="preserve">stock changes</t>
    </r>
    <r>
      <rPr>
        <sz val="11"/>
        <color rgb="FF000000"/>
        <rFont val="Calibri"/>
        <family val="2"/>
        <charset val="1"/>
      </rPr>
      <t xml:space="preserve"> - N harvest) / aa</t>
    </r>
  </si>
  <si>
    <t xml:space="preserve">Roggen </t>
  </si>
  <si>
    <t xml:space="preserve">synthetic fertilizer (55% vom N-Bedarf - Häu 2019)</t>
  </si>
  <si>
    <t xml:space="preserve">Häußermann et al. (2020):
Surplus</t>
  </si>
  <si>
    <t xml:space="preserve">F, D: N Surplus [kg N ha-1]
= ((synth + org + dep + BNF + seed) - (N harvest)) / aa</t>
  </si>
  <si>
    <t xml:space="preserve">77 (26-162)</t>
  </si>
  <si>
    <t xml:space="preserve">Wintergerste </t>
  </si>
  <si>
    <t xml:space="preserve">organic fertilizer (45% vom N-Bedarf - Häu 2019)</t>
  </si>
  <si>
    <t xml:space="preserve">Sommergerste </t>
  </si>
  <si>
    <t xml:space="preserve">deposition (14 kg / ha - Häu 2019)</t>
  </si>
  <si>
    <t xml:space="preserve">Hafer </t>
  </si>
  <si>
    <t xml:space="preserve">BNF (12 kg / ha - Häu 2019)</t>
  </si>
  <si>
    <t xml:space="preserve">Raun and Johnson (1999)</t>
  </si>
  <si>
    <r>
      <rPr>
        <sz val="11"/>
        <color rgb="FF000000"/>
        <rFont val="Calibri"/>
        <family val="2"/>
        <charset val="1"/>
      </rPr>
      <t xml:space="preserve">F, D: NUE [%] = ((N harvest * 0.5) / (synth </t>
    </r>
    <r>
      <rPr>
        <sz val="11"/>
        <color rgb="FFFF0000"/>
        <rFont val="Calibri"/>
        <family val="2"/>
        <charset val="1"/>
      </rPr>
      <t xml:space="preserve">+ org</t>
    </r>
    <r>
      <rPr>
        <sz val="11"/>
        <color rgb="FF000000"/>
        <rFont val="Calibri"/>
        <family val="2"/>
        <charset val="1"/>
      </rPr>
      <t xml:space="preserve">) * 100</t>
    </r>
  </si>
  <si>
    <t xml:space="preserve">Approach 15 * 0.5</t>
  </si>
  <si>
    <t xml:space="preserve">Triticale </t>
  </si>
  <si>
    <t xml:space="preserve">seed (1 kg / ha - Häu 2019)</t>
  </si>
  <si>
    <t xml:space="preserve">Foulkes et al. (2009), Hirel et al. (2007), Weih et al. (2018)</t>
  </si>
  <si>
    <t xml:space="preserve">F, D: N Uptake / Recovery  Efficiency [%] = ((N harvest + N acr) / (synth + org)) * 100</t>
  </si>
  <si>
    <t xml:space="preserve">Körnermais + CCM </t>
  </si>
  <si>
    <t xml:space="preserve">irrigation</t>
  </si>
  <si>
    <t xml:space="preserve">Good et al. (2004), Han et al. (2015), Moll et al. (1982), Xu et al. (2012)</t>
  </si>
  <si>
    <t xml:space="preserve">F, D: Uptake Efficiency [%]
= ((N harvest + N acr + N roots) / (synth + org)) * 100</t>
  </si>
  <si>
    <t xml:space="preserve">sonst. Getreide</t>
  </si>
  <si>
    <t xml:space="preserve">Nmin</t>
  </si>
  <si>
    <t xml:space="preserve">Norton et al. (2015)</t>
  </si>
  <si>
    <t xml:space="preserve">F, D: NUE [%] = (N harvest / (synth + org + BNF)) * 100</t>
  </si>
  <si>
    <t xml:space="preserve">nur N harvest</t>
  </si>
  <si>
    <t xml:space="preserve">Kartoffeln </t>
  </si>
  <si>
    <t xml:space="preserve">mineralization</t>
  </si>
  <si>
    <t xml:space="preserve">Lassaletta et al. (2014)</t>
  </si>
  <si>
    <t xml:space="preserve">F, D: NUE [%] = (N harvest / (synth + org + dep + BNF)) * 100</t>
  </si>
  <si>
    <t xml:space="preserve">Zuckerrüben </t>
  </si>
  <si>
    <t xml:space="preserve">rainfall</t>
  </si>
  <si>
    <t xml:space="preserve">Leip et al. (2011)</t>
  </si>
  <si>
    <r>
      <rPr>
        <sz val="11"/>
        <color rgb="FF000000"/>
        <rFont val="Calibri"/>
        <family val="2"/>
        <charset val="1"/>
      </rPr>
      <t xml:space="preserve">F: Soil NUE [%]
= ((N harvest + stock changes) / (synth + org + dep + BNF)) * 100
D: Soil NUE [%]
= ((N harvest + </t>
    </r>
    <r>
      <rPr>
        <i val="true"/>
        <sz val="11"/>
        <color rgb="FF808080"/>
        <rFont val="Calibri"/>
        <family val="2"/>
        <charset val="1"/>
      </rPr>
      <t xml:space="preserve">stock changes</t>
    </r>
    <r>
      <rPr>
        <sz val="11"/>
        <color rgb="FF000000"/>
        <rFont val="Calibri"/>
        <family val="2"/>
        <charset val="1"/>
      </rPr>
      <t xml:space="preserve">) / (synth + org + dep + BNF)) * 100</t>
    </r>
  </si>
  <si>
    <t xml:space="preserve">Silomais</t>
  </si>
  <si>
    <t xml:space="preserve">fixation by sunlight</t>
  </si>
  <si>
    <t xml:space="preserve">Godinot et al. (2016)</t>
  </si>
  <si>
    <r>
      <rPr>
        <sz val="11"/>
        <color rgb="FF000000"/>
        <rFont val="Calibri"/>
        <family val="2"/>
        <charset val="1"/>
      </rPr>
      <t xml:space="preserve">F: System N Efficiency [%] = (N harvest / (synth * 0.98 + org + dep + BNF + seed - stock changes)) * 100
D: System N Efficiency [%] = (N harvest / (synth * 0.98 + org + dep + BNF + seed - </t>
    </r>
    <r>
      <rPr>
        <i val="true"/>
        <sz val="11"/>
        <color rgb="FF808080"/>
        <rFont val="Calibri"/>
        <family val="2"/>
        <charset val="1"/>
      </rPr>
      <t xml:space="preserve">stock changes</t>
    </r>
    <r>
      <rPr>
        <sz val="11"/>
        <color rgb="FF000000"/>
        <rFont val="Calibri"/>
        <family val="2"/>
        <charset val="1"/>
      </rPr>
      <t xml:space="preserve">)) * 100</t>
    </r>
  </si>
  <si>
    <t xml:space="preserve">Winterraps</t>
  </si>
  <si>
    <t xml:space="preserve">NH3-abs. by soil + plant</t>
  </si>
  <si>
    <t xml:space="preserve">Cassman et al. (2002)</t>
  </si>
  <si>
    <r>
      <rPr>
        <sz val="11"/>
        <color rgb="FF000000"/>
        <rFont val="Calibri"/>
        <family val="2"/>
        <charset val="1"/>
      </rPr>
      <t xml:space="preserve">F: NUE [%]
= ((N harvest + N acr + N roots + stock changes) / (synth + org + dep + BNF)) * 100
D: NUE [%]
= ((N harvest + N acr + N roots + </t>
    </r>
    <r>
      <rPr>
        <i val="true"/>
        <sz val="11"/>
        <color rgb="FF808080"/>
        <rFont val="Calibri"/>
        <family val="2"/>
        <charset val="1"/>
      </rPr>
      <t xml:space="preserve">stock changes</t>
    </r>
    <r>
      <rPr>
        <sz val="11"/>
        <color rgb="FF000000"/>
        <rFont val="Calibri"/>
        <family val="2"/>
        <charset val="1"/>
      </rPr>
      <t xml:space="preserve">) / (synth + org + dep + BNF)) * 100</t>
    </r>
  </si>
  <si>
    <t xml:space="preserve">Ölfrüchte (Sonnenbl.)</t>
  </si>
  <si>
    <t xml:space="preserve">recycled crop residues</t>
  </si>
  <si>
    <t xml:space="preserve">Own Definition of NUE</t>
  </si>
  <si>
    <t xml:space="preserve">F, D: NUE [%] = (N harvest / (synth + org)) * 100</t>
  </si>
  <si>
    <t xml:space="preserve">Hülsenfrüchte (Erbsen, Bohnen, Lupinen, Linsen)</t>
  </si>
  <si>
    <t xml:space="preserve">übrige Ackerkulturen</t>
  </si>
  <si>
    <t xml:space="preserve">SUMME</t>
  </si>
  <si>
    <t xml:space="preserve">Dauergrünland</t>
  </si>
  <si>
    <t xml:space="preserve">Fageria and Baligar (2005), Foulkes et al. (2009), Xu et al. (2012)</t>
  </si>
  <si>
    <t xml:space="preserve">F, D: N Harvest Index [%] = (N harvest / (N harvest + N acr)) * 100</t>
  </si>
  <si>
    <t xml:space="preserve">Dauerkulturen</t>
  </si>
  <si>
    <t xml:space="preserve">Han et al. (2015), Hirel et al. (2007)</t>
  </si>
  <si>
    <t xml:space="preserve">F, D: N Harvesting Index [%]
= (N harvest / (N harvest + N acr + N roots)) * 100</t>
  </si>
  <si>
    <t xml:space="preserve">Rebland</t>
  </si>
  <si>
    <t xml:space="preserve">N-Output [kg]</t>
  </si>
  <si>
    <t xml:space="preserve">Xu et al. (2012)</t>
  </si>
  <si>
    <t xml:space="preserve">F, D: N Transport Efficiency [%]
= ((N harvest + N acr) / (N harvest + N acr + N roots)) * 100</t>
  </si>
  <si>
    <t xml:space="preserve">übrige Dauerkulturen</t>
  </si>
  <si>
    <t xml:space="preserve">harvest</t>
  </si>
  <si>
    <t xml:space="preserve">Foulkes et al. (2009)</t>
  </si>
  <si>
    <t xml:space="preserve">F, D: Aboveground N Uptake [g m-2] = (N harvest + N acr) / aa / 10</t>
  </si>
  <si>
    <t xml:space="preserve">crop residues</t>
  </si>
  <si>
    <t xml:space="preserve">lw genutzte Fläche (Summe)</t>
  </si>
  <si>
    <t xml:space="preserve">roots</t>
  </si>
  <si>
    <t xml:space="preserve">harvest (unfert. plots)</t>
  </si>
  <si>
    <t xml:space="preserve">Cassman et al. (2002), Dobermann (2005), Foulkes et al. (2009), Good et al. (2004), Han et al. (2015), Ladha et al. (2005), Moll et al. (1982), Qin et al. (2015), Weih et al. (2018), Xu et al. (2012)</t>
  </si>
  <si>
    <t xml:space="preserve">F, D: NUE (grain), Partial Factor Productivity of Applied N
[kg pbm kg-1 N-fertilizer] = pbm harvest / (synth + org)</t>
  </si>
  <si>
    <t xml:space="preserve">40-70 (Dobermann)
20-50 / 20-80 (Qin)</t>
  </si>
  <si>
    <t xml:space="preserve">crop residues (unfert. plots)</t>
  </si>
  <si>
    <t xml:space="preserve">F, D: NUE [kg pbm kg-1 N-fertilizer]
= (pbm harvest + pbm acr + pbm roots) / (synth + org)</t>
  </si>
  <si>
    <t xml:space="preserve">roots (unfert. plots)</t>
  </si>
  <si>
    <t xml:space="preserve">volatilization (NH3)</t>
  </si>
  <si>
    <t xml:space="preserve">denitrification (NO, N2O, N2)</t>
  </si>
  <si>
    <t xml:space="preserve">Baligar et al. (2001)</t>
  </si>
  <si>
    <t xml:space="preserve">F, D: Nutrient Efficiency Ratio [kg pbm kg-1 N in plant]
= pbm harvest / N harvest</t>
  </si>
  <si>
    <t xml:space="preserve">Leaching</t>
  </si>
  <si>
    <t xml:space="preserve">F, D: N Utilization Efficiency [kg pbm kg-1 N in plant]
= pbm harvest / (N harvest + N acr)</t>
  </si>
  <si>
    <t xml:space="preserve">erosion = runoff</t>
  </si>
  <si>
    <t xml:space="preserve">F, D: N Utilization / Assimilation Efficiency [kg pbm kg-1 N in plant]
= pbm harvest / (N harvest + N acr + N roots)</t>
  </si>
  <si>
    <t xml:space="preserve">senescence = plant surface</t>
  </si>
  <si>
    <t xml:space="preserve">Good et al. (2004)</t>
  </si>
  <si>
    <t xml:space="preserve">F, D: NUE [kg pbm kg-1 N in plant]
= (pbm harvest + pbm acr) / (N harvest + N acr)</t>
  </si>
  <si>
    <t xml:space="preserve">immobilization</t>
  </si>
  <si>
    <t xml:space="preserve">F, D: N Utilization / Assimilation Efficiency [kg pbm kg-1 N in plant]
= (pbm harvest + pbm acr + pbm roots)
/ (N harvest + N acr + N roots)</t>
  </si>
  <si>
    <t xml:space="preserve">Transport</t>
  </si>
  <si>
    <t xml:space="preserve">Produktion</t>
  </si>
  <si>
    <t xml:space="preserve">Omara et al. (2019)</t>
  </si>
  <si>
    <r>
      <rPr>
        <sz val="11"/>
        <color rgb="FF000000"/>
        <rFont val="Calibri"/>
        <family val="2"/>
        <charset val="1"/>
      </rPr>
      <t xml:space="preserve">F: Difference Method [%]
= ((N harvest - N harvest unfert) / </t>
    </r>
    <r>
      <rPr>
        <sz val="11"/>
        <rFont val="Calibri"/>
        <family val="2"/>
        <charset val="1"/>
      </rPr>
      <t xml:space="preserve">(synth + </t>
    </r>
    <r>
      <rPr>
        <sz val="11"/>
        <color rgb="FFFF0000"/>
        <rFont val="Calibri"/>
        <family val="2"/>
        <charset val="1"/>
      </rPr>
      <t xml:space="preserve">org</t>
    </r>
    <r>
      <rPr>
        <sz val="11"/>
        <color rgb="FF000000"/>
        <rFont val="Calibri"/>
        <family val="2"/>
        <charset val="1"/>
      </rPr>
      <t xml:space="preserve">) * 100</t>
    </r>
  </si>
  <si>
    <t xml:space="preserve">N pro N</t>
  </si>
  <si>
    <t xml:space="preserve">Craswell and Godwin (1984), Dobermann (2005), Fageria and Baligar (2005), Ladha et al. (2005), Weih et al. (2018), Yan et al. (2014)</t>
  </si>
  <si>
    <t xml:space="preserve">F: Crop Recovery Efficiency of N / Apparent N Recovery [%]
= (((N harvest + N acr) - (N harvest unfert + N acr unfert))
/ (synth + org)) * 100</t>
  </si>
  <si>
    <t xml:space="preserve">68 % (EU, Yan) [außerdem: 30 (China), 52 (US)]
Fag+Bal: 39
Ladha: 31 (prak) / 41 (trials)</t>
  </si>
  <si>
    <r>
      <rPr>
        <b val="true"/>
        <sz val="11"/>
        <color rgb="FF00B050"/>
        <rFont val="Calibri"/>
        <family val="2"/>
        <charset val="1"/>
      </rPr>
      <t xml:space="preserve">29</t>
    </r>
    <r>
      <rPr>
        <sz val="11"/>
        <color rgb="FF000000"/>
        <rFont val="Calibri"/>
        <family val="2"/>
        <charset val="1"/>
      </rPr>
      <t xml:space="preserve"> (neu)</t>
    </r>
  </si>
  <si>
    <t xml:space="preserve">F: Recovery Efficiency of N [%]
= (((N harvest + N acr + stock changes) - (N harvest unfert + N acr unfert))
/ (synth + org)) * 100</t>
  </si>
  <si>
    <t xml:space="preserve">changes in soil N stock [kg]</t>
  </si>
  <si>
    <t xml:space="preserve">Baligar et al. (2001), Good et al. (2004), Xu et al. (2012)</t>
  </si>
  <si>
    <t xml:space="preserve">F: Apparent N Recovery Efﬁciency / Rate [%]
= (((N harvest + N acr + N roots)
- (N harvest unfert + N acr unfert + N roots unfert)) / (synth + org)) * 100</t>
  </si>
  <si>
    <t xml:space="preserve">Baligar et al. (2001), Craswell and Godwin (1984), Dobermann (2005), Fageria and Baligar (2005), Good et al. (2004), Ladha et al. (2005), Weih et al. (2018), Xu et al. (2012)</t>
  </si>
  <si>
    <t xml:space="preserve">F: Agronomic Efficiency (of Applied N) [kg additional yield kg-1 N fertilization] = (pbm harvest - pbm harvest unfert) / (synth + org)</t>
  </si>
  <si>
    <t xml:space="preserve">10-30 (Dobermann), 23 (Fag+Bal), 18-24 (Ladha)</t>
  </si>
  <si>
    <t xml:space="preserve">pbm pro N</t>
  </si>
  <si>
    <r>
      <rPr>
        <b val="true"/>
        <sz val="11"/>
        <color rgb="FF000000"/>
        <rFont val="Calibri"/>
        <family val="2"/>
        <charset val="1"/>
      </rPr>
      <t xml:space="preserve">plant </t>
    </r>
    <r>
      <rPr>
        <b val="true"/>
        <sz val="11"/>
        <rFont val="Calibri"/>
        <family val="2"/>
        <charset val="1"/>
      </rPr>
      <t xml:space="preserve">dry</t>
    </r>
    <r>
      <rPr>
        <b val="true"/>
        <sz val="11"/>
        <color rgb="FF000000"/>
        <rFont val="Calibri"/>
        <family val="2"/>
        <charset val="1"/>
      </rPr>
      <t xml:space="preserve"> mass [kg]</t>
    </r>
  </si>
  <si>
    <r>
      <rPr>
        <b val="true"/>
        <sz val="11"/>
        <color rgb="FF00B050"/>
        <rFont val="Calibri"/>
        <family val="2"/>
        <charset val="1"/>
      </rPr>
      <t xml:space="preserve">32</t>
    </r>
    <r>
      <rPr>
        <sz val="11"/>
        <color rgb="FF000000"/>
        <rFont val="Calibri"/>
        <family val="2"/>
        <charset val="1"/>
      </rPr>
      <t xml:space="preserve"> (neu)</t>
    </r>
  </si>
  <si>
    <t xml:space="preserve">Fageria and Baligar (2005)</t>
  </si>
  <si>
    <t xml:space="preserve">F: Utilization Efficiency [kg additional yield kg-1 N fertilization] = ((pbm harvest + pbm acr) - (pbm harvest unfert + pbm acr unfert)) / (synth + org)</t>
  </si>
  <si>
    <t xml:space="preserve">Baligar et al. (2001), Craswell and Godwin (1984), Dobermann (2005), Fageria and Baligar (2005), Ladha et al. (2005), Weih et al. (2018)</t>
  </si>
  <si>
    <t xml:space="preserve">F: (Agro-) Physiological / Internal Efficiency
[kg additional pbm kg-1 additional N in plant]
= (pbm harvest - pbm harvest unfert) / ((N harvest + N acr) 
- (N harvest unfert + N acr unfert))</t>
  </si>
  <si>
    <t xml:space="preserve">F: Physiological NUE [kg additional pbm kg-1 additional N in plant]
= ((pbm harvest - pbm harvest unfert) / ((N harvest + N acr 
+ N roots) - (N harvest unfert + N acr unfert + N roots unfert))</t>
  </si>
  <si>
    <t xml:space="preserve">F: Physiological Efficiency
[kg additional pbm kg-1 additional N in plant]
= ((pbm harvest + pbm acr)
- (pbm harvest unfert + pbm acr unfert))
/ ((N harvest + N acr) - (N harvest unfert + N acr unfert))</t>
  </si>
  <si>
    <t xml:space="preserve">V 6 = gedüngt</t>
  </si>
  <si>
    <t xml:space="preserve">yield
[dt TM/ha]</t>
  </si>
  <si>
    <t xml:space="preserve">N-Konz. H TM [%]</t>
  </si>
  <si>
    <t xml:space="preserve">CR-H (Stroh-TM/Weizen-TM)</t>
  </si>
  <si>
    <t xml:space="preserve">N-Konz. crop residuals TM [%]</t>
  </si>
  <si>
    <t xml:space="preserve">Shoot-Root (Wurzel-TM/Spross-TM)</t>
  </si>
  <si>
    <t xml:space="preserve">N-Konz. dry roots [%]</t>
  </si>
  <si>
    <t xml:space="preserve">V 5 = ohne N-Düngung</t>
  </si>
  <si>
    <t xml:space="preserve">fert*0.75</t>
  </si>
  <si>
    <t xml:space="preserve"> fert*1.2</t>
  </si>
  <si>
    <t xml:space="preserve">yield [dt TM/ha]</t>
  </si>
  <si>
    <t xml:space="preserve">N-Konz. Erntegut TM [%]</t>
  </si>
  <si>
    <t xml:space="preserve">H-CR (Stroh-TM/Weizen-TM)</t>
  </si>
  <si>
    <t xml:space="preserve">S-R (Wurzel-TM/Spross-TM)</t>
  </si>
  <si>
    <r>
      <rPr>
        <sz val="11"/>
        <color rgb="FF000000"/>
        <rFont val="Calibri"/>
        <family val="2"/>
        <charset val="1"/>
      </rPr>
      <t xml:space="preserve">Zahlen aus </t>
    </r>
    <r>
      <rPr>
        <b val="true"/>
        <u val="single"/>
        <sz val="11"/>
        <color rgb="FF000000"/>
        <rFont val="Calibri"/>
        <family val="2"/>
        <charset val="1"/>
      </rPr>
      <t xml:space="preserve">2021</t>
    </r>
  </si>
  <si>
    <r>
      <rPr>
        <b val="true"/>
        <u val="single"/>
        <sz val="11"/>
        <color rgb="FF000000"/>
        <rFont val="Calibri"/>
        <family val="2"/>
        <charset val="1"/>
      </rPr>
      <t xml:space="preserve">Betriebsgröße</t>
    </r>
    <r>
      <rPr>
        <sz val="11"/>
        <color rgb="FF000000"/>
        <rFont val="Calibri"/>
        <family val="2"/>
        <charset val="1"/>
      </rPr>
      <t xml:space="preserve"> [ha]</t>
    </r>
  </si>
  <si>
    <t xml:space="preserve">https://www.destatis.de/DE/Presse/Pressemitteilungen/2021/01/PD21_028_412.html#:~:text=Die%20landwirtschaftlich%20genutzte%20Fl%C3%A4che%20blieb,Betrieb%20durchschnittlich%2056%20Hektar%20bewirtschaftete. – aufgerufen am 22.04.23</t>
  </si>
  <si>
    <t xml:space="preserve">aufgerufen am 22.04.23</t>
  </si>
  <si>
    <t xml:space="preserve">[ha]</t>
  </si>
  <si>
    <t xml:space="preserve">Anbau-fläche in D [1.000 ha]</t>
  </si>
  <si>
    <t xml:space="preserve">N-Bedarf [kg N / ha]
- DüV</t>
  </si>
  <si>
    <r>
      <rPr>
        <b val="true"/>
        <u val="single"/>
        <sz val="11"/>
        <color rgb="FF000000"/>
        <rFont val="Calibri"/>
        <family val="2"/>
        <charset val="1"/>
      </rPr>
      <t xml:space="preserve">Anbaufläche</t>
    </r>
    <r>
      <rPr>
        <sz val="11"/>
        <color rgb="FF000000"/>
        <rFont val="Calibri"/>
        <family val="2"/>
        <charset val="1"/>
      </rPr>
      <t xml:space="preserve">: Anteile verschiedener Kulturen</t>
    </r>
  </si>
  <si>
    <t xml:space="preserve">https://www.destatis.de/DE/Themen/Branchen-Unternehmen/Landwirtschaft-Forstwirtschaft-Fischerei/Feldfruechte-Gruenland/Tabellen/liste-feldfruechte-zeitreihe.html#123340</t>
  </si>
  <si>
    <t xml:space="preserve">(Annahme: 75 % WG, 25 % SG - https://www.agrarheute.com/markt/marktfruechte/hohe-getreidepreise-puschen-anbau-sommergetreide-593820#:~:text=Der%20Rest%20ist%20Futtergerste.,fast%20ausschlie%C3%9Flich%20als%20Futtergerste%20Verwendung. [abgerufen am 22.04.2023])</t>
  </si>
  <si>
    <t xml:space="preserve">[BNF: 165 kg N / ha (KTBL, S. 438)]</t>
  </si>
  <si>
    <t xml:space="preserve">https://www.destatis.de/DE/Themen/Branchen-Unternehmen/Landwirtschaft-Forstwirtschaft-Fischerei/Feldfruechte-Gruenland/_inhalt.html</t>
  </si>
  <si>
    <t xml:space="preserve">3-Schnitt-Nutzung</t>
  </si>
  <si>
    <t xml:space="preserve">Sources Tab. S1:</t>
  </si>
  <si>
    <r>
      <rPr>
        <vertAlign val="superscript"/>
        <sz val="11"/>
        <color rgb="FF000000"/>
        <rFont val="Calibri"/>
        <family val="2"/>
        <charset val="1"/>
      </rPr>
      <t xml:space="preserve">a</t>
    </r>
    <r>
      <rPr>
        <sz val="11"/>
        <color rgb="FF000000"/>
        <rFont val="Calibri"/>
        <family val="2"/>
        <charset val="1"/>
      </rPr>
      <t xml:space="preserve"> Häußermann et al. (2020), whereby the N content of harvested products of permanent grassland was calculated by – 0.0022 · avE</t>
    </r>
    <r>
      <rPr>
        <vertAlign val="subscript"/>
        <sz val="11"/>
        <color rgb="FF000000"/>
        <rFont val="Calibri"/>
        <family val="2"/>
        <charset val="1"/>
      </rPr>
      <t xml:space="preserve">GL</t>
    </r>
    <r>
      <rPr>
        <vertAlign val="superscript"/>
        <sz val="11"/>
        <color rgb="FF000000"/>
        <rFont val="Calibri"/>
        <family val="2"/>
        <charset val="1"/>
      </rPr>
      <t xml:space="preserve">²</t>
    </r>
    <r>
      <rPr>
        <sz val="11"/>
        <color rgb="FF000000"/>
        <rFont val="Calibri"/>
        <family val="2"/>
        <charset val="1"/>
      </rPr>
      <t xml:space="preserve"> x 0.85 + 0.539 · avE</t>
    </r>
    <r>
      <rPr>
        <vertAlign val="subscript"/>
        <sz val="11"/>
        <color rgb="FF000000"/>
        <rFont val="Calibri"/>
        <family val="2"/>
        <charset val="1"/>
      </rPr>
      <t xml:space="preserve">GL</t>
    </r>
    <r>
      <rPr>
        <sz val="11"/>
        <color rgb="FF000000"/>
        <rFont val="Calibri"/>
        <family val="2"/>
        <charset val="1"/>
      </rPr>
      <t xml:space="preserve"> – 4,49 with avE</t>
    </r>
    <r>
      <rPr>
        <vertAlign val="subscript"/>
        <sz val="11"/>
        <color rgb="FF000000"/>
        <rFont val="Calibri"/>
        <family val="2"/>
        <charset val="1"/>
      </rPr>
      <t xml:space="preserve">GL</t>
    </r>
    <r>
      <rPr>
        <sz val="11"/>
        <color rgb="FF000000"/>
        <rFont val="Calibri"/>
        <family val="2"/>
        <charset val="1"/>
      </rPr>
      <t xml:space="preserve"> being 80.4 dt fresh weight ha</t>
    </r>
    <r>
      <rPr>
        <vertAlign val="superscript"/>
        <sz val="11"/>
        <color rgb="FF000000"/>
        <rFont val="Calibri"/>
        <family val="2"/>
        <charset val="1"/>
      </rPr>
      <t xml:space="preserve">-1</t>
    </r>
    <r>
      <rPr>
        <sz val="11"/>
        <color rgb="FF000000"/>
        <rFont val="Calibri"/>
        <family val="2"/>
        <charset val="1"/>
      </rPr>
      <t xml:space="preserve">, as it was suggested for 2016, revealing an average N content of 26.7 kg per 1,000 kg fresh grass (= 2.67 %)</t>
    </r>
  </si>
  <si>
    <r>
      <rPr>
        <vertAlign val="superscript"/>
        <sz val="11"/>
        <color rgb="FF000000"/>
        <rFont val="Calibri"/>
        <family val="2"/>
        <charset val="1"/>
      </rPr>
      <t xml:space="preserve">b </t>
    </r>
    <r>
      <rPr>
        <sz val="11"/>
        <color rgb="FF000000"/>
        <rFont val="Calibri"/>
        <family val="2"/>
        <charset val="1"/>
      </rPr>
      <t xml:space="preserve">KTBL (2018)</t>
    </r>
  </si>
  <si>
    <r>
      <rPr>
        <vertAlign val="superscript"/>
        <sz val="11"/>
        <color rgb="FF000000"/>
        <rFont val="Calibri"/>
        <family val="2"/>
        <charset val="1"/>
      </rPr>
      <t xml:space="preserve">c </t>
    </r>
    <r>
      <rPr>
        <sz val="11"/>
        <color rgb="FF000000"/>
        <rFont val="Calibri"/>
        <family val="2"/>
        <charset val="1"/>
      </rPr>
      <t xml:space="preserve">California Certified Organic Farmers (2015)</t>
    </r>
  </si>
  <si>
    <r>
      <rPr>
        <vertAlign val="superscript"/>
        <sz val="11"/>
        <color rgb="FF000000"/>
        <rFont val="Calibri"/>
        <family val="2"/>
        <charset val="1"/>
      </rPr>
      <t xml:space="preserve">d </t>
    </r>
    <r>
      <rPr>
        <sz val="11"/>
        <color rgb="FF000000"/>
        <rFont val="Calibri"/>
        <family val="2"/>
        <charset val="1"/>
      </rPr>
      <t xml:space="preserve">Ordóñez et al. (2020)</t>
    </r>
  </si>
  <si>
    <r>
      <rPr>
        <vertAlign val="superscript"/>
        <sz val="11"/>
        <color rgb="FF000000"/>
        <rFont val="Calibri"/>
        <family val="2"/>
        <charset val="1"/>
      </rPr>
      <t xml:space="preserve">e </t>
    </r>
    <r>
      <rPr>
        <sz val="11"/>
        <color rgb="FF000000"/>
        <rFont val="Calibri"/>
        <family val="2"/>
        <charset val="1"/>
      </rPr>
      <t xml:space="preserve">Bolinder et al. (2015)</t>
    </r>
  </si>
  <si>
    <r>
      <rPr>
        <vertAlign val="superscript"/>
        <sz val="11"/>
        <color rgb="FF000000"/>
        <rFont val="Calibri"/>
        <family val="2"/>
        <charset val="1"/>
      </rPr>
      <t xml:space="preserve">f </t>
    </r>
    <r>
      <rPr>
        <sz val="11"/>
        <color rgb="FF000000"/>
        <rFont val="Calibri"/>
        <family val="2"/>
        <charset val="1"/>
      </rPr>
      <t xml:space="preserve">Gan et al. (2009)</t>
    </r>
  </si>
  <si>
    <r>
      <rPr>
        <vertAlign val="superscript"/>
        <sz val="11"/>
        <color rgb="FF000000"/>
        <rFont val="Calibri"/>
        <family val="2"/>
        <charset val="1"/>
      </rPr>
      <t xml:space="preserve">g </t>
    </r>
    <r>
      <rPr>
        <sz val="11"/>
        <color rgb="FF000000"/>
        <rFont val="Calibri"/>
        <family val="2"/>
        <charset val="1"/>
      </rPr>
      <t xml:space="preserve">Poeplau (2016) (roughly confirmed by Sainju (2017))</t>
    </r>
  </si>
  <si>
    <r>
      <rPr>
        <vertAlign val="superscript"/>
        <sz val="11"/>
        <color rgb="FF000000"/>
        <rFont val="Calibri"/>
        <family val="2"/>
        <charset val="1"/>
      </rPr>
      <t xml:space="preserve">h </t>
    </r>
    <r>
      <rPr>
        <sz val="11"/>
        <color rgb="FF000000"/>
        <rFont val="Calibri"/>
        <family val="2"/>
        <charset val="1"/>
      </rPr>
      <t xml:space="preserve">an average taken from Schalamuk et al. (2011) (wheat: 1.03 %), Ordóñez et al. (2020) (maize: 1.38 %), and own investigations (wheat: 0.7 %), whereby N concentration of roots was assumed to be the same in all considered plant species, except for legumes, where we assumed a higher N concentration of roots</t>
    </r>
  </si>
  <si>
    <r>
      <rPr>
        <vertAlign val="superscript"/>
        <sz val="11"/>
        <color rgb="FF000000"/>
        <rFont val="Calibri"/>
        <family val="2"/>
        <charset val="1"/>
      </rPr>
      <t xml:space="preserve">i </t>
    </r>
    <r>
      <rPr>
        <sz val="11"/>
        <color rgb="FF000000"/>
        <rFont val="Calibri"/>
        <family val="2"/>
        <charset val="1"/>
      </rPr>
      <t xml:space="preserve">an average for all cereals taken from Bolinder et al. (1997), Ma et al. (2010), and Zhao et al. (2014)</t>
    </r>
  </si>
  <si>
    <r>
      <rPr>
        <vertAlign val="superscript"/>
        <sz val="11"/>
        <color rgb="FF000000"/>
        <rFont val="Calibri"/>
        <family val="2"/>
        <charset val="1"/>
      </rPr>
      <t xml:space="preserve">j </t>
    </r>
    <r>
      <rPr>
        <sz val="11"/>
        <color rgb="FF000000"/>
        <rFont val="Calibri"/>
        <family val="2"/>
        <charset val="1"/>
      </rPr>
      <t xml:space="preserve">own estimations with the help of DMK (2012), lv (2010), LWK NRW (2011), and dlv (2015)</t>
    </r>
  </si>
  <si>
    <t xml:space="preserve">Yield [dt TM pro ha]</t>
  </si>
  <si>
    <t xml:space="preserve">H = Harvest</t>
  </si>
  <si>
    <t xml:space="preserve">FM-Erträge [dt/ha] - KTBL+DüV</t>
  </si>
  <si>
    <t xml:space="preserve">TM H [%] - KTBL</t>
  </si>
  <si>
    <t xml:space="preserve">KTBL - 412 ff</t>
  </si>
  <si>
    <t xml:space="preserve">KTBL - 411 (Sb: S. 415)</t>
  </si>
  <si>
    <t xml:space="preserve">N in FM [%]</t>
  </si>
  <si>
    <t xml:space="preserve">TM Erntegut [%]</t>
  </si>
  <si>
    <t xml:space="preserve"> - </t>
  </si>
  <si>
    <t xml:space="preserve">CR-H</t>
  </si>
  <si>
    <t xml:space="preserve">N-Konz. CR</t>
  </si>
  <si>
    <t xml:space="preserve">CR = Crop Residues</t>
  </si>
  <si>
    <t xml:space="preserve">TM CR [%] - KTBL</t>
  </si>
  <si>
    <t xml:space="preserve">N-Konz [%] FM CR (KTBL)</t>
  </si>
  <si>
    <t xml:space="preserve">KTBL S. 412 ff</t>
  </si>
  <si>
    <t xml:space="preserve">TM CR (KTBL S. 411, Sb + Hülsenfr.: S. 415) * N in FM (KTBL - 412 ff)</t>
  </si>
  <si>
    <t xml:space="preserve">N in TM (KTBL S. 411)</t>
  </si>
  <si>
    <t xml:space="preserve">own estimations with the help of DMK (2012), lv (2010), LWK NRW (2011), and dlv (2015)</t>
  </si>
  <si>
    <t xml:space="preserve">d</t>
  </si>
  <si>
    <t xml:space="preserve">N in FM * TM CR (KTBL S. 412 ff)</t>
  </si>
  <si>
    <t xml:space="preserve">gleich wie N in Harvest</t>
  </si>
  <si>
    <t xml:space="preserve">Roots</t>
  </si>
  <si>
    <t xml:space="preserve">S:R Ratio</t>
  </si>
  <si>
    <t xml:space="preserve">N-Konz. Roots</t>
  </si>
  <si>
    <t xml:space="preserve">an average for all cereals taken from Bolinder et al. (1997), Ma et al. (2010), and Zhao et al. (2014)</t>
  </si>
  <si>
    <t xml:space="preserve">an average taken from Schalamuk et al. (2011) (wheat: 1.03 %), Ordóñez et al. (2020) (maize: 1.38 %), and own investigations (wheat: 0.7 %), whereby N concentration of roots was assumed to be the same in all considered plant species, except for legumes, where we assumed a higher N concentration of roots</t>
  </si>
  <si>
    <t xml:space="preserve">Ordóñez et al. (2020)</t>
  </si>
  <si>
    <t xml:space="preserve">Bolinder et al. (2015)</t>
  </si>
  <si>
    <t xml:space="preserve">Gan et al. (2009)</t>
  </si>
  <si>
    <t xml:space="preserve">(same as Winterraps)</t>
  </si>
  <si>
    <t xml:space="preserve">Häußermann et al. (2020)</t>
  </si>
  <si>
    <t xml:space="preserve">KTBL+DüV</t>
  </si>
  <si>
    <t xml:space="preserve">Tab. S1</t>
  </si>
  <si>
    <t xml:space="preserve">DüV</t>
  </si>
  <si>
    <t xml:space="preserve">KTBL - 411</t>
  </si>
  <si>
    <t xml:space="preserve">N-Konz. Erntegut TM [%] Year 1</t>
  </si>
  <si>
    <t xml:space="preserve">Ertrag FM dt/ha</t>
  </si>
  <si>
    <t xml:space="preserve">Ertrag TM dt/ha</t>
  </si>
  <si>
    <t xml:space="preserve">N in TM [%]</t>
  </si>
  <si>
    <t xml:space="preserve">N-Abfuhr</t>
  </si>
  <si>
    <t xml:space="preserve">N-Bedarf</t>
  </si>
  <si>
    <t xml:space="preserve">80 [TM]</t>
  </si>
  <si>
    <t xml:space="preserve">KTBL - 411 (Sb + Hülsenfr.: S. 415)</t>
  </si>
  <si>
    <t xml:space="preserve">TM CR [%]</t>
  </si>
  <si>
    <t xml:space="preserve">DüV * TM (KTBL)</t>
  </si>
  <si>
    <t xml:space="preserve">N in FM (KTBL 412 ff) * TM (KTBL S. 411, Sb: S. 415)</t>
  </si>
  <si>
    <t xml:space="preserve">KTBL, Tab. S1</t>
  </si>
  <si>
    <t xml:space="preserve">KTBL: 450 dt FM / ha * 22 % TM</t>
  </si>
  <si>
    <t xml:space="preserve">28 % TM, 0.35 % N in FM</t>
  </si>
  <si>
    <t xml:space="preserve">22 % TM, 0.4 % N in FM</t>
  </si>
  <si>
    <t xml:space="preserve">method</t>
  </si>
  <si>
    <t xml:space="preserve">authors*</t>
  </si>
  <si>
    <t xml:space="preserve">name*</t>
  </si>
  <si>
    <t xml:space="preserve">formula*</t>
  </si>
  <si>
    <t xml:space="preserve">unit</t>
  </si>
  <si>
    <t xml:space="preserve">calc. value</t>
  </si>
  <si>
    <t xml:space="preserve">Values literatur</t>
  </si>
  <si>
    <t xml:space="preserve">N Balance</t>
  </si>
  <si>
    <t xml:space="preserve">(synth + org + dep + BNF + seed) - (N harvest + vol + den + lea) - stock changes</t>
  </si>
  <si>
    <t xml:space="preserve">kg N</t>
  </si>
  <si>
    <t xml:space="preserve">(synth + org + dep + BNF + seed) - (N harvest + vol + den + lea)</t>
  </si>
  <si>
    <t xml:space="preserve">(synth + org + BNF + seed) - (N harvest + vol + den + lea)</t>
  </si>
  <si>
    <r>
      <rPr>
        <sz val="11"/>
        <color rgb="FF000000"/>
        <rFont val="Calibri"/>
        <family val="2"/>
        <charset val="1"/>
      </rPr>
      <t xml:space="preserve">Bouwman et al. (2013), Lassaletta et al. (2014), Zhang et al. (2021) </t>
    </r>
    <r>
      <rPr>
        <i val="true"/>
        <sz val="8"/>
        <color rgb="FF000000"/>
        <rFont val="Calibri"/>
        <family val="2"/>
        <charset val="1"/>
      </rPr>
      <t xml:space="preserve">[DOI: 10.1029/2020GB006876]</t>
    </r>
  </si>
  <si>
    <t xml:space="preserve">N Budget / Surplus </t>
  </si>
  <si>
    <t xml:space="preserve">(synth + org + dep + BNF) – N harvest</t>
  </si>
  <si>
    <t xml:space="preserve">System N balance / Soil N Budget </t>
  </si>
  <si>
    <t xml:space="preserve">(synth + org + dep + BNF + seed - stock changes - N harvest) / aa</t>
  </si>
  <si>
    <t xml:space="preserve">kg N ha-1</t>
  </si>
  <si>
    <t xml:space="preserve">N Surplus</t>
  </si>
  <si>
    <t xml:space="preserve">((synth + org + dep + BNF + seed) - (N harvest)) / aa</t>
  </si>
  <si>
    <t xml:space="preserve">((N harvest * 0.5) / (synth+org)) * 100</t>
  </si>
  <si>
    <t xml:space="preserve">%</t>
  </si>
  <si>
    <t xml:space="preserve">own definition</t>
  </si>
  <si>
    <t xml:space="preserve">(N harvest / (synth + org)) * 100</t>
  </si>
  <si>
    <t xml:space="preserve">N Uptake / Recovery Efficiency </t>
  </si>
  <si>
    <t xml:space="preserve">((N harvest + N acr) / (synth + org)) * 100</t>
  </si>
  <si>
    <t xml:space="preserve">N Uptake  Efficiency </t>
  </si>
  <si>
    <t xml:space="preserve">((N harvest + N acr + N roots) / (synth + org)) * 100</t>
  </si>
  <si>
    <t xml:space="preserve">(N harvest / (synth + org + BNF)) * 100</t>
  </si>
  <si>
    <t xml:space="preserve">Lassaletta et al. (2014),
Zhang et al. (2021)</t>
  </si>
  <si>
    <t xml:space="preserve">(N harvest / (synth + org + dep + BNF)) * 100</t>
  </si>
  <si>
    <t xml:space="preserve">Soil NUE</t>
  </si>
  <si>
    <t xml:space="preserve">((N harvest + stock changes) / (synth + org + dep + BNF)) * 100</t>
  </si>
  <si>
    <t xml:space="preserve">System N Efficiency</t>
  </si>
  <si>
    <t xml:space="preserve">(N harvest / (synth * 0.98 + org + dep + BNF + seed - stock changes)) * 100</t>
  </si>
  <si>
    <t xml:space="preserve">((N harvest + N acr + N roots + stock changes) / (synth + org + dep + BNF)) * 100</t>
  </si>
  <si>
    <t xml:space="preserve">Difference Method</t>
  </si>
  <si>
    <t xml:space="preserve">((N harvest - N harvest unfert) / (synth+org)) * 100</t>
  </si>
  <si>
    <t xml:space="preserve">Crop Recovery Efficiency of (Applied) N / Apparent N Recovery </t>
  </si>
  <si>
    <t xml:space="preserve">(((N harvest + N acr) - (N harvest unfert + N acr unfert)) / (synth + org)) * 100</t>
  </si>
  <si>
    <t xml:space="preserve">Recovery Efficiency of N </t>
  </si>
  <si>
    <t xml:space="preserve">(((N harvest + N acr + stock changes) - (N harvest unfert + N acr unfert)) / (synth + org)) * 100</t>
  </si>
  <si>
    <t xml:space="preserve">Apparent N Recovery Efﬁciency / Rate </t>
  </si>
  <si>
    <t xml:space="preserve">(((N harvest + N acr + N roots) - (N harvest unfert + N acr unfert + N roots unfert)) / (synth + org)) * 100</t>
  </si>
  <si>
    <t xml:space="preserve">N Harvest Index</t>
  </si>
  <si>
    <t xml:space="preserve">(N harvest / (N harvest + N acr)) * 100</t>
  </si>
  <si>
    <t xml:space="preserve">N Harvesting Index</t>
  </si>
  <si>
    <t xml:space="preserve">(N harvest / (N harvest + N acr + N roots)) * 100</t>
  </si>
  <si>
    <t xml:space="preserve">N Transport Efficiency </t>
  </si>
  <si>
    <t xml:space="preserve">((N harvest + N acr) / (N harvest + N acr + N roots)) * 100</t>
  </si>
  <si>
    <t xml:space="preserve">Aboveground N Uptake [g m-2] </t>
  </si>
  <si>
    <t xml:space="preserve">(N harvest + N acr) / aa / 10</t>
  </si>
  <si>
    <t xml:space="preserve">g m-2</t>
  </si>
  <si>
    <t xml:space="preserve">NUE (grain), Partial Factor Productivity (of Applied N)</t>
  </si>
  <si>
    <t xml:space="preserve">pbm harvest / (synth + org)</t>
  </si>
  <si>
    <t xml:space="preserve">kg pbm kg-1
N-fertilizer</t>
  </si>
  <si>
    <t xml:space="preserve">(pbm harvest + pbm acr + pbm roots) / (synth + org)</t>
  </si>
  <si>
    <t xml:space="preserve">Agronomic Efficiency (of Applied N) </t>
  </si>
  <si>
    <t xml:space="preserve">(pbm harvest - pbm harvest unfert) / (synth + org)</t>
  </si>
  <si>
    <t xml:space="preserve">kg additional yield kg-1
N fertilization</t>
  </si>
  <si>
    <t xml:space="preserve">Utilization Efficiency </t>
  </si>
  <si>
    <t xml:space="preserve">((pbm harvest + pbm acr) - (pbm harvest unfert + pbm acr unfert)) / (synth + org)</t>
  </si>
  <si>
    <t xml:space="preserve">Nutrient Efficiency Ratio </t>
  </si>
  <si>
    <t xml:space="preserve">pbm harvest / N harvest</t>
  </si>
  <si>
    <t xml:space="preserve">kg pbm
kg-1 N in plant</t>
  </si>
  <si>
    <t xml:space="preserve">N Utilization Efficiency </t>
  </si>
  <si>
    <t xml:space="preserve">pbm harvest / (N harvest + N acr)</t>
  </si>
  <si>
    <t xml:space="preserve">N Utilization / Assimilation Efficiency </t>
  </si>
  <si>
    <t xml:space="preserve">pbm harvest / (N harvest + N acr + N roots)</t>
  </si>
  <si>
    <t xml:space="preserve">(pbm harvest + pbm acr) / (N harvest + N acr)</t>
  </si>
  <si>
    <t xml:space="preserve">(pbm harvest + pbm acr + pbm roots)
/ (N harvest + N acr + N roots)</t>
  </si>
  <si>
    <t xml:space="preserve">(Agro-) Physiological / Internal Efficiency (of Applied N)</t>
  </si>
  <si>
    <t xml:space="preserve">(pbm harvest - pbm harvest unfert) / ((N harvest + N acr)  - (N harvest unfert + N acr unfert))</t>
  </si>
  <si>
    <t xml:space="preserve">kg additional pbm
kg-1 additional N in plant</t>
  </si>
  <si>
    <t xml:space="preserve">Physiological NUE </t>
  </si>
  <si>
    <t xml:space="preserve">(pbm harvest - pbm harvest unfert) / ((N harvest + N acr 
+ N roots) - (N harvest unfert + N acr unfert + N roots unfert))</t>
  </si>
  <si>
    <t xml:space="preserve">Physiological Efficiency</t>
  </si>
  <si>
    <t xml:space="preserve">((pbm harvest + pbm acr) - (pbm harvest unfert + pbm acr unfert)) / ((N harvest + N acr) - (N harvest unfert + N acr unfert))</t>
  </si>
  <si>
    <t xml:space="preserve">methods</t>
  </si>
  <si>
    <t xml:space="preserve">Method</t>
  </si>
  <si>
    <t xml:space="preserve">Author(s)</t>
  </si>
  <si>
    <t xml:space="preserve">Name</t>
  </si>
  <si>
    <t xml:space="preserve">Formula</t>
  </si>
  <si>
    <t xml:space="preserve">Unit</t>
  </si>
  <si>
    <t xml:space="preserve">(pbm harvest + pbm acr + pbm roots) / (N harvest + N acr + N roots)</t>
  </si>
  <si>
    <t xml:space="preserve">abbreviations:</t>
  </si>
  <si>
    <t xml:space="preserve">synth</t>
  </si>
  <si>
    <t xml:space="preserve">synthetic fertilizer</t>
  </si>
  <si>
    <t xml:space="preserve">org</t>
  </si>
  <si>
    <t xml:space="preserve">organic fertilizer / manure</t>
  </si>
  <si>
    <t xml:space="preserve">dep</t>
  </si>
  <si>
    <t xml:space="preserve">deposition</t>
  </si>
  <si>
    <t xml:space="preserve">BNF</t>
  </si>
  <si>
    <t xml:space="preserve">biological N fixation</t>
  </si>
  <si>
    <t xml:space="preserve">N harvest</t>
  </si>
  <si>
    <t xml:space="preserve">N in harvestable products</t>
  </si>
  <si>
    <t xml:space="preserve">N acr</t>
  </si>
  <si>
    <t xml:space="preserve">N in aboveground crop residues</t>
  </si>
  <si>
    <t xml:space="preserve">N roots</t>
  </si>
  <si>
    <t xml:space="preserve">N in roots</t>
  </si>
  <si>
    <t xml:space="preserve">N harvest unfert</t>
  </si>
  <si>
    <t xml:space="preserve">N in harvested products from unfertilized plots</t>
  </si>
  <si>
    <t xml:space="preserve">N acr unfert</t>
  </si>
  <si>
    <t xml:space="preserve">N in aboveground crop residues from unfertilized plots</t>
  </si>
  <si>
    <t xml:space="preserve">N roots unfert</t>
  </si>
  <si>
    <t xml:space="preserve">N in roots from unfertilized plots</t>
  </si>
  <si>
    <t xml:space="preserve">vol</t>
  </si>
  <si>
    <t xml:space="preserve">losses via volatilization (NH3)</t>
  </si>
  <si>
    <t xml:space="preserve">den</t>
  </si>
  <si>
    <t xml:space="preserve">losses via denitrification (NO + N2O + N2)</t>
  </si>
  <si>
    <t xml:space="preserve">lea</t>
  </si>
  <si>
    <t xml:space="preserve">losses via leaching (NO3-)</t>
  </si>
  <si>
    <t xml:space="preserve">stock changes</t>
  </si>
  <si>
    <t xml:space="preserve">changes in soil N stock</t>
  </si>
  <si>
    <t xml:space="preserve">aa</t>
  </si>
  <si>
    <t xml:space="preserve">agricultural area</t>
  </si>
  <si>
    <t xml:space="preserve">pbm harvest</t>
  </si>
  <si>
    <t xml:space="preserve">plant-biomass of harvested products</t>
  </si>
  <si>
    <t xml:space="preserve">pbm acr</t>
  </si>
  <si>
    <t xml:space="preserve">plant-biomass of aboveground crop residues</t>
  </si>
  <si>
    <t xml:space="preserve">pbm roots</t>
  </si>
  <si>
    <t xml:space="preserve">plant-biomass of roots</t>
  </si>
  <si>
    <t xml:space="preserve">pbm harvest unfert</t>
  </si>
  <si>
    <t xml:space="preserve">plant-biomass of harvested products from unfertilized plots</t>
  </si>
  <si>
    <t xml:space="preserve">pbm acr unfert</t>
  </si>
  <si>
    <t xml:space="preserve">plant-biomass of aboveground crop residues from unfertilized plots</t>
  </si>
  <si>
    <t xml:space="preserve">pbm roots unfert</t>
  </si>
  <si>
    <t xml:space="preserve">plant-biomass of roots from unfertilized plots</t>
  </si>
  <si>
    <t xml:space="preserve">guide values
+ sources</t>
  </si>
  <si>
    <t xml:space="preserve">Cultivation Area</t>
  </si>
  <si>
    <t xml:space="preserve">Dry Matter Yield</t>
  </si>
  <si>
    <t xml:space="preserve">N Conc. (in dry Harvested Products)</t>
  </si>
  <si>
    <t xml:space="preserve">Abovegr. Crop Residues to Harvest Ratio</t>
  </si>
  <si>
    <t xml:space="preserve">N Conc. (in dry Abovegr. Crop Residues)</t>
  </si>
  <si>
    <t xml:space="preserve">Root to Shoot Ratio</t>
  </si>
  <si>
    <t xml:space="preserve">N Conc. (in dry Roots)</t>
  </si>
  <si>
    <t xml:space="preserve">recommended N fertilization</t>
  </si>
  <si>
    <t xml:space="preserve">[dt / ha]</t>
  </si>
  <si>
    <t xml:space="preserve">[%]</t>
  </si>
  <si>
    <t xml:space="preserve">[-]</t>
  </si>
  <si>
    <t xml:space="preserve">[kg N / ha]</t>
  </si>
  <si>
    <t xml:space="preserve">Wheat</t>
  </si>
  <si>
    <r>
      <rPr>
        <sz val="11"/>
        <color rgb="FF000000"/>
        <rFont val="Calibri"/>
        <family val="2"/>
        <charset val="1"/>
      </rPr>
      <t xml:space="preserve">69</t>
    </r>
    <r>
      <rPr>
        <vertAlign val="superscript"/>
        <sz val="11"/>
        <color rgb="FF000000"/>
        <rFont val="Calibri"/>
        <family val="2"/>
        <charset val="1"/>
      </rPr>
      <t xml:space="preserve">a</t>
    </r>
  </si>
  <si>
    <r>
      <rPr>
        <sz val="11"/>
        <color rgb="FF000000"/>
        <rFont val="Calibri"/>
        <family val="2"/>
        <charset val="1"/>
      </rPr>
      <t xml:space="preserve">2.10</t>
    </r>
    <r>
      <rPr>
        <vertAlign val="superscript"/>
        <sz val="11"/>
        <color rgb="FF000000"/>
        <rFont val="Calibri"/>
        <family val="2"/>
        <charset val="1"/>
      </rPr>
      <t xml:space="preserve">a</t>
    </r>
  </si>
  <si>
    <r>
      <rPr>
        <sz val="11"/>
        <color rgb="FF000000"/>
        <rFont val="Calibri"/>
        <family val="2"/>
        <charset val="1"/>
      </rPr>
      <t xml:space="preserve">0.8</t>
    </r>
    <r>
      <rPr>
        <vertAlign val="superscript"/>
        <sz val="11"/>
        <color rgb="FF000000"/>
        <rFont val="Calibri"/>
        <family val="2"/>
        <charset val="1"/>
      </rPr>
      <t xml:space="preserve">a</t>
    </r>
  </si>
  <si>
    <r>
      <rPr>
        <sz val="11"/>
        <color rgb="FF000000"/>
        <rFont val="Calibri"/>
        <family val="2"/>
        <charset val="1"/>
      </rPr>
      <t xml:space="preserve">0.58</t>
    </r>
    <r>
      <rPr>
        <vertAlign val="superscript"/>
        <sz val="11"/>
        <color rgb="FF000000"/>
        <rFont val="Calibri"/>
        <family val="2"/>
        <charset val="1"/>
      </rPr>
      <t xml:space="preserve">a</t>
    </r>
  </si>
  <si>
    <r>
      <rPr>
        <sz val="11"/>
        <color rgb="FF000000"/>
        <rFont val="Calibri"/>
        <family val="2"/>
        <charset val="1"/>
      </rPr>
      <t xml:space="preserve">0.24</t>
    </r>
    <r>
      <rPr>
        <vertAlign val="superscript"/>
        <sz val="11"/>
        <color rgb="FF000000"/>
        <rFont val="Calibri"/>
        <family val="2"/>
        <charset val="1"/>
      </rPr>
      <t xml:space="preserve">c</t>
    </r>
  </si>
  <si>
    <r>
      <rPr>
        <sz val="11"/>
        <color rgb="FF000000"/>
        <rFont val="Calibri"/>
        <family val="2"/>
        <charset val="1"/>
      </rPr>
      <t xml:space="preserve">1.0</t>
    </r>
    <r>
      <rPr>
        <vertAlign val="superscript"/>
        <sz val="11"/>
        <color rgb="FF000000"/>
        <rFont val="Calibri"/>
        <family val="2"/>
        <charset val="1"/>
      </rPr>
      <t xml:space="preserve">h</t>
    </r>
  </si>
  <si>
    <t xml:space="preserve">Rye</t>
  </si>
  <si>
    <r>
      <rPr>
        <sz val="11"/>
        <color rgb="FF000000"/>
        <rFont val="Calibri"/>
        <family val="2"/>
        <charset val="1"/>
      </rPr>
      <t xml:space="preserve">60</t>
    </r>
    <r>
      <rPr>
        <vertAlign val="superscript"/>
        <sz val="11"/>
        <color rgb="FF000000"/>
        <rFont val="Calibri"/>
        <family val="2"/>
        <charset val="1"/>
      </rPr>
      <t xml:space="preserve">a</t>
    </r>
  </si>
  <si>
    <r>
      <rPr>
        <sz val="11"/>
        <color rgb="FF000000"/>
        <rFont val="Calibri"/>
        <family val="2"/>
        <charset val="1"/>
      </rPr>
      <t xml:space="preserve">1.84</t>
    </r>
    <r>
      <rPr>
        <vertAlign val="superscript"/>
        <sz val="11"/>
        <color rgb="FF000000"/>
        <rFont val="Calibri"/>
        <family val="2"/>
        <charset val="1"/>
      </rPr>
      <t xml:space="preserve">a</t>
    </r>
  </si>
  <si>
    <r>
      <rPr>
        <sz val="11"/>
        <color rgb="FF000000"/>
        <rFont val="Calibri"/>
        <family val="2"/>
        <charset val="1"/>
      </rPr>
      <t xml:space="preserve">0.9</t>
    </r>
    <r>
      <rPr>
        <vertAlign val="superscript"/>
        <sz val="11"/>
        <color rgb="FF000000"/>
        <rFont val="Calibri"/>
        <family val="2"/>
        <charset val="1"/>
      </rPr>
      <t xml:space="preserve">a</t>
    </r>
  </si>
  <si>
    <t xml:space="preserve">Winter Barley</t>
  </si>
  <si>
    <r>
      <rPr>
        <sz val="11"/>
        <color rgb="FF000000"/>
        <rFont val="Calibri"/>
        <family val="2"/>
        <charset val="1"/>
      </rPr>
      <t xml:space="preserve">2.00</t>
    </r>
    <r>
      <rPr>
        <vertAlign val="superscript"/>
        <sz val="11"/>
        <color rgb="FF000000"/>
        <rFont val="Calibri"/>
        <family val="2"/>
        <charset val="1"/>
      </rPr>
      <t xml:space="preserve">a</t>
    </r>
  </si>
  <si>
    <r>
      <rPr>
        <sz val="11"/>
        <color rgb="FF000000"/>
        <rFont val="Calibri"/>
        <family val="2"/>
        <charset val="1"/>
      </rPr>
      <t xml:space="preserve">0.7</t>
    </r>
    <r>
      <rPr>
        <vertAlign val="superscript"/>
        <sz val="11"/>
        <color rgb="FF000000"/>
        <rFont val="Calibri"/>
        <family val="2"/>
        <charset val="1"/>
      </rPr>
      <t xml:space="preserve">a</t>
    </r>
  </si>
  <si>
    <t xml:space="preserve">Spring Barley</t>
  </si>
  <si>
    <r>
      <rPr>
        <sz val="11"/>
        <color rgb="FF000000"/>
        <rFont val="Calibri"/>
        <family val="2"/>
        <charset val="1"/>
      </rPr>
      <t xml:space="preserve">43</t>
    </r>
    <r>
      <rPr>
        <vertAlign val="superscript"/>
        <sz val="11"/>
        <color rgb="FF000000"/>
        <rFont val="Calibri"/>
        <family val="2"/>
        <charset val="1"/>
      </rPr>
      <t xml:space="preserve">a</t>
    </r>
  </si>
  <si>
    <r>
      <rPr>
        <sz val="11"/>
        <color rgb="FF000000"/>
        <rFont val="Calibri"/>
        <family val="2"/>
        <charset val="1"/>
      </rPr>
      <t xml:space="preserve">1.69</t>
    </r>
    <r>
      <rPr>
        <vertAlign val="superscript"/>
        <sz val="11"/>
        <color rgb="FF000000"/>
        <rFont val="Calibri"/>
        <family val="2"/>
        <charset val="1"/>
      </rPr>
      <t xml:space="preserve">a</t>
    </r>
  </si>
  <si>
    <t xml:space="preserve">Oats</t>
  </si>
  <si>
    <r>
      <rPr>
        <sz val="11"/>
        <color rgb="FF000000"/>
        <rFont val="Calibri"/>
        <family val="2"/>
        <charset val="1"/>
      </rPr>
      <t xml:space="preserve">47</t>
    </r>
    <r>
      <rPr>
        <vertAlign val="superscript"/>
        <sz val="11"/>
        <color rgb="FF000000"/>
        <rFont val="Calibri"/>
        <family val="2"/>
        <charset val="1"/>
      </rPr>
      <t xml:space="preserve">a</t>
    </r>
  </si>
  <si>
    <r>
      <rPr>
        <sz val="11"/>
        <color rgb="FF000000"/>
        <rFont val="Calibri"/>
        <family val="2"/>
        <charset val="1"/>
      </rPr>
      <t xml:space="preserve">1.1</t>
    </r>
    <r>
      <rPr>
        <vertAlign val="superscript"/>
        <sz val="11"/>
        <color rgb="FF000000"/>
        <rFont val="Calibri"/>
        <family val="2"/>
        <charset val="1"/>
      </rPr>
      <t xml:space="preserve">a</t>
    </r>
  </si>
  <si>
    <t xml:space="preserve">Triticale</t>
  </si>
  <si>
    <t xml:space="preserve">Corn Maize</t>
  </si>
  <si>
    <r>
      <rPr>
        <sz val="11"/>
        <color rgb="FF000000"/>
        <rFont val="Calibri"/>
        <family val="2"/>
        <charset val="1"/>
      </rPr>
      <t xml:space="preserve">77</t>
    </r>
    <r>
      <rPr>
        <vertAlign val="superscript"/>
        <sz val="11"/>
        <color rgb="FF000000"/>
        <rFont val="Calibri"/>
        <family val="2"/>
        <charset val="1"/>
      </rPr>
      <t xml:space="preserve">a</t>
    </r>
  </si>
  <si>
    <r>
      <rPr>
        <sz val="11"/>
        <color rgb="FF000000"/>
        <rFont val="Calibri"/>
        <family val="2"/>
        <charset val="1"/>
      </rPr>
      <t xml:space="preserve">1.0</t>
    </r>
    <r>
      <rPr>
        <vertAlign val="superscript"/>
        <sz val="11"/>
        <color rgb="FF000000"/>
        <rFont val="Calibri"/>
        <family val="2"/>
        <charset val="1"/>
      </rPr>
      <t xml:space="preserve">a</t>
    </r>
  </si>
  <si>
    <r>
      <rPr>
        <sz val="11"/>
        <color rgb="FF000000"/>
        <rFont val="Calibri"/>
        <family val="2"/>
        <charset val="1"/>
      </rPr>
      <t xml:space="preserve">1.05</t>
    </r>
    <r>
      <rPr>
        <vertAlign val="superscript"/>
        <sz val="11"/>
        <color rgb="FF000000"/>
        <rFont val="Calibri"/>
        <family val="2"/>
        <charset val="1"/>
      </rPr>
      <t xml:space="preserve">a</t>
    </r>
  </si>
  <si>
    <r>
      <rPr>
        <sz val="11"/>
        <color rgb="FF000000"/>
        <rFont val="Calibri"/>
        <family val="2"/>
        <charset val="1"/>
      </rPr>
      <t xml:space="preserve">0.09</t>
    </r>
    <r>
      <rPr>
        <vertAlign val="superscript"/>
        <sz val="11"/>
        <color rgb="FF000000"/>
        <rFont val="Calibri"/>
        <family val="2"/>
        <charset val="1"/>
      </rPr>
      <t xml:space="preserve">d</t>
    </r>
  </si>
  <si>
    <t xml:space="preserve">Potatoes</t>
  </si>
  <si>
    <r>
      <rPr>
        <sz val="11"/>
        <color rgb="FF000000"/>
        <rFont val="Calibri"/>
        <family val="2"/>
        <charset val="1"/>
      </rPr>
      <t xml:space="preserve">99</t>
    </r>
    <r>
      <rPr>
        <vertAlign val="superscript"/>
        <sz val="11"/>
        <color rgb="FF000000"/>
        <rFont val="Calibri"/>
        <family val="2"/>
        <charset val="1"/>
      </rPr>
      <t xml:space="preserve">a</t>
    </r>
  </si>
  <si>
    <r>
      <rPr>
        <sz val="11"/>
        <color rgb="FF000000"/>
        <rFont val="Calibri"/>
        <family val="2"/>
        <charset val="1"/>
      </rPr>
      <t xml:space="preserve">1.59</t>
    </r>
    <r>
      <rPr>
        <vertAlign val="superscript"/>
        <sz val="11"/>
        <color rgb="FF000000"/>
        <rFont val="Calibri"/>
        <family val="2"/>
        <charset val="1"/>
      </rPr>
      <t xml:space="preserve">a</t>
    </r>
  </si>
  <si>
    <r>
      <rPr>
        <sz val="11"/>
        <color rgb="FF000000"/>
        <rFont val="Calibri"/>
        <family val="2"/>
        <charset val="1"/>
      </rPr>
      <t xml:space="preserve">0.2</t>
    </r>
    <r>
      <rPr>
        <vertAlign val="superscript"/>
        <sz val="11"/>
        <color rgb="FF000000"/>
        <rFont val="Calibri"/>
        <family val="2"/>
        <charset val="1"/>
      </rPr>
      <t xml:space="preserve">a</t>
    </r>
  </si>
  <si>
    <r>
      <rPr>
        <sz val="11"/>
        <color rgb="FF000000"/>
        <rFont val="Calibri"/>
        <family val="2"/>
        <charset val="1"/>
      </rPr>
      <t xml:space="preserve">0.40</t>
    </r>
    <r>
      <rPr>
        <vertAlign val="superscript"/>
        <sz val="11"/>
        <color rgb="FF000000"/>
        <rFont val="Calibri"/>
        <family val="2"/>
        <charset val="1"/>
      </rPr>
      <t xml:space="preserve">a</t>
    </r>
  </si>
  <si>
    <r>
      <rPr>
        <sz val="11"/>
        <color rgb="FF000000"/>
        <rFont val="Calibri"/>
        <family val="2"/>
        <charset val="1"/>
      </rPr>
      <t xml:space="preserve">0.03</t>
    </r>
    <r>
      <rPr>
        <vertAlign val="superscript"/>
        <sz val="11"/>
        <color rgb="FF000000"/>
        <rFont val="Calibri"/>
        <family val="2"/>
        <charset val="1"/>
      </rPr>
      <t xml:space="preserve">e</t>
    </r>
  </si>
  <si>
    <t xml:space="preserve">Sugar Beets</t>
  </si>
  <si>
    <r>
      <rPr>
        <sz val="11"/>
        <color rgb="FF000000"/>
        <rFont val="Calibri"/>
        <family val="2"/>
        <charset val="1"/>
      </rPr>
      <t xml:space="preserve">150</t>
    </r>
    <r>
      <rPr>
        <vertAlign val="superscript"/>
        <sz val="11"/>
        <color rgb="FF000000"/>
        <rFont val="Calibri"/>
        <family val="2"/>
        <charset val="1"/>
      </rPr>
      <t xml:space="preserve">a</t>
    </r>
  </si>
  <si>
    <r>
      <rPr>
        <sz val="11"/>
        <color rgb="FF000000"/>
        <rFont val="Calibri"/>
        <family val="2"/>
        <charset val="1"/>
      </rPr>
      <t xml:space="preserve">0.78</t>
    </r>
    <r>
      <rPr>
        <vertAlign val="superscript"/>
        <sz val="11"/>
        <color rgb="FF000000"/>
        <rFont val="Calibri"/>
        <family val="2"/>
        <charset val="1"/>
      </rPr>
      <t xml:space="preserve">a</t>
    </r>
  </si>
  <si>
    <r>
      <rPr>
        <sz val="11"/>
        <color rgb="FF000000"/>
        <rFont val="Calibri"/>
        <family val="2"/>
        <charset val="1"/>
      </rPr>
      <t xml:space="preserve">0.30</t>
    </r>
    <r>
      <rPr>
        <vertAlign val="superscript"/>
        <sz val="11"/>
        <color rgb="FF000000"/>
        <rFont val="Calibri"/>
        <family val="2"/>
        <charset val="1"/>
      </rPr>
      <t xml:space="preserve">a</t>
    </r>
  </si>
  <si>
    <r>
      <rPr>
        <sz val="11"/>
        <color rgb="FF000000"/>
        <rFont val="Calibri"/>
        <family val="2"/>
        <charset val="1"/>
      </rPr>
      <t xml:space="preserve">0.02</t>
    </r>
    <r>
      <rPr>
        <vertAlign val="superscript"/>
        <sz val="11"/>
        <color rgb="FF000000"/>
        <rFont val="Calibri"/>
        <family val="2"/>
        <charset val="1"/>
      </rPr>
      <t xml:space="preserve">e</t>
    </r>
  </si>
  <si>
    <t xml:space="preserve">Silage Maize</t>
  </si>
  <si>
    <r>
      <rPr>
        <sz val="11"/>
        <color rgb="FF000000"/>
        <rFont val="Calibri"/>
        <family val="2"/>
        <charset val="1"/>
      </rPr>
      <t xml:space="preserve">126</t>
    </r>
    <r>
      <rPr>
        <vertAlign val="superscript"/>
        <sz val="11"/>
        <color rgb="FF000000"/>
        <rFont val="Calibri"/>
        <family val="2"/>
        <charset val="1"/>
      </rPr>
      <t xml:space="preserve">a</t>
    </r>
  </si>
  <si>
    <r>
      <rPr>
        <sz val="11"/>
        <color rgb="FF000000"/>
        <rFont val="Calibri"/>
        <family val="2"/>
        <charset val="1"/>
      </rPr>
      <t xml:space="preserve">1.25</t>
    </r>
    <r>
      <rPr>
        <vertAlign val="superscript"/>
        <sz val="11"/>
        <color rgb="FF000000"/>
        <rFont val="Calibri"/>
        <family val="2"/>
        <charset val="1"/>
      </rPr>
      <t xml:space="preserve">a</t>
    </r>
  </si>
  <si>
    <r>
      <rPr>
        <sz val="11"/>
        <color rgb="FF000000"/>
        <rFont val="Calibri"/>
        <family val="2"/>
        <charset val="1"/>
      </rPr>
      <t xml:space="preserve">0.1</t>
    </r>
    <r>
      <rPr>
        <vertAlign val="superscript"/>
        <sz val="11"/>
        <color rgb="FF000000"/>
        <rFont val="Calibri"/>
        <family val="2"/>
        <charset val="1"/>
      </rPr>
      <t xml:space="preserve">b</t>
    </r>
  </si>
  <si>
    <r>
      <rPr>
        <sz val="11"/>
        <color rgb="FF000000"/>
        <rFont val="Calibri"/>
        <family val="2"/>
        <charset val="1"/>
      </rPr>
      <t xml:space="preserve">0.35</t>
    </r>
    <r>
      <rPr>
        <vertAlign val="superscript"/>
        <sz val="11"/>
        <color rgb="FF000000"/>
        <rFont val="Calibri"/>
        <family val="2"/>
        <charset val="1"/>
      </rPr>
      <t xml:space="preserve">a</t>
    </r>
  </si>
  <si>
    <t xml:space="preserve">Rapeseed</t>
  </si>
  <si>
    <r>
      <rPr>
        <sz val="11"/>
        <color rgb="FF000000"/>
        <rFont val="Calibri"/>
        <family val="2"/>
        <charset val="1"/>
      </rPr>
      <t xml:space="preserve">36</t>
    </r>
    <r>
      <rPr>
        <vertAlign val="superscript"/>
        <sz val="11"/>
        <color rgb="FF000000"/>
        <rFont val="Calibri"/>
        <family val="2"/>
        <charset val="1"/>
      </rPr>
      <t xml:space="preserve">a</t>
    </r>
  </si>
  <si>
    <r>
      <rPr>
        <sz val="11"/>
        <color rgb="FF000000"/>
        <rFont val="Calibri"/>
        <family val="2"/>
        <charset val="1"/>
      </rPr>
      <t xml:space="preserve">3.63</t>
    </r>
    <r>
      <rPr>
        <vertAlign val="superscript"/>
        <sz val="11"/>
        <color rgb="FF000000"/>
        <rFont val="Calibri"/>
        <family val="2"/>
        <charset val="1"/>
      </rPr>
      <t xml:space="preserve">a</t>
    </r>
  </si>
  <si>
    <r>
      <rPr>
        <sz val="11"/>
        <color rgb="FF000000"/>
        <rFont val="Calibri"/>
        <family val="2"/>
        <charset val="1"/>
      </rPr>
      <t xml:space="preserve">1.7</t>
    </r>
    <r>
      <rPr>
        <vertAlign val="superscript"/>
        <sz val="11"/>
        <color rgb="FF000000"/>
        <rFont val="Calibri"/>
        <family val="2"/>
        <charset val="1"/>
      </rPr>
      <t xml:space="preserve">a</t>
    </r>
  </si>
  <si>
    <r>
      <rPr>
        <sz val="11"/>
        <color rgb="FF000000"/>
        <rFont val="Calibri"/>
        <family val="2"/>
        <charset val="1"/>
      </rPr>
      <t xml:space="preserve">0.70</t>
    </r>
    <r>
      <rPr>
        <vertAlign val="superscript"/>
        <sz val="11"/>
        <color rgb="FF000000"/>
        <rFont val="Calibri"/>
        <family val="2"/>
        <charset val="1"/>
      </rPr>
      <t xml:space="preserve">a</t>
    </r>
  </si>
  <si>
    <r>
      <rPr>
        <sz val="11"/>
        <color rgb="FF000000"/>
        <rFont val="Calibri"/>
        <family val="2"/>
        <charset val="1"/>
      </rPr>
      <t xml:space="preserve">0.28</t>
    </r>
    <r>
      <rPr>
        <vertAlign val="superscript"/>
        <sz val="11"/>
        <color rgb="FF000000"/>
        <rFont val="Calibri"/>
        <family val="2"/>
        <charset val="1"/>
      </rPr>
      <t xml:space="preserve">f</t>
    </r>
  </si>
  <si>
    <t xml:space="preserve">Oleaginous Fruits</t>
  </si>
  <si>
    <r>
      <rPr>
        <sz val="11"/>
        <color rgb="FF000000"/>
        <rFont val="Calibri"/>
        <family val="2"/>
        <charset val="1"/>
      </rPr>
      <t xml:space="preserve">27</t>
    </r>
    <r>
      <rPr>
        <vertAlign val="superscript"/>
        <sz val="11"/>
        <color rgb="FF000000"/>
        <rFont val="Calibri"/>
        <family val="2"/>
        <charset val="1"/>
      </rPr>
      <t xml:space="preserve">a</t>
    </r>
  </si>
  <si>
    <r>
      <rPr>
        <sz val="11"/>
        <color rgb="FF000000"/>
        <rFont val="Calibri"/>
        <family val="2"/>
        <charset val="1"/>
      </rPr>
      <t xml:space="preserve">3.19</t>
    </r>
    <r>
      <rPr>
        <vertAlign val="superscript"/>
        <sz val="11"/>
        <color rgb="FF000000"/>
        <rFont val="Calibri"/>
        <family val="2"/>
        <charset val="1"/>
      </rPr>
      <t xml:space="preserve">a</t>
    </r>
  </si>
  <si>
    <r>
      <rPr>
        <sz val="11"/>
        <color rgb="FF000000"/>
        <rFont val="Calibri"/>
        <family val="2"/>
        <charset val="1"/>
      </rPr>
      <t xml:space="preserve">2.0</t>
    </r>
    <r>
      <rPr>
        <vertAlign val="superscript"/>
        <sz val="11"/>
        <color rgb="FF000000"/>
        <rFont val="Calibri"/>
        <family val="2"/>
        <charset val="1"/>
      </rPr>
      <t xml:space="preserve">a</t>
    </r>
  </si>
  <si>
    <r>
      <rPr>
        <sz val="11"/>
        <color rgb="FF000000"/>
        <rFont val="Calibri"/>
        <family val="2"/>
        <charset val="1"/>
      </rPr>
      <t xml:space="preserve">1.16</t>
    </r>
    <r>
      <rPr>
        <vertAlign val="superscript"/>
        <sz val="11"/>
        <color rgb="FF000000"/>
        <rFont val="Calibri"/>
        <family val="2"/>
        <charset val="1"/>
      </rPr>
      <t xml:space="preserve">a</t>
    </r>
  </si>
  <si>
    <r>
      <rPr>
        <sz val="11"/>
        <color rgb="FF000000"/>
        <rFont val="Calibri"/>
        <family val="2"/>
        <charset val="1"/>
      </rPr>
      <t xml:space="preserve">0.28</t>
    </r>
    <r>
      <rPr>
        <vertAlign val="superscript"/>
        <sz val="11"/>
        <color rgb="FF000000"/>
        <rFont val="Calibri"/>
        <family val="2"/>
        <charset val="1"/>
      </rPr>
      <t xml:space="preserve"> f</t>
    </r>
  </si>
  <si>
    <t xml:space="preserve">Legumes</t>
  </si>
  <si>
    <r>
      <rPr>
        <sz val="11"/>
        <color rgb="FF000000"/>
        <rFont val="Calibri"/>
        <family val="2"/>
        <charset val="1"/>
      </rPr>
      <t xml:space="preserve">30</t>
    </r>
    <r>
      <rPr>
        <vertAlign val="superscript"/>
        <sz val="11"/>
        <color rgb="FF000000"/>
        <rFont val="Calibri"/>
        <family val="2"/>
        <charset val="1"/>
      </rPr>
      <t xml:space="preserve">a</t>
    </r>
  </si>
  <si>
    <r>
      <rPr>
        <sz val="11"/>
        <color rgb="FF000000"/>
        <rFont val="Calibri"/>
        <family val="2"/>
        <charset val="1"/>
      </rPr>
      <t xml:space="preserve">4.48</t>
    </r>
    <r>
      <rPr>
        <vertAlign val="superscript"/>
        <sz val="11"/>
        <color rgb="FF000000"/>
        <rFont val="Calibri"/>
        <family val="2"/>
        <charset val="1"/>
      </rPr>
      <t xml:space="preserve">a</t>
    </r>
  </si>
  <si>
    <r>
      <rPr>
        <sz val="11"/>
        <color rgb="FF000000"/>
        <rFont val="Calibri"/>
        <family val="2"/>
        <charset val="1"/>
      </rPr>
      <t xml:space="preserve">1.74</t>
    </r>
    <r>
      <rPr>
        <vertAlign val="superscript"/>
        <sz val="11"/>
        <color rgb="FF000000"/>
        <rFont val="Calibri"/>
        <family val="2"/>
        <charset val="1"/>
      </rPr>
      <t xml:space="preserve">a</t>
    </r>
  </si>
  <si>
    <r>
      <rPr>
        <sz val="11"/>
        <color rgb="FF000000"/>
        <rFont val="Calibri"/>
        <family val="2"/>
        <charset val="1"/>
      </rPr>
      <t xml:space="preserve">0.21</t>
    </r>
    <r>
      <rPr>
        <vertAlign val="superscript"/>
        <sz val="11"/>
        <color rgb="FF000000"/>
        <rFont val="Calibri"/>
        <family val="2"/>
        <charset val="1"/>
      </rPr>
      <t xml:space="preserve">d</t>
    </r>
  </si>
  <si>
    <r>
      <rPr>
        <sz val="11"/>
        <color rgb="FF000000"/>
        <rFont val="Calibri"/>
        <family val="2"/>
        <charset val="1"/>
      </rPr>
      <t xml:space="preserve">2.0</t>
    </r>
    <r>
      <rPr>
        <vertAlign val="superscript"/>
        <sz val="11"/>
        <color rgb="FF000000"/>
        <rFont val="Calibri"/>
        <family val="2"/>
        <charset val="1"/>
      </rPr>
      <t xml:space="preserve">h</t>
    </r>
  </si>
  <si>
    <t xml:space="preserve">Permanent Grassland</t>
  </si>
  <si>
    <r>
      <rPr>
        <sz val="11"/>
        <color rgb="FF000000"/>
        <rFont val="Calibri"/>
        <family val="2"/>
        <charset val="1"/>
      </rPr>
      <t xml:space="preserve">80</t>
    </r>
    <r>
      <rPr>
        <vertAlign val="superscript"/>
        <sz val="11"/>
        <color rgb="FF000000"/>
        <rFont val="Calibri"/>
        <family val="2"/>
        <charset val="1"/>
      </rPr>
      <t xml:space="preserve">a</t>
    </r>
  </si>
  <si>
    <r>
      <rPr>
        <sz val="11"/>
        <color rgb="FF000000"/>
        <rFont val="Calibri"/>
        <family val="2"/>
        <charset val="1"/>
      </rPr>
      <t xml:space="preserve">1.82</t>
    </r>
    <r>
      <rPr>
        <vertAlign val="superscript"/>
        <sz val="11"/>
        <color rgb="FF000000"/>
        <rFont val="Calibri"/>
        <family val="2"/>
        <charset val="1"/>
      </rPr>
      <t xml:space="preserve">a</t>
    </r>
  </si>
  <si>
    <r>
      <rPr>
        <sz val="11"/>
        <color rgb="FF000000"/>
        <rFont val="Calibri"/>
        <family val="2"/>
        <charset val="1"/>
      </rPr>
      <t xml:space="preserve">2.40</t>
    </r>
    <r>
      <rPr>
        <vertAlign val="superscript"/>
        <sz val="11"/>
        <color rgb="FF000000"/>
        <rFont val="Calibri"/>
        <family val="2"/>
        <charset val="1"/>
      </rPr>
      <t xml:space="preserve">g</t>
    </r>
  </si>
  <si>
    <t xml:space="preserve">sum</t>
  </si>
  <si>
    <t xml:space="preserve">SOURCES:</t>
  </si>
  <si>
    <t xml:space="preserve">mean german farm size: 63 ha</t>
  </si>
  <si>
    <t xml:space="preserve">https://www.destatis.de/DE/Presse/Pressemitteilungen/2021/01/PD21_028_412.html#:~:text=Die%20landwirtschaftlich%20genutzte%20Fl%C3%A4che%20blieb,Betrieb%20durchschnittlich%2056%20Hektar%20bewirtschaftete.</t>
  </si>
  <si>
    <t xml:space="preserve"> – requested on April 22nd, 2023</t>
  </si>
  <si>
    <t xml:space="preserve">cultivation area</t>
  </si>
  <si>
    <t xml:space="preserve">assumption: 75 % winter barley and 25 % spring barley</t>
  </si>
  <si>
    <t xml:space="preserve">https://www.agrarheute.com/markt/marktfruechte/hohe-getreidepreise-puschen-anbau-sommergetreide-593820#:~:text=Der%20Rest%20ist%20Futtergerste.,fast%20ausschlie%C3%9Flich%20als%20Futtergerste%20Verwendung</t>
  </si>
  <si>
    <t xml:space="preserve">recommended N fert.</t>
  </si>
  <si>
    <t xml:space="preserve">DüV (https://www.gesetze-im-internet.de/d_v_2017/index.html)</t>
  </si>
  <si>
    <r>
      <rPr>
        <vertAlign val="superscript"/>
        <sz val="9"/>
        <color rgb="FF000000"/>
        <rFont val="Calibri"/>
        <family val="2"/>
        <charset val="1"/>
      </rPr>
      <t xml:space="preserve">a</t>
    </r>
    <r>
      <rPr>
        <sz val="9"/>
        <color rgb="FF000000"/>
        <rFont val="Calibri"/>
        <family val="2"/>
        <charset val="1"/>
      </rPr>
      <t xml:space="preserve"> KTBL (2018) and </t>
    </r>
    <r>
      <rPr>
        <b val="true"/>
        <sz val="9"/>
        <color rgb="FFFF0000"/>
        <rFont val="Calibri"/>
        <family val="2"/>
        <charset val="1"/>
      </rPr>
      <t xml:space="preserve">DüV</t>
    </r>
  </si>
  <si>
    <t xml:space="preserve">KTBL (Ed.), 2018. Faustzahlen für die Landwirtschaft, 15th ed. ISBN: 978-3-945088-59-3. Kuratorium für Technik und Bauwesen in der Landwirtschaft e.V. (KTBL)., Darmstadt, 1385 pp.</t>
  </si>
  <si>
    <r>
      <rPr>
        <vertAlign val="superscript"/>
        <sz val="9"/>
        <color rgb="FF000000"/>
        <rFont val="Calibri"/>
        <family val="2"/>
        <charset val="1"/>
      </rPr>
      <t xml:space="preserve">b </t>
    </r>
    <r>
      <rPr>
        <sz val="9"/>
        <color rgb="FF000000"/>
        <rFont val="Calibri"/>
        <family val="2"/>
        <charset val="1"/>
      </rPr>
      <t xml:space="preserve">own estimations with the help of DMK (2012), lv (2010), LWK NRW (2011), and dlv (2015)</t>
    </r>
  </si>
  <si>
    <r>
      <rPr>
        <vertAlign val="superscript"/>
        <sz val="9"/>
        <color rgb="FF000000"/>
        <rFont val="Calibri"/>
        <family val="2"/>
        <charset val="1"/>
      </rPr>
      <t xml:space="preserve">c </t>
    </r>
    <r>
      <rPr>
        <sz val="9"/>
        <color rgb="FF000000"/>
        <rFont val="Calibri"/>
        <family val="2"/>
        <charset val="1"/>
      </rPr>
      <t xml:space="preserve">an average for all cereals taken from Bolinder et al. (1997), Ma et al. (2010), and Zhao et al. (2014)</t>
    </r>
  </si>
  <si>
    <r>
      <rPr>
        <vertAlign val="superscript"/>
        <sz val="9"/>
        <color rgb="FF000000"/>
        <rFont val="Calibri"/>
        <family val="2"/>
        <charset val="1"/>
      </rPr>
      <t xml:space="preserve">d </t>
    </r>
    <r>
      <rPr>
        <sz val="9"/>
        <color rgb="FF000000"/>
        <rFont val="Calibri"/>
        <family val="2"/>
        <charset val="1"/>
      </rPr>
      <t xml:space="preserve">Ordóñez et al. (2020)</t>
    </r>
  </si>
  <si>
    <r>
      <rPr>
        <vertAlign val="superscript"/>
        <sz val="9"/>
        <color rgb="FF000000"/>
        <rFont val="Calibri"/>
        <family val="2"/>
        <charset val="1"/>
      </rPr>
      <t xml:space="preserve">e </t>
    </r>
    <r>
      <rPr>
        <sz val="9"/>
        <color rgb="FF000000"/>
        <rFont val="Calibri"/>
        <family val="2"/>
        <charset val="1"/>
      </rPr>
      <t xml:space="preserve">Bolinder et al. (2015)</t>
    </r>
  </si>
  <si>
    <r>
      <rPr>
        <vertAlign val="superscript"/>
        <sz val="9"/>
        <color rgb="FF000000"/>
        <rFont val="Calibri"/>
        <family val="2"/>
        <charset val="1"/>
      </rPr>
      <t xml:space="preserve">f </t>
    </r>
    <r>
      <rPr>
        <sz val="9"/>
        <color rgb="FF000000"/>
        <rFont val="Calibri"/>
        <family val="2"/>
        <charset val="1"/>
      </rPr>
      <t xml:space="preserve">Gan et al. (2009)</t>
    </r>
  </si>
  <si>
    <r>
      <rPr>
        <vertAlign val="superscript"/>
        <sz val="9"/>
        <color rgb="FF000000"/>
        <rFont val="Calibri"/>
        <family val="2"/>
        <charset val="1"/>
      </rPr>
      <t xml:space="preserve">g </t>
    </r>
    <r>
      <rPr>
        <sz val="9"/>
        <color rgb="FF000000"/>
        <rFont val="Calibri"/>
        <family val="2"/>
        <charset val="1"/>
      </rPr>
      <t xml:space="preserve">Poeplau (2016) (roughly confirmed by Sainju (2017))</t>
    </r>
  </si>
  <si>
    <r>
      <rPr>
        <vertAlign val="superscript"/>
        <sz val="9"/>
        <color rgb="FF000000"/>
        <rFont val="Calibri"/>
        <family val="2"/>
        <charset val="1"/>
      </rPr>
      <t xml:space="preserve">h </t>
    </r>
    <r>
      <rPr>
        <sz val="9"/>
        <color rgb="FF000000"/>
        <rFont val="Calibri"/>
        <family val="2"/>
        <charset val="1"/>
      </rPr>
      <t xml:space="preserve">an average taken from Schalamuk et al. (2011) (wheat: 1.03 %), Ordóñez et al. (2020) (maize: 1.38 %), and own investigations (wheat: 0.7 %), whereby N concentration of roots was assumed to be the same in all considered plant species, except for legumes, where we assumed a higher N concentration of roots</t>
    </r>
  </si>
  <si>
    <t xml:space="preserve">interim results</t>
  </si>
  <si>
    <t xml:space="preserve">N input [kg N]</t>
  </si>
  <si>
    <t xml:space="preserve">per ha</t>
  </si>
  <si>
    <t xml:space="preserve">organic fertilizer</t>
  </si>
  <si>
    <t xml:space="preserve">seed</t>
  </si>
  <si>
    <t xml:space="preserve">plant dry mass [kg]</t>
  </si>
  <si>
    <t xml:space="preserve">fertilized</t>
  </si>
  <si>
    <t xml:space="preserve">unfertilized</t>
  </si>
  <si>
    <t xml:space="preserve">harvested products</t>
  </si>
  <si>
    <t xml:space="preserve">abovegr. crop residues</t>
  </si>
  <si>
    <t xml:space="preserve">N content [kg]</t>
  </si>
  <si>
    <t xml:space="preserve">loss [kg]</t>
  </si>
  <si>
    <t xml:space="preserve">denitrification (NOx, NO, N2O, N2)</t>
  </si>
  <si>
    <t xml:space="preserve">leaching</t>
  </si>
  <si>
    <t xml:space="preserve">soil N stock change [kg]</t>
  </si>
</sst>
</file>

<file path=xl/styles.xml><?xml version="1.0" encoding="utf-8"?>
<styleSheet xmlns="http://schemas.openxmlformats.org/spreadsheetml/2006/main">
  <numFmts count="7">
    <numFmt numFmtId="164" formatCode="General"/>
    <numFmt numFmtId="165" formatCode="0.0"/>
    <numFmt numFmtId="166" formatCode="#,##0"/>
    <numFmt numFmtId="167" formatCode="0"/>
    <numFmt numFmtId="168" formatCode="0.00"/>
    <numFmt numFmtId="169" formatCode="_(* #,##0.00_);_(* \(#,##0.00\);_(* \-??_);_(@_)"/>
    <numFmt numFmtId="170" formatCode="General"/>
  </numFmts>
  <fonts count="30">
    <font>
      <sz val="11"/>
      <color rgb="FF000000"/>
      <name val="Calibri"/>
      <family val="2"/>
      <charset val="1"/>
    </font>
    <font>
      <sz val="10"/>
      <name val="Arial"/>
      <family val="0"/>
    </font>
    <font>
      <sz val="10"/>
      <name val="Arial"/>
      <family val="0"/>
    </font>
    <font>
      <sz val="10"/>
      <name val="Arial"/>
      <family val="0"/>
    </font>
    <font>
      <b val="true"/>
      <sz val="14"/>
      <color rgb="FF00B050"/>
      <name val="Calibri"/>
      <family val="2"/>
      <charset val="1"/>
    </font>
    <font>
      <sz val="9"/>
      <color rgb="FF000000"/>
      <name val="Calibri"/>
      <family val="2"/>
      <charset val="1"/>
    </font>
    <font>
      <b val="true"/>
      <sz val="11"/>
      <name val="Calibri"/>
      <family val="2"/>
      <charset val="1"/>
    </font>
    <font>
      <b val="true"/>
      <u val="single"/>
      <sz val="11"/>
      <color rgb="FF000000"/>
      <name val="Calibri"/>
      <family val="2"/>
      <charset val="1"/>
    </font>
    <font>
      <b val="true"/>
      <sz val="11"/>
      <color rgb="FF00B050"/>
      <name val="Calibri"/>
      <family val="2"/>
      <charset val="1"/>
    </font>
    <font>
      <i val="true"/>
      <sz val="11"/>
      <color rgb="FF808080"/>
      <name val="Calibri"/>
      <family val="2"/>
      <charset val="1"/>
    </font>
    <font>
      <b val="true"/>
      <sz val="11"/>
      <color rgb="FF000000"/>
      <name val="Calibri"/>
      <family val="2"/>
      <charset val="1"/>
    </font>
    <font>
      <sz val="11"/>
      <name val="Calibri"/>
      <family val="2"/>
      <charset val="1"/>
    </font>
    <font>
      <b val="true"/>
      <sz val="11"/>
      <color rgb="FFFF0000"/>
      <name val="Calibri"/>
      <family val="2"/>
      <charset val="1"/>
    </font>
    <font>
      <b val="true"/>
      <sz val="9"/>
      <color rgb="FF000000"/>
      <name val="Calibri"/>
      <family val="2"/>
      <charset val="1"/>
    </font>
    <font>
      <sz val="9"/>
      <name val="Calibri"/>
      <family val="2"/>
      <charset val="1"/>
    </font>
    <font>
      <sz val="11"/>
      <color rgb="FFFF0000"/>
      <name val="Calibri"/>
      <family val="2"/>
      <charset val="1"/>
    </font>
    <font>
      <sz val="8"/>
      <color rgb="FF000000"/>
      <name val="Calibri"/>
      <family val="2"/>
      <charset val="1"/>
    </font>
    <font>
      <u val="single"/>
      <sz val="11"/>
      <color rgb="FF0563C1"/>
      <name val="Calibri"/>
      <family val="2"/>
      <charset val="1"/>
    </font>
    <font>
      <b val="true"/>
      <sz val="11"/>
      <color rgb="FFED7D31"/>
      <name val="Calibri"/>
      <family val="2"/>
      <charset val="1"/>
    </font>
    <font>
      <i val="true"/>
      <sz val="11"/>
      <name val="Calibri"/>
      <family val="2"/>
      <charset val="1"/>
    </font>
    <font>
      <vertAlign val="superscript"/>
      <sz val="11"/>
      <color rgb="FF000000"/>
      <name val="Calibri"/>
      <family val="2"/>
      <charset val="1"/>
    </font>
    <font>
      <vertAlign val="subscript"/>
      <sz val="11"/>
      <color rgb="FF000000"/>
      <name val="Calibri"/>
      <family val="2"/>
      <charset val="1"/>
    </font>
    <font>
      <sz val="9"/>
      <color rgb="FFC55A11"/>
      <name val="Calibri"/>
      <family val="2"/>
      <charset val="1"/>
    </font>
    <font>
      <sz val="11"/>
      <color rgb="FFC55A11"/>
      <name val="Calibri"/>
      <family val="2"/>
      <charset val="1"/>
    </font>
    <font>
      <sz val="11"/>
      <color rgb="FFFFFFFF"/>
      <name val="Calibri"/>
      <family val="2"/>
      <charset val="1"/>
    </font>
    <font>
      <sz val="11"/>
      <color rgb="FF0070C0"/>
      <name val="Calibri"/>
      <family val="2"/>
      <charset val="1"/>
    </font>
    <font>
      <i val="true"/>
      <sz val="8"/>
      <color rgb="FF000000"/>
      <name val="Calibri"/>
      <family val="2"/>
      <charset val="1"/>
    </font>
    <font>
      <b val="true"/>
      <u val="single"/>
      <sz val="11"/>
      <color rgb="FFFF0000"/>
      <name val="Calibri"/>
      <family val="2"/>
      <charset val="1"/>
    </font>
    <font>
      <vertAlign val="superscript"/>
      <sz val="9"/>
      <color rgb="FF000000"/>
      <name val="Calibri"/>
      <family val="2"/>
      <charset val="1"/>
    </font>
    <font>
      <b val="true"/>
      <sz val="9"/>
      <color rgb="FFFF0000"/>
      <name val="Calibri"/>
      <family val="2"/>
      <charset val="1"/>
    </font>
  </fonts>
  <fills count="13">
    <fill>
      <patternFill patternType="none"/>
    </fill>
    <fill>
      <patternFill patternType="gray125"/>
    </fill>
    <fill>
      <patternFill patternType="solid">
        <fgColor rgb="FFF8CBAD"/>
        <bgColor rgb="FFFBE5D6"/>
      </patternFill>
    </fill>
    <fill>
      <patternFill patternType="solid">
        <fgColor rgb="FF92D050"/>
        <bgColor rgb="FF969696"/>
      </patternFill>
    </fill>
    <fill>
      <patternFill patternType="solid">
        <fgColor rgb="FFB4C7E7"/>
        <bgColor rgb="FF99CCFF"/>
      </patternFill>
    </fill>
    <fill>
      <patternFill patternType="solid">
        <fgColor rgb="FFFFFF00"/>
        <bgColor rgb="FFFFFF00"/>
      </patternFill>
    </fill>
    <fill>
      <patternFill patternType="solid">
        <fgColor rgb="FF00B050"/>
        <bgColor rgb="FF008080"/>
      </patternFill>
    </fill>
    <fill>
      <patternFill patternType="solid">
        <fgColor rgb="FFFF0000"/>
        <bgColor rgb="FF800000"/>
      </patternFill>
    </fill>
    <fill>
      <patternFill patternType="solid">
        <fgColor rgb="FFDAE3F3"/>
        <bgColor rgb="FFE2F0D9"/>
      </patternFill>
    </fill>
    <fill>
      <patternFill patternType="solid">
        <fgColor rgb="FFFBE5D6"/>
        <bgColor rgb="FFFFF2CC"/>
      </patternFill>
    </fill>
    <fill>
      <patternFill patternType="solid">
        <fgColor rgb="FFE2F0D9"/>
        <bgColor rgb="FFDAE3F3"/>
      </patternFill>
    </fill>
    <fill>
      <patternFill patternType="solid">
        <fgColor rgb="FFD0CECE"/>
        <bgColor rgb="FFB4C7E7"/>
      </patternFill>
    </fill>
    <fill>
      <patternFill patternType="solid">
        <fgColor rgb="FFFFF2CC"/>
        <bgColor rgb="FFFBE5D6"/>
      </patternFill>
    </fill>
  </fills>
  <borders count="26">
    <border diagonalUp="false" diagonalDown="false">
      <left/>
      <right/>
      <top/>
      <bottom/>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right style="medium"/>
      <top style="medium"/>
      <bottom/>
      <diagonal/>
    </border>
    <border diagonalUp="false" diagonalDown="false">
      <left/>
      <right/>
      <top style="thin"/>
      <bottom/>
      <diagonal/>
    </border>
    <border diagonalUp="false" diagonalDown="false">
      <left style="medium"/>
      <right/>
      <top/>
      <bottom/>
      <diagonal/>
    </border>
    <border diagonalUp="false" diagonalDown="false">
      <left/>
      <right style="medium"/>
      <top/>
      <bottom/>
      <diagonal/>
    </border>
    <border diagonalUp="false" diagonalDown="false">
      <left/>
      <right/>
      <top style="thin"/>
      <bottom style="thin"/>
      <diagonal/>
    </border>
    <border diagonalUp="false" diagonalDown="false">
      <left style="medium"/>
      <right/>
      <top style="thin"/>
      <bottom/>
      <diagonal/>
    </border>
    <border diagonalUp="false" diagonalDown="false">
      <left/>
      <right style="medium"/>
      <top style="thin"/>
      <bottom/>
      <diagonal/>
    </border>
    <border diagonalUp="false" diagonalDown="false">
      <left/>
      <right/>
      <top/>
      <bottom style="thin"/>
      <diagonal/>
    </border>
    <border diagonalUp="false" diagonalDown="false">
      <left style="medium"/>
      <right/>
      <top/>
      <bottom style="medium"/>
      <diagonal/>
    </border>
    <border diagonalUp="false" diagonalDown="false">
      <left/>
      <right style="medium"/>
      <top/>
      <bottom style="medium"/>
      <diagonal/>
    </border>
    <border diagonalUp="false" diagonalDown="false">
      <left style="thin"/>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medium"/>
      <bottom/>
      <diagonal/>
    </border>
    <border diagonalUp="false" diagonalDown="false">
      <left/>
      <right/>
      <top/>
      <bottom style="medium"/>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bottom" textRotation="0" wrapText="false" indent="0" shrinkToFit="false"/>
    </xf>
  </cellStyleXfs>
  <cellXfs count="218">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center" vertical="center"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6" fontId="0" fillId="0" borderId="5" xfId="0" applyFont="false" applyBorder="true" applyAlignment="true" applyProtection="false">
      <alignment horizontal="center" vertical="center" textRotation="0" wrapText="fals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8" fillId="0" borderId="7" xfId="0" applyFont="true" applyBorder="true" applyAlignment="true" applyProtection="false">
      <alignment horizontal="center" vertical="center" textRotation="0" wrapText="true" indent="0" shrinkToFit="false"/>
      <protection locked="true" hidden="false"/>
    </xf>
    <xf numFmtId="164" fontId="0" fillId="0" borderId="7"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6" fontId="0" fillId="0" borderId="8" xfId="0" applyFont="false" applyBorder="true" applyAlignment="true" applyProtection="false">
      <alignment horizontal="center" vertical="center" textRotation="0" wrapText="false" indent="0" shrinkToFit="false"/>
      <protection locked="true" hidden="false"/>
    </xf>
    <xf numFmtId="164" fontId="11" fillId="0" borderId="9" xfId="0" applyFont="true" applyBorder="true" applyAlignment="true" applyProtection="false">
      <alignment horizontal="center" vertical="center" textRotation="0" wrapText="false" indent="0" shrinkToFit="false"/>
      <protection locked="true" hidden="false"/>
    </xf>
    <xf numFmtId="166" fontId="12"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1" fillId="2" borderId="6" xfId="0" applyFont="true" applyBorder="true" applyAlignment="true" applyProtection="false">
      <alignment horizontal="center" vertical="center"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6" fontId="14" fillId="0" borderId="0" xfId="0" applyFont="true" applyBorder="false" applyAlignment="false" applyProtection="false">
      <alignment horizontal="general" vertical="bottom" textRotation="0" wrapText="fals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0" fillId="0" borderId="10" xfId="0" applyFont="true" applyBorder="true" applyAlignment="true" applyProtection="false">
      <alignment horizontal="general" vertical="center" textRotation="0" wrapText="true" indent="0" shrinkToFit="false"/>
      <protection locked="true" hidden="false"/>
    </xf>
    <xf numFmtId="166" fontId="0" fillId="0" borderId="11" xfId="0" applyFont="false" applyBorder="true" applyAlignment="true" applyProtection="false">
      <alignment horizontal="center" vertical="center" textRotation="0" wrapText="false" indent="0" shrinkToFit="false"/>
      <protection locked="true" hidden="false"/>
    </xf>
    <xf numFmtId="164" fontId="11" fillId="3" borderId="12"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5" fontId="15" fillId="0" borderId="0" xfId="0" applyFont="true" applyBorder="false" applyAlignment="false" applyProtection="false">
      <alignment horizontal="general" vertical="bottom" textRotation="0" wrapText="false" indent="0" shrinkToFit="false"/>
      <protection locked="true" hidden="false"/>
    </xf>
    <xf numFmtId="167" fontId="11" fillId="0" borderId="2" xfId="0" applyFont="true" applyBorder="true" applyAlignment="true" applyProtection="false">
      <alignment horizontal="center" vertical="center" textRotation="0" wrapText="false" indent="0" shrinkToFit="false"/>
      <protection locked="true" hidden="false"/>
    </xf>
    <xf numFmtId="164" fontId="11" fillId="3" borderId="3" xfId="0" applyFont="true" applyBorder="true" applyAlignment="true" applyProtection="false">
      <alignment horizontal="center" vertical="center" textRotation="0" wrapText="false" indent="0" shrinkToFit="false"/>
      <protection locked="true" hidden="false"/>
    </xf>
    <xf numFmtId="167" fontId="11" fillId="0" borderId="5" xfId="0" applyFont="true" applyBorder="true" applyAlignment="true" applyProtection="false">
      <alignment horizontal="center" vertical="center" textRotation="0" wrapText="false" indent="0" shrinkToFit="false"/>
      <protection locked="true" hidden="false"/>
    </xf>
    <xf numFmtId="164" fontId="11" fillId="4" borderId="6" xfId="0" applyFont="true" applyBorder="true" applyAlignment="true" applyProtection="false">
      <alignment horizontal="center" vertical="center" textRotation="0" wrapText="false" indent="0" shrinkToFit="false"/>
      <protection locked="true" hidden="false"/>
    </xf>
    <xf numFmtId="165" fontId="16"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center" vertical="center" textRotation="0" wrapText="false" indent="0" shrinkToFit="false"/>
      <protection locked="true" hidden="false"/>
    </xf>
    <xf numFmtId="164" fontId="11" fillId="3" borderId="6" xfId="0" applyFont="true" applyBorder="true" applyAlignment="true" applyProtection="false">
      <alignment horizontal="center" vertical="center" textRotation="0" wrapText="false" indent="0" shrinkToFit="false"/>
      <protection locked="true" hidden="false"/>
    </xf>
    <xf numFmtId="167" fontId="16" fillId="0" borderId="0" xfId="0" applyFont="true" applyBorder="false" applyAlignment="false" applyProtection="false">
      <alignment horizontal="general" vertical="bottom" textRotation="0" wrapText="false" indent="0" shrinkToFit="false"/>
      <protection locked="true" hidden="false"/>
    </xf>
    <xf numFmtId="167" fontId="11" fillId="0" borderId="11" xfId="0" applyFont="true" applyBorder="true" applyAlignment="true" applyProtection="false">
      <alignment horizontal="center" vertical="center" textRotation="0" wrapText="false" indent="0" shrinkToFit="false"/>
      <protection locked="true" hidden="false"/>
    </xf>
    <xf numFmtId="164" fontId="11" fillId="0" borderId="12" xfId="0" applyFont="true" applyBorder="true" applyAlignment="fals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7" fontId="0" fillId="0" borderId="2" xfId="0" applyFont="false" applyBorder="true" applyAlignment="true" applyProtection="false">
      <alignment horizontal="center" vertical="center" textRotation="0" wrapText="false" indent="0" shrinkToFit="false"/>
      <protection locked="true" hidden="false"/>
    </xf>
    <xf numFmtId="164" fontId="11" fillId="0" borderId="3" xfId="0" applyFont="true" applyBorder="true" applyAlignment="true" applyProtection="false">
      <alignment horizontal="center" vertical="center" textRotation="0" wrapText="false" indent="0" shrinkToFit="false"/>
      <protection locked="true" hidden="false"/>
    </xf>
    <xf numFmtId="167" fontId="0" fillId="0" borderId="5" xfId="0" applyFont="false" applyBorder="true" applyAlignment="true" applyProtection="false">
      <alignment horizontal="center" vertical="center" textRotation="0" wrapText="false" indent="0" shrinkToFit="false"/>
      <protection locked="true" hidden="false"/>
    </xf>
    <xf numFmtId="164" fontId="11" fillId="0" borderId="6" xfId="0" applyFont="true" applyBorder="true" applyAlignment="true" applyProtection="false">
      <alignment horizontal="center" vertical="center"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0" fillId="0" borderId="7" xfId="0" applyFont="true" applyBorder="true" applyAlignment="true" applyProtection="false">
      <alignment horizontal="general" vertical="bottom" textRotation="0" wrapText="true" indent="0" shrinkToFit="false"/>
      <protection locked="true" hidden="false"/>
    </xf>
    <xf numFmtId="167" fontId="0" fillId="0" borderId="11" xfId="0" applyFont="false" applyBorder="true" applyAlignment="true" applyProtection="false">
      <alignment horizontal="center" vertical="center" textRotation="0" wrapText="false" indent="0" shrinkToFit="false"/>
      <protection locked="true" hidden="false"/>
    </xf>
    <xf numFmtId="164" fontId="11" fillId="0" borderId="12" xfId="0" applyFont="true" applyBorder="true" applyAlignment="true" applyProtection="false">
      <alignment horizontal="center" vertical="center"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11" fillId="3" borderId="3"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7" fontId="15" fillId="0" borderId="0" xfId="0" applyFont="true" applyBorder="false" applyAlignment="false" applyProtection="false">
      <alignment horizontal="general" vertical="bottom" textRotation="0" wrapText="false" indent="0" shrinkToFit="false"/>
      <protection locked="true" hidden="false"/>
    </xf>
    <xf numFmtId="167" fontId="15" fillId="0" borderId="0" xfId="0" applyFont="true" applyBorder="false" applyAlignment="true" applyProtection="false">
      <alignment horizontal="center" vertical="center" textRotation="0" wrapText="false" indent="0" shrinkToFit="false"/>
      <protection locked="true" hidden="false"/>
    </xf>
    <xf numFmtId="164" fontId="11" fillId="3" borderId="6" xfId="0" applyFont="true" applyBorder="true" applyAlignment="true" applyProtection="false">
      <alignment horizontal="center" vertical="center" textRotation="0" wrapText="true" indent="0" shrinkToFit="false"/>
      <protection locked="true" hidden="false"/>
    </xf>
    <xf numFmtId="167" fontId="0" fillId="0" borderId="8" xfId="0" applyFont="false" applyBorder="true" applyAlignment="true" applyProtection="false">
      <alignment horizontal="center" vertical="center" textRotation="0" wrapText="false" indent="0" shrinkToFit="false"/>
      <protection locked="true" hidden="false"/>
    </xf>
    <xf numFmtId="164" fontId="11" fillId="2" borderId="9" xfId="0" applyFont="true" applyBorder="true" applyAlignment="true" applyProtection="false">
      <alignment horizontal="center" vertical="center" textRotation="0" wrapText="true" indent="0" shrinkToFit="false"/>
      <protection locked="true" hidden="false"/>
    </xf>
    <xf numFmtId="167" fontId="0" fillId="0" borderId="0" xfId="0" applyFont="true" applyBorder="false" applyAlignment="true" applyProtection="false">
      <alignment horizontal="general" vertical="top"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9" fontId="0" fillId="0" borderId="0" xfId="15" applyFont="true" applyBorder="true" applyAlignment="true" applyProtection="true">
      <alignment horizontal="general" vertical="bottom" textRotation="0" wrapText="false" indent="0" shrinkToFit="false"/>
      <protection locked="true" hidden="false"/>
    </xf>
    <xf numFmtId="164" fontId="11" fillId="2" borderId="12"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false" applyProtection="false">
      <alignment horizontal="general" vertical="bottom" textRotation="0" wrapText="false" indent="0" shrinkToFit="false"/>
      <protection locked="true" hidden="false"/>
    </xf>
    <xf numFmtId="164" fontId="0" fillId="0" borderId="13" xfId="0" applyFont="true" applyBorder="true" applyAlignment="true" applyProtection="false">
      <alignment horizontal="center" vertical="bottom" textRotation="0" wrapText="true" indent="0" shrinkToFit="false"/>
      <protection locked="true" hidden="false"/>
    </xf>
    <xf numFmtId="165" fontId="0" fillId="0" borderId="14" xfId="0" applyFont="true" applyBorder="true" applyAlignment="true" applyProtection="false">
      <alignment horizontal="center" vertical="bottom" textRotation="0" wrapText="true" indent="0" shrinkToFit="false"/>
      <protection locked="true" hidden="false"/>
    </xf>
    <xf numFmtId="165" fontId="0" fillId="0" borderId="13" xfId="0" applyFont="true" applyBorder="true" applyAlignment="true" applyProtection="false">
      <alignment horizontal="center" vertical="bottom" textRotation="0" wrapText="true" indent="0" shrinkToFit="false"/>
      <protection locked="true" hidden="false"/>
    </xf>
    <xf numFmtId="165" fontId="0" fillId="0" borderId="4" xfId="0" applyFont="true" applyBorder="true" applyAlignment="true" applyProtection="false">
      <alignment horizontal="center" vertical="bottom" textRotation="0" wrapText="true" indent="0" shrinkToFit="false"/>
      <protection locked="true" hidden="false"/>
    </xf>
    <xf numFmtId="167" fontId="11" fillId="0" borderId="15" xfId="0" applyFont="true" applyBorder="true" applyAlignment="false" applyProtection="false">
      <alignment horizontal="general" vertical="bottom" textRotation="0" wrapText="false" indent="0" shrinkToFit="false"/>
      <protection locked="true" hidden="false"/>
    </xf>
    <xf numFmtId="168" fontId="0" fillId="0" borderId="16" xfId="0" applyFont="false" applyBorder="true" applyAlignment="false" applyProtection="false">
      <alignment horizontal="general" vertical="bottom" textRotation="0" wrapText="false" indent="0" shrinkToFit="false"/>
      <protection locked="true" hidden="false"/>
    </xf>
    <xf numFmtId="165" fontId="11" fillId="0" borderId="15" xfId="0" applyFont="true" applyBorder="true" applyAlignment="false" applyProtection="false">
      <alignment horizontal="general" vertical="bottom" textRotation="0" wrapText="false" indent="0" shrinkToFit="false"/>
      <protection locked="true" hidden="false"/>
    </xf>
    <xf numFmtId="168" fontId="11" fillId="0" borderId="16" xfId="0" applyFont="true" applyBorder="tru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65" fontId="0" fillId="0" borderId="15" xfId="0" applyFont="false" applyBorder="true" applyAlignment="false" applyProtection="false">
      <alignment horizontal="general" vertical="bottom" textRotation="0" wrapText="false" indent="0" shrinkToFit="false"/>
      <protection locked="true" hidden="false"/>
    </xf>
    <xf numFmtId="165" fontId="0" fillId="0" borderId="16" xfId="0" applyFont="false" applyBorder="true" applyAlignment="false" applyProtection="false">
      <alignment horizontal="general" vertical="bottom" textRotation="0" wrapText="false" indent="0" shrinkToFit="false"/>
      <protection locked="true" hidden="false"/>
    </xf>
    <xf numFmtId="165" fontId="15" fillId="0" borderId="13" xfId="0" applyFont="true" applyBorder="true" applyAlignment="true" applyProtection="false">
      <alignment horizontal="center" vertical="center" textRotation="0" wrapText="false" indent="0" shrinkToFit="false"/>
      <protection locked="true" hidden="false"/>
    </xf>
    <xf numFmtId="165" fontId="15" fillId="0" borderId="14" xfId="0" applyFont="true" applyBorder="true" applyAlignment="true" applyProtection="false">
      <alignment horizontal="center" vertical="center" textRotation="0" wrapText="false" indent="0" shrinkToFit="false"/>
      <protection locked="true" hidden="false"/>
    </xf>
    <xf numFmtId="165" fontId="15" fillId="0" borderId="4" xfId="0" applyFont="true" applyBorder="true" applyAlignment="true" applyProtection="false">
      <alignment horizontal="center" vertical="center" textRotation="0" wrapText="false" indent="0" shrinkToFit="false"/>
      <protection locked="true" hidden="false"/>
    </xf>
    <xf numFmtId="164" fontId="0" fillId="0" borderId="15" xfId="0" applyFont="true" applyBorder="true" applyAlignment="false" applyProtection="false">
      <alignment horizontal="general" vertical="bottom" textRotation="0" wrapText="false" indent="0" shrinkToFit="false"/>
      <protection locked="true" hidden="false"/>
    </xf>
    <xf numFmtId="167" fontId="0" fillId="0" borderId="15" xfId="0" applyFont="false" applyBorder="true" applyAlignment="false" applyProtection="false">
      <alignment horizontal="general" vertical="bottom" textRotation="0" wrapText="false" indent="0" shrinkToFit="false"/>
      <protection locked="true" hidden="false"/>
    </xf>
    <xf numFmtId="168" fontId="0" fillId="0" borderId="15"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0" fillId="3" borderId="0" xfId="0" applyFont="true" applyBorder="false" applyAlignment="false" applyProtection="false">
      <alignment horizontal="general" vertical="bottom" textRotation="0" wrapText="false" indent="0" shrinkToFit="false"/>
      <protection locked="true" hidden="false"/>
    </xf>
    <xf numFmtId="164" fontId="17" fillId="0" borderId="0" xfId="20" applyFont="true" applyBorder="true" applyAlignment="true" applyProtection="true">
      <alignment horizontal="general" vertical="bottom" textRotation="0" wrapText="false" indent="0" shrinkToFit="false"/>
      <protection locked="true" hidden="false"/>
    </xf>
    <xf numFmtId="164" fontId="0" fillId="3" borderId="1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3" borderId="17" xfId="0" applyFont="true" applyBorder="true" applyAlignment="true" applyProtection="false">
      <alignment horizontal="center" vertical="center" textRotation="0" wrapText="true" indent="0" shrinkToFit="false"/>
      <protection locked="true" hidden="false"/>
    </xf>
    <xf numFmtId="166" fontId="18" fillId="0" borderId="0" xfId="0" applyFont="true" applyBorder="false" applyAlignment="false" applyProtection="false">
      <alignment horizontal="general"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8" fontId="0" fillId="0" borderId="4" xfId="0" applyFont="false" applyBorder="true" applyAlignment="false" applyProtection="false">
      <alignment horizontal="general" vertical="bottom" textRotation="0" wrapText="false" indent="0" shrinkToFit="false"/>
      <protection locked="true" hidden="false"/>
    </xf>
    <xf numFmtId="167" fontId="0" fillId="0" borderId="13" xfId="0" applyFont="fals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center" textRotation="0" wrapText="false" indent="0" shrinkToFit="false"/>
      <protection locked="true" hidden="false"/>
    </xf>
    <xf numFmtId="165" fontId="15" fillId="0" borderId="10" xfId="0" applyFont="true" applyBorder="true" applyAlignment="true" applyProtection="false">
      <alignment horizontal="center" vertical="center" textRotation="0" wrapText="false" indent="0" shrinkToFit="false"/>
      <protection locked="true" hidden="false"/>
    </xf>
    <xf numFmtId="164" fontId="0" fillId="5" borderId="0" xfId="0" applyFont="true" applyBorder="true" applyAlignment="true" applyProtection="false">
      <alignment horizontal="center" vertical="bottom" textRotation="0" wrapText="false" indent="0" shrinkToFit="false"/>
      <protection locked="true" hidden="false"/>
    </xf>
    <xf numFmtId="164" fontId="0" fillId="4" borderId="0" xfId="0" applyFont="true" applyBorder="true" applyAlignment="true" applyProtection="false">
      <alignment horizontal="center" vertical="bottom" textRotation="0" wrapText="false" indent="0" shrinkToFit="false"/>
      <protection locked="true" hidden="false"/>
    </xf>
    <xf numFmtId="164" fontId="0" fillId="5" borderId="15" xfId="0" applyFont="true" applyBorder="true" applyAlignment="true" applyProtection="false">
      <alignment horizontal="center" vertical="bottom" textRotation="0" wrapText="true" indent="0" shrinkToFit="false"/>
      <protection locked="true" hidden="false"/>
    </xf>
    <xf numFmtId="165" fontId="0" fillId="4" borderId="16" xfId="0" applyFont="true" applyBorder="true" applyAlignment="true" applyProtection="false">
      <alignment horizontal="center" vertical="bottom" textRotation="0" wrapText="tru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5" fontId="15" fillId="0" borderId="0" xfId="0" applyFont="true" applyBorder="false" applyAlignment="true" applyProtection="false">
      <alignment horizontal="center" vertical="center"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true" applyAlignment="true" applyProtection="false">
      <alignment horizontal="center" vertical="center" textRotation="0" wrapText="false" indent="0" shrinkToFit="false"/>
      <protection locked="true" hidden="false"/>
    </xf>
    <xf numFmtId="165" fontId="0" fillId="5" borderId="13" xfId="0" applyFont="true" applyBorder="true" applyAlignment="true" applyProtection="false">
      <alignment horizontal="center" vertical="bottom" textRotation="0" wrapText="true" indent="0" shrinkToFit="false"/>
      <protection locked="true" hidden="false"/>
    </xf>
    <xf numFmtId="165" fontId="0" fillId="4" borderId="14" xfId="0" applyFont="true" applyBorder="true" applyAlignment="true" applyProtection="false">
      <alignment horizontal="center" vertical="bottom" textRotation="0" wrapText="true" indent="0" shrinkToFit="false"/>
      <protection locked="true" hidden="false"/>
    </xf>
    <xf numFmtId="164" fontId="0" fillId="0" borderId="15"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5" fontId="0" fillId="0" borderId="4" xfId="0" applyFont="fals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8" fontId="22" fillId="0" borderId="0" xfId="0" applyFont="true" applyBorder="false" applyAlignment="false" applyProtection="false">
      <alignment horizontal="general" vertical="bottom" textRotation="0" wrapText="false" indent="0" shrinkToFit="false"/>
      <protection locked="true" hidden="false"/>
    </xf>
    <xf numFmtId="168" fontId="23" fillId="0" borderId="0" xfId="0" applyFont="true" applyBorder="false" applyAlignment="false" applyProtection="false">
      <alignment horizontal="general" vertical="bottom" textRotation="0" wrapText="false" indent="0" shrinkToFit="false"/>
      <protection locked="true" hidden="false"/>
    </xf>
    <xf numFmtId="167" fontId="11" fillId="0" borderId="15"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8" fontId="25" fillId="0" borderId="0" xfId="0" applyFont="true" applyBorder="false" applyAlignment="false" applyProtection="false">
      <alignment horizontal="general" vertical="bottom" textRotation="0" wrapText="false" indent="0" shrinkToFit="false"/>
      <protection locked="true" hidden="false"/>
    </xf>
    <xf numFmtId="164" fontId="0" fillId="0" borderId="15" xfId="0" applyFont="true" applyBorder="true" applyAlignment="true" applyProtection="false">
      <alignment horizontal="center" vertical="bottom" textRotation="0" wrapText="false" indent="0" shrinkToFit="false"/>
      <protection locked="true" hidden="false"/>
    </xf>
    <xf numFmtId="165" fontId="0" fillId="5" borderId="18" xfId="0" applyFont="true" applyBorder="true" applyAlignment="true" applyProtection="false">
      <alignment horizontal="center" vertical="bottom" textRotation="0" wrapText="true" indent="0" shrinkToFit="false"/>
      <protection locked="true" hidden="false"/>
    </xf>
    <xf numFmtId="165" fontId="0" fillId="4" borderId="19" xfId="0" applyFont="true" applyBorder="true" applyAlignment="true" applyProtection="false">
      <alignment horizontal="center" vertical="bottom" textRotation="0" wrapText="true" indent="0" shrinkToFit="false"/>
      <protection locked="true" hidden="false"/>
    </xf>
    <xf numFmtId="164" fontId="0" fillId="4" borderId="0" xfId="0" applyFont="true" applyBorder="true" applyAlignment="true" applyProtection="false">
      <alignment horizontal="center" vertical="center" textRotation="0" wrapText="false" indent="0" shrinkToFit="false"/>
      <protection locked="true" hidden="false"/>
    </xf>
    <xf numFmtId="168" fontId="11" fillId="0" borderId="15"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0" fillId="6" borderId="15" xfId="0" applyFont="true" applyBorder="true" applyAlignment="false" applyProtection="false">
      <alignment horizontal="general" vertical="bottom" textRotation="0" wrapText="false" indent="0" shrinkToFit="false"/>
      <protection locked="true" hidden="false"/>
    </xf>
    <xf numFmtId="165" fontId="0" fillId="6" borderId="2" xfId="0" applyFont="true" applyBorder="true" applyAlignment="false" applyProtection="false">
      <alignment horizontal="general" vertical="bottom" textRotation="0" wrapText="fals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5" fontId="0" fillId="7" borderId="16" xfId="0" applyFont="false" applyBorder="true" applyAlignment="false" applyProtection="false">
      <alignment horizontal="general" vertical="bottom" textRotation="0" wrapText="false" indent="0" shrinkToFit="false"/>
      <protection locked="true" hidden="false"/>
    </xf>
    <xf numFmtId="168" fontId="0" fillId="0" borderId="5" xfId="0" applyFont="false" applyBorder="true" applyAlignment="false" applyProtection="false">
      <alignment horizontal="general" vertical="bottom" textRotation="0" wrapText="false" indent="0" shrinkToFit="false"/>
      <protection locked="true" hidden="false"/>
    </xf>
    <xf numFmtId="168" fontId="0" fillId="0" borderId="6"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7" fontId="12" fillId="0" borderId="15" xfId="0" applyFont="true" applyBorder="true" applyAlignment="false" applyProtection="false">
      <alignment horizontal="general" vertical="bottom" textRotation="0" wrapText="false" indent="0" shrinkToFit="false"/>
      <protection locked="true" hidden="false"/>
    </xf>
    <xf numFmtId="168" fontId="0" fillId="7" borderId="16" xfId="0" applyFont="false" applyBorder="true" applyAlignment="false" applyProtection="false">
      <alignment horizontal="general" vertical="bottom"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8" fontId="0" fillId="0" borderId="11" xfId="0" applyFont="false" applyBorder="true" applyAlignment="false" applyProtection="false">
      <alignment horizontal="general" vertical="bottom" textRotation="0" wrapText="false" indent="0" shrinkToFit="false"/>
      <protection locked="true" hidden="false"/>
    </xf>
    <xf numFmtId="164" fontId="0" fillId="0" borderId="21" xfId="0" applyFont="false" applyBorder="true" applyAlignment="false" applyProtection="false">
      <alignment horizontal="general" vertical="bottom" textRotation="0" wrapText="false" indent="0" shrinkToFit="false"/>
      <protection locked="true" hidden="false"/>
    </xf>
    <xf numFmtId="167" fontId="0" fillId="0" borderId="21" xfId="0" applyFont="false" applyBorder="true" applyAlignment="false" applyProtection="false">
      <alignment horizontal="general" vertical="bottom" textRotation="0" wrapText="false" indent="0" shrinkToFit="false"/>
      <protection locked="true" hidden="false"/>
    </xf>
    <xf numFmtId="168" fontId="0" fillId="0" borderId="12" xfId="0" applyFont="false" applyBorder="true" applyAlignment="false" applyProtection="false">
      <alignment horizontal="general" vertical="bottom" textRotation="0" wrapText="false" indent="0" shrinkToFit="false"/>
      <protection locked="true" hidden="false"/>
    </xf>
    <xf numFmtId="165" fontId="11" fillId="0" borderId="16" xfId="0" applyFont="true" applyBorder="true" applyAlignment="false" applyProtection="false">
      <alignment horizontal="general" vertical="bottom" textRotation="0" wrapText="false" indent="0" shrinkToFit="false"/>
      <protection locked="true" hidden="false"/>
    </xf>
    <xf numFmtId="165" fontId="11" fillId="7" borderId="16" xfId="0" applyFont="true" applyBorder="true" applyAlignment="false" applyProtection="false">
      <alignment horizontal="general" vertical="bottom" textRotation="0" wrapText="false" indent="0" shrinkToFit="false"/>
      <protection locked="true" hidden="false"/>
    </xf>
    <xf numFmtId="165" fontId="11" fillId="7" borderId="15" xfId="0" applyFont="true" applyBorder="true" applyAlignment="false" applyProtection="false">
      <alignment horizontal="general" vertical="bottom" textRotation="0" wrapText="false" indent="0" shrinkToFit="false"/>
      <protection locked="true" hidden="false"/>
    </xf>
    <xf numFmtId="168" fontId="11" fillId="7" borderId="16" xfId="0" applyFont="true" applyBorder="true" applyAlignment="false" applyProtection="false">
      <alignment horizontal="general" vertical="bottom" textRotation="0" wrapText="false" indent="0" shrinkToFit="false"/>
      <protection locked="true" hidden="false"/>
    </xf>
    <xf numFmtId="167" fontId="11" fillId="3" borderId="15" xfId="0" applyFont="true" applyBorder="true" applyAlignment="false" applyProtection="false">
      <alignment horizontal="general" vertical="bottom" textRotation="0" wrapText="false" indent="0" shrinkToFit="false"/>
      <protection locked="true" hidden="false"/>
    </xf>
    <xf numFmtId="168" fontId="11" fillId="3" borderId="16" xfId="0" applyFont="true" applyBorder="true" applyAlignment="false" applyProtection="false">
      <alignment horizontal="general" vertical="bottom" textRotation="0" wrapText="false" indent="0" shrinkToFit="false"/>
      <protection locked="true" hidden="false"/>
    </xf>
    <xf numFmtId="165" fontId="11" fillId="3" borderId="15"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8" borderId="0" xfId="0" applyFont="false" applyBorder="false" applyAlignment="true" applyProtection="false">
      <alignment horizontal="center" vertical="center" textRotation="0" wrapText="true" indent="0" shrinkToFit="false"/>
      <protection locked="true" hidden="false"/>
    </xf>
    <xf numFmtId="167" fontId="0" fillId="8" borderId="0" xfId="0" applyFont="false" applyBorder="false" applyAlignment="true" applyProtection="false">
      <alignment horizontal="center" vertical="center" textRotation="0" wrapText="true" indent="0" shrinkToFit="false"/>
      <protection locked="true" hidden="false"/>
    </xf>
    <xf numFmtId="164" fontId="0" fillId="8" borderId="0" xfId="0" applyFont="true" applyBorder="false" applyAlignment="true" applyProtection="false">
      <alignment horizontal="general" vertical="bottom" textRotation="0" wrapText="true" indent="0" shrinkToFit="false"/>
      <protection locked="true" hidden="false"/>
    </xf>
    <xf numFmtId="164" fontId="0" fillId="8" borderId="4" xfId="0" applyFont="false" applyBorder="true" applyAlignment="true" applyProtection="false">
      <alignment horizontal="center" vertical="center" textRotation="0" wrapText="true" indent="0" shrinkToFit="false"/>
      <protection locked="true" hidden="false"/>
    </xf>
    <xf numFmtId="164" fontId="0" fillId="8" borderId="4" xfId="0" applyFont="true" applyBorder="true" applyAlignment="true" applyProtection="false">
      <alignment horizontal="center" vertical="center" textRotation="0" wrapText="true" indent="0" shrinkToFit="false"/>
      <protection locked="true" hidden="false"/>
    </xf>
    <xf numFmtId="167" fontId="0" fillId="8" borderId="4" xfId="0" applyFont="false" applyBorder="true" applyAlignment="true" applyProtection="false">
      <alignment horizontal="center" vertical="center" textRotation="0" wrapText="true" indent="0" shrinkToFit="false"/>
      <protection locked="true" hidden="false"/>
    </xf>
    <xf numFmtId="167" fontId="0" fillId="0" borderId="0" xfId="0" applyFont="false" applyBorder="false" applyAlignment="true" applyProtection="false">
      <alignment horizontal="center" vertical="center" textRotation="0" wrapText="true" indent="0" shrinkToFit="false"/>
      <protection locked="true" hidden="false"/>
    </xf>
    <xf numFmtId="164" fontId="0" fillId="9" borderId="0" xfId="0" applyFont="false" applyBorder="false" applyAlignment="true" applyProtection="false">
      <alignment horizontal="center" vertical="center" textRotation="0" wrapText="true" indent="0" shrinkToFit="false"/>
      <protection locked="true" hidden="false"/>
    </xf>
    <xf numFmtId="167" fontId="0" fillId="9" borderId="0" xfId="0" applyFont="false" applyBorder="false" applyAlignment="true" applyProtection="false">
      <alignment horizontal="center" vertical="center" textRotation="0" wrapText="true" indent="0" shrinkToFit="false"/>
      <protection locked="true" hidden="false"/>
    </xf>
    <xf numFmtId="164" fontId="0" fillId="9" borderId="0" xfId="0" applyFont="true" applyBorder="false" applyAlignment="true" applyProtection="false">
      <alignment horizontal="center" vertical="center" textRotation="0" wrapText="true" indent="0" shrinkToFit="false"/>
      <protection locked="true" hidden="false"/>
    </xf>
    <xf numFmtId="164" fontId="0" fillId="9" borderId="4" xfId="0" applyFont="false" applyBorder="true" applyAlignment="true" applyProtection="false">
      <alignment horizontal="center" vertical="center" textRotation="0" wrapText="true" indent="0" shrinkToFit="false"/>
      <protection locked="true" hidden="false"/>
    </xf>
    <xf numFmtId="167" fontId="0" fillId="9" borderId="4" xfId="0" applyFont="false" applyBorder="true" applyAlignment="true" applyProtection="false">
      <alignment horizontal="center" vertical="center" textRotation="0" wrapText="true" indent="0" shrinkToFit="false"/>
      <protection locked="true" hidden="false"/>
    </xf>
    <xf numFmtId="164" fontId="0" fillId="10" borderId="0" xfId="0" applyFont="false" applyBorder="false" applyAlignment="true" applyProtection="false">
      <alignment horizontal="center" vertical="center" textRotation="0" wrapText="true" indent="0" shrinkToFit="false"/>
      <protection locked="true" hidden="false"/>
    </xf>
    <xf numFmtId="167" fontId="0" fillId="10" borderId="0" xfId="0" applyFont="false" applyBorder="false" applyAlignment="true" applyProtection="false">
      <alignment horizontal="center" vertical="center" textRotation="0" wrapText="true" indent="0" shrinkToFit="false"/>
      <protection locked="true" hidden="false"/>
    </xf>
    <xf numFmtId="164" fontId="0" fillId="11" borderId="0" xfId="0" applyFont="false" applyBorder="false" applyAlignment="true" applyProtection="false">
      <alignment horizontal="center" vertical="center" textRotation="0" wrapText="true" indent="0" shrinkToFit="false"/>
      <protection locked="true" hidden="false"/>
    </xf>
    <xf numFmtId="167" fontId="0" fillId="11" borderId="0" xfId="0" applyFont="false" applyBorder="false" applyAlignment="true" applyProtection="false">
      <alignment horizontal="center" vertical="center" textRotation="0" wrapText="true" indent="0" shrinkToFit="false"/>
      <protection locked="true" hidden="false"/>
    </xf>
    <xf numFmtId="164" fontId="0" fillId="11" borderId="4" xfId="0" applyFont="false" applyBorder="true" applyAlignment="true" applyProtection="false">
      <alignment horizontal="center" vertical="center" textRotation="0" wrapText="true" indent="0" shrinkToFit="false"/>
      <protection locked="true" hidden="false"/>
    </xf>
    <xf numFmtId="167" fontId="0" fillId="11" borderId="4" xfId="0" applyFont="false" applyBorder="true" applyAlignment="true" applyProtection="false">
      <alignment horizontal="center" vertical="center" textRotation="0" wrapText="true" indent="0" shrinkToFit="false"/>
      <protection locked="true" hidden="false"/>
    </xf>
    <xf numFmtId="164" fontId="0" fillId="12" borderId="0" xfId="0" applyFont="false" applyBorder="false" applyAlignment="true" applyProtection="false">
      <alignment horizontal="center" vertical="center" textRotation="0" wrapText="true" indent="0" shrinkToFit="false"/>
      <protection locked="true" hidden="false"/>
    </xf>
    <xf numFmtId="167" fontId="0" fillId="12" borderId="0" xfId="0" applyFont="false" applyBorder="false" applyAlignment="true" applyProtection="false">
      <alignment horizontal="center" vertical="center" textRotation="0" wrapText="true" indent="0" shrinkToFit="false"/>
      <protection locked="true" hidden="false"/>
    </xf>
    <xf numFmtId="164" fontId="0" fillId="12" borderId="4" xfId="0" applyFont="false" applyBorder="true" applyAlignment="true" applyProtection="false">
      <alignment horizontal="center" vertical="center" textRotation="0" wrapText="true" indent="0" shrinkToFit="false"/>
      <protection locked="true" hidden="false"/>
    </xf>
    <xf numFmtId="167" fontId="0" fillId="12" borderId="4" xfId="0" applyFont="false" applyBorder="true" applyAlignment="true" applyProtection="false">
      <alignment horizontal="center" vertical="center" textRotation="0" wrapText="true" indent="0" shrinkToFit="false"/>
      <protection locked="true" hidden="false"/>
    </xf>
    <xf numFmtId="164" fontId="0" fillId="5" borderId="0" xfId="0" applyFont="true" applyBorder="true" applyAlignment="true" applyProtection="false">
      <alignment horizontal="center" vertical="center" textRotation="0" wrapText="true" indent="0" shrinkToFit="false"/>
      <protection locked="true" hidden="false"/>
    </xf>
    <xf numFmtId="164" fontId="0" fillId="8" borderId="0" xfId="0" applyFont="true" applyBorder="false" applyAlignment="true" applyProtection="false">
      <alignment horizontal="left" vertical="center" textRotation="0" wrapText="true" indent="0" shrinkToFit="false"/>
      <protection locked="true" hidden="false"/>
    </xf>
    <xf numFmtId="164" fontId="0" fillId="8" borderId="0" xfId="0" applyFont="true" applyBorder="false" applyAlignment="true" applyProtection="false">
      <alignment horizontal="left" vertical="bottom" textRotation="0" wrapText="true" indent="0" shrinkToFit="false"/>
      <protection locked="true" hidden="false"/>
    </xf>
    <xf numFmtId="164" fontId="0" fillId="8" borderId="4"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center" textRotation="0" wrapText="true" indent="0" shrinkToFit="false"/>
      <protection locked="true" hidden="false"/>
    </xf>
    <xf numFmtId="164" fontId="0" fillId="9" borderId="0" xfId="0" applyFont="true" applyBorder="false" applyAlignment="true" applyProtection="false">
      <alignment horizontal="left" vertical="center" textRotation="0" wrapText="true" indent="0" shrinkToFit="false"/>
      <protection locked="true" hidden="false"/>
    </xf>
    <xf numFmtId="164" fontId="0" fillId="9" borderId="4" xfId="0" applyFont="true" applyBorder="true" applyAlignment="true" applyProtection="false">
      <alignment horizontal="left" vertical="center" textRotation="0" wrapText="true" indent="0" shrinkToFit="false"/>
      <protection locked="true" hidden="false"/>
    </xf>
    <xf numFmtId="164" fontId="0" fillId="10" borderId="0" xfId="0" applyFont="true" applyBorder="false" applyAlignment="true" applyProtection="false">
      <alignment horizontal="left" vertical="center" textRotation="0" wrapText="true" indent="0" shrinkToFit="false"/>
      <protection locked="true" hidden="false"/>
    </xf>
    <xf numFmtId="164" fontId="0" fillId="11" borderId="0" xfId="0" applyFont="true" applyBorder="false" applyAlignment="true" applyProtection="false">
      <alignment horizontal="left" vertical="center" textRotation="0" wrapText="true" indent="0" shrinkToFit="false"/>
      <protection locked="true" hidden="false"/>
    </xf>
    <xf numFmtId="164" fontId="0" fillId="11" borderId="4" xfId="0" applyFont="true" applyBorder="true" applyAlignment="true" applyProtection="false">
      <alignment horizontal="left" vertical="center" textRotation="0" wrapText="true" indent="0" shrinkToFit="false"/>
      <protection locked="true" hidden="false"/>
    </xf>
    <xf numFmtId="164" fontId="0" fillId="12" borderId="0" xfId="0" applyFont="true" applyBorder="false" applyAlignment="true" applyProtection="false">
      <alignment horizontal="left" vertical="center" textRotation="0" wrapText="true" indent="0" shrinkToFit="false"/>
      <protection locked="true" hidden="false"/>
    </xf>
    <xf numFmtId="164" fontId="0" fillId="12" borderId="4" xfId="0" applyFont="true" applyBorder="true" applyAlignment="true" applyProtection="false">
      <alignment horizontal="left" vertical="center" textRotation="0" wrapText="true" indent="0" shrinkToFit="false"/>
      <protection locked="true" hidden="false"/>
    </xf>
    <xf numFmtId="164" fontId="0" fillId="5" borderId="0" xfId="0" applyFont="true" applyBorder="false" applyAlignment="true" applyProtection="false">
      <alignment horizontal="center" vertical="center" textRotation="0" wrapText="true" indent="0" shrinkToFit="false"/>
      <protection locked="true" hidden="false"/>
    </xf>
    <xf numFmtId="164" fontId="0" fillId="0" borderId="13"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center" vertical="center" textRotation="0" wrapText="true" indent="0" shrinkToFit="false"/>
      <protection locked="true" hidden="false"/>
    </xf>
    <xf numFmtId="164" fontId="0" fillId="0" borderId="14" xfId="0" applyFont="true" applyBorder="true" applyAlignment="true" applyProtection="false">
      <alignment horizontal="center" vertical="center" textRotation="0" wrapText="true" indent="0" shrinkToFit="false"/>
      <protection locked="true" hidden="false"/>
    </xf>
    <xf numFmtId="164" fontId="0" fillId="0" borderId="17" xfId="0" applyFont="true" applyBorder="true" applyAlignment="true" applyProtection="false">
      <alignment horizontal="center" vertical="center" textRotation="0" wrapText="true" indent="0" shrinkToFit="false"/>
      <protection locked="true" hidden="false"/>
    </xf>
    <xf numFmtId="164" fontId="0" fillId="0" borderId="10" xfId="0" applyFont="true" applyBorder="true" applyAlignment="true" applyProtection="false">
      <alignment horizontal="center" vertical="center" textRotation="0" wrapText="false" indent="0" shrinkToFit="false"/>
      <protection locked="true" hidden="false"/>
    </xf>
    <xf numFmtId="164" fontId="0" fillId="0" borderId="22" xfId="0" applyFont="true" applyBorder="true" applyAlignment="true" applyProtection="false">
      <alignment horizontal="center" vertical="center" textRotation="0" wrapText="true" indent="0" shrinkToFit="false"/>
      <protection locked="true" hidden="false"/>
    </xf>
    <xf numFmtId="164" fontId="0" fillId="0" borderId="23" xfId="0" applyFont="true" applyBorder="true" applyAlignment="true" applyProtection="false">
      <alignment horizontal="general" vertical="center" textRotation="0" wrapText="false" indent="0" shrinkToFit="false"/>
      <protection locked="true" hidden="false"/>
    </xf>
    <xf numFmtId="164" fontId="0" fillId="0" borderId="13" xfId="0" applyFont="false" applyBorder="true" applyAlignment="true" applyProtection="false">
      <alignment horizontal="center" vertical="center" textRotation="0" wrapText="false" indent="0" shrinkToFit="false"/>
      <protection locked="true" hidden="false"/>
    </xf>
    <xf numFmtId="164" fontId="0" fillId="0" borderId="14" xfId="0" applyFont="false" applyBorder="true" applyAlignment="true" applyProtection="false">
      <alignment horizontal="center" vertical="center" textRotation="0" wrapText="false" indent="0" shrinkToFit="false"/>
      <protection locked="true" hidden="false"/>
    </xf>
    <xf numFmtId="164" fontId="0" fillId="0" borderId="24" xfId="0" applyFont="true" applyBorder="true" applyAlignment="true" applyProtection="false">
      <alignment horizontal="general" vertical="center" textRotation="0" wrapText="false" indent="0" shrinkToFit="false"/>
      <protection locked="true" hidden="false"/>
    </xf>
    <xf numFmtId="164" fontId="0" fillId="0" borderId="15" xfId="0" applyFont="false" applyBorder="true" applyAlignment="true" applyProtection="false">
      <alignment horizontal="center" vertical="center" textRotation="0" wrapText="false" indent="0" shrinkToFit="false"/>
      <protection locked="true" hidden="false"/>
    </xf>
    <xf numFmtId="164" fontId="0" fillId="0" borderId="16" xfId="0" applyFont="false" applyBorder="true" applyAlignment="true" applyProtection="false">
      <alignment horizontal="center" vertical="center" textRotation="0" wrapText="false" indent="0" shrinkToFit="false"/>
      <protection locked="true" hidden="false"/>
    </xf>
    <xf numFmtId="164" fontId="0" fillId="0" borderId="17" xfId="0" applyFont="false" applyBorder="true" applyAlignment="true" applyProtection="false">
      <alignment horizontal="center" vertical="center" textRotation="0" wrapText="false" indent="0" shrinkToFit="false"/>
      <protection locked="true" hidden="false"/>
    </xf>
    <xf numFmtId="164" fontId="0" fillId="0" borderId="22" xfId="0" applyFont="false" applyBorder="true" applyAlignment="true" applyProtection="false">
      <alignment horizontal="center" vertical="center" textRotation="0" wrapText="false" indent="0" shrinkToFit="false"/>
      <protection locked="true" hidden="false"/>
    </xf>
    <xf numFmtId="164" fontId="0" fillId="0" borderId="18" xfId="0" applyFont="true" applyBorder="true" applyAlignment="true" applyProtection="false">
      <alignment horizontal="general" vertical="center" textRotation="0" wrapText="false" indent="0" shrinkToFit="false"/>
      <protection locked="true" hidden="false"/>
    </xf>
    <xf numFmtId="170" fontId="0" fillId="0" borderId="25" xfId="0" applyFont="false" applyBorder="true" applyAlignment="true" applyProtection="false">
      <alignment horizontal="center" vertical="bottom"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6" fontId="11" fillId="0" borderId="0" xfId="0" applyFont="true" applyBorder="false" applyAlignment="true" applyProtection="false">
      <alignment horizontal="center" vertical="center"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D0CECE"/>
      <rgbColor rgb="FF808080"/>
      <rgbColor rgb="FF9999FF"/>
      <rgbColor rgb="FF993366"/>
      <rgbColor rgb="FFFFF2CC"/>
      <rgbColor rgb="FFDAE3F3"/>
      <rgbColor rgb="FF660066"/>
      <rgbColor rgb="FFFF8080"/>
      <rgbColor rgb="FF0563C1"/>
      <rgbColor rgb="FFB4C7E7"/>
      <rgbColor rgb="FF000080"/>
      <rgbColor rgb="FFFF00FF"/>
      <rgbColor rgb="FFFFFF00"/>
      <rgbColor rgb="FF00FFFF"/>
      <rgbColor rgb="FF800080"/>
      <rgbColor rgb="FF800000"/>
      <rgbColor rgb="FF008080"/>
      <rgbColor rgb="FF0000FF"/>
      <rgbColor rgb="FF00CCFF"/>
      <rgbColor rgb="FFCCFFFF"/>
      <rgbColor rgb="FFE2F0D9"/>
      <rgbColor rgb="FFFBE5D6"/>
      <rgbColor rgb="FF99CCFF"/>
      <rgbColor rgb="FFFF99CC"/>
      <rgbColor rgb="FFCC99FF"/>
      <rgbColor rgb="FFF8CBAD"/>
      <rgbColor rgb="FF3366FF"/>
      <rgbColor rgb="FF33CCCC"/>
      <rgbColor rgb="FF92D050"/>
      <rgbColor rgb="FFFFCC00"/>
      <rgbColor rgb="FFFF9900"/>
      <rgbColor rgb="FFED7D31"/>
      <rgbColor rgb="FF666699"/>
      <rgbColor rgb="FF969696"/>
      <rgbColor rgb="FF003366"/>
      <rgbColor rgb="FF00B050"/>
      <rgbColor rgb="FF003300"/>
      <rgbColor rgb="FF333300"/>
      <rgbColor rgb="FFC55A11"/>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_rels/sheet2.xml.rels><?xml version="1.0" encoding="UTF-8"?>
<Relationships xmlns="http://schemas.openxmlformats.org/package/2006/relationships"><Relationship Id="rId1" Type="http://schemas.openxmlformats.org/officeDocument/2006/relationships/hyperlink" Target="https://www.destatis.de/DE/Presse/Pressemitteilungen/2021/01/PD21_028_412.html" TargetMode="External"/><Relationship Id="rId2" Type="http://schemas.openxmlformats.org/officeDocument/2006/relationships/hyperlink" Target="https://www.destatis.de/DE/Themen/Branchen-Unternehmen/Landwirtschaft-Forstwirtschaft-Fischerei/Feldfruechte-Gruenland/Tabellen/liste-feldfruechte-zeitreihe.html" TargetMode="External"/><Relationship Id="rId3" Type="http://schemas.openxmlformats.org/officeDocument/2006/relationships/hyperlink" Target="https://www.destatis.de/DE/Themen/Branchen-Unternehmen/Landwirtschaft-Forstwirtschaft-Fischerei/Feldfruechte-Gruenland/_inhalt.html"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destatis.de/DE/Presse/Pressemitteilungen/2021/01/PD21_028_412.html" TargetMode="External"/><Relationship Id="rId2" Type="http://schemas.openxmlformats.org/officeDocument/2006/relationships/hyperlink" Target="https://www.destatis.de/DE/Themen/Branchen-Unternehmen/Landwirtschaft-Forstwirtschaft-Fischerei/Feldfruechte-Gruenland/Tabellen/liste-feldfruechte-zeitreihe.html" TargetMode="External"/><Relationship Id="rId3" Type="http://schemas.openxmlformats.org/officeDocument/2006/relationships/hyperlink" Target="https://www.destatis.de/DE/Themen/Branchen-Unternehmen/Landwirtschaft-Forstwirtschaft-Fischerei/Feldfruechte-Gruenland/_inhalt.html" TargetMode="External"/><Relationship Id="rId4" Type="http://schemas.openxmlformats.org/officeDocument/2006/relationships/hyperlink" Target="https://www.agrarheute.com/markt/marktfruechte/hohe-getreidepreise-puschen-anbau-sommergetreide-593820"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98"/>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A1" activeCellId="0" sqref="A1"/>
    </sheetView>
  </sheetViews>
  <sheetFormatPr defaultColWidth="10.6796875" defaultRowHeight="14.25" zeroHeight="false" outlineLevelRow="0" outlineLevelCol="0"/>
  <cols>
    <col collapsed="false" customWidth="true" hidden="false" outlineLevel="0" max="1" min="1" style="0" width="22"/>
    <col collapsed="false" customWidth="true" hidden="false" outlineLevel="0" max="2" min="2" style="0" width="13.09"/>
    <col collapsed="false" customWidth="true" hidden="false" outlineLevel="0" max="4" min="3" style="1" width="12.45"/>
    <col collapsed="false" customWidth="true" hidden="false" outlineLevel="0" max="5" min="5" style="0" width="38.18"/>
    <col collapsed="false" customWidth="true" hidden="false" outlineLevel="0" max="7" min="6" style="0" width="12.18"/>
    <col collapsed="false" customWidth="true" hidden="false" outlineLevel="0" max="8" min="8" style="0" width="11.36"/>
    <col collapsed="false" customWidth="true" hidden="false" outlineLevel="0" max="10" min="10" style="0" width="48.82"/>
    <col collapsed="false" customWidth="true" hidden="false" outlineLevel="0" max="11" min="11" style="0" width="83.63"/>
    <col collapsed="false" customWidth="true" hidden="false" outlineLevel="0" max="14" min="14" style="0" width="23.18"/>
    <col collapsed="false" customWidth="true" hidden="false" outlineLevel="0" max="15" min="15" style="0" width="23.63"/>
  </cols>
  <sheetData>
    <row r="1" customFormat="false" ht="18" hidden="false" customHeight="false" outlineLevel="0" collapsed="false">
      <c r="A1" s="2" t="s">
        <v>0</v>
      </c>
    </row>
    <row r="2" customFormat="false" ht="15" hidden="false" customHeight="false" outlineLevel="0" collapsed="false">
      <c r="H2" s="3"/>
    </row>
    <row r="3" customFormat="false" ht="15" hidden="false" customHeight="true" outlineLevel="0" collapsed="false">
      <c r="A3" s="4" t="s">
        <v>1</v>
      </c>
      <c r="H3" s="5"/>
      <c r="I3" s="6" t="s">
        <v>2</v>
      </c>
      <c r="J3" s="6"/>
      <c r="K3" s="6"/>
      <c r="M3" s="7" t="s">
        <v>3</v>
      </c>
      <c r="N3" s="8" t="s">
        <v>4</v>
      </c>
    </row>
    <row r="4" customFormat="false" ht="57.75" hidden="false" customHeight="false" outlineLevel="0" collapsed="false">
      <c r="A4" s="9" t="s">
        <v>5</v>
      </c>
      <c r="H4" s="10"/>
      <c r="I4" s="11" t="n">
        <v>1</v>
      </c>
      <c r="J4" s="12" t="s">
        <v>6</v>
      </c>
      <c r="K4" s="12" t="s">
        <v>7</v>
      </c>
      <c r="M4" s="13" t="n">
        <f aca="false">(F9+F10+F11+F12+F13)-(F26+F32+F33+F34)-F43</f>
        <v>0</v>
      </c>
      <c r="N4" s="14"/>
      <c r="O4" s="15"/>
    </row>
    <row r="5" customFormat="false" ht="57.75" hidden="false" customHeight="false" outlineLevel="0" collapsed="false">
      <c r="A5" s="9" t="s">
        <v>8</v>
      </c>
      <c r="H5" s="10"/>
      <c r="I5" s="16" t="n">
        <v>2</v>
      </c>
      <c r="J5" s="17" t="s">
        <v>9</v>
      </c>
      <c r="K5" s="17" t="s">
        <v>10</v>
      </c>
      <c r="M5" s="18" t="n">
        <f aca="false">(F9+F10+F11+F12+F13)-(F26+F32+F33+F34)</f>
        <v>255.273305966026</v>
      </c>
      <c r="N5" s="19"/>
      <c r="O5" s="15"/>
    </row>
    <row r="6" customFormat="false" ht="28.5" hidden="false" customHeight="false" outlineLevel="0" collapsed="false">
      <c r="A6" s="9"/>
      <c r="H6" s="10"/>
      <c r="I6" s="20" t="n">
        <v>3</v>
      </c>
      <c r="J6" s="21" t="s">
        <v>11</v>
      </c>
      <c r="K6" s="21" t="s">
        <v>12</v>
      </c>
      <c r="M6" s="18" t="n">
        <f aca="false">(F9+F10+F12+F13)-(F26+F32+F33+F34)</f>
        <v>-626.726694033974</v>
      </c>
      <c r="N6" s="19"/>
      <c r="O6" s="15"/>
    </row>
    <row r="7" customFormat="false" ht="28.5" hidden="false" customHeight="false" outlineLevel="0" collapsed="false">
      <c r="B7" s="22" t="s">
        <v>13</v>
      </c>
      <c r="C7" s="22" t="s">
        <v>14</v>
      </c>
      <c r="D7" s="23"/>
      <c r="F7" s="23"/>
      <c r="G7" s="23"/>
      <c r="H7" s="10"/>
      <c r="I7" s="11" t="n">
        <v>4</v>
      </c>
      <c r="J7" s="12" t="s">
        <v>15</v>
      </c>
      <c r="K7" s="12" t="s">
        <v>16</v>
      </c>
      <c r="M7" s="24" t="n">
        <f aca="false">(F9+F10+F11+F12)-F26</f>
        <v>5042.46611932052</v>
      </c>
      <c r="N7" s="25"/>
      <c r="P7" s="15"/>
      <c r="Q7" s="0" t="s">
        <v>17</v>
      </c>
      <c r="R7" s="0" t="s">
        <v>18</v>
      </c>
    </row>
    <row r="8" customFormat="false" ht="57.75" hidden="false" customHeight="false" outlineLevel="0" collapsed="false">
      <c r="A8" s="0" t="s">
        <v>19</v>
      </c>
      <c r="B8" s="26" t="n">
        <v>12</v>
      </c>
      <c r="C8" s="15" t="n">
        <v>230</v>
      </c>
      <c r="E8" s="27" t="s">
        <v>20</v>
      </c>
      <c r="F8" s="28" t="s">
        <v>21</v>
      </c>
      <c r="G8" s="29" t="s">
        <v>22</v>
      </c>
      <c r="H8" s="10"/>
      <c r="I8" s="20" t="n">
        <v>5</v>
      </c>
      <c r="J8" s="21" t="s">
        <v>23</v>
      </c>
      <c r="K8" s="21" t="s">
        <v>24</v>
      </c>
      <c r="M8" s="18" t="n">
        <f aca="false">(F9+F10+F11+F12+F13-F43-F26)/B28</f>
        <v>76.9871875135634</v>
      </c>
      <c r="N8" s="30" t="n">
        <v>120</v>
      </c>
      <c r="P8" s="0" t="s">
        <v>19</v>
      </c>
      <c r="Q8" s="26" t="n">
        <f aca="false">B56*(C56/100)*100</f>
        <v>145.220930232558</v>
      </c>
      <c r="R8" s="31" t="n">
        <f aca="false">Q8/C8</f>
        <v>0.631395348837209</v>
      </c>
    </row>
    <row r="9" customFormat="false" ht="29.25" hidden="false" customHeight="false" outlineLevel="0" collapsed="false">
      <c r="A9" s="0" t="s">
        <v>25</v>
      </c>
      <c r="B9" s="26" t="n">
        <v>2</v>
      </c>
      <c r="C9" s="15" t="n">
        <v>170</v>
      </c>
      <c r="D9" s="26"/>
      <c r="E9" s="0" t="s">
        <v>26</v>
      </c>
      <c r="F9" s="32" t="n">
        <f aca="false">(B8*C8+B9*C9+B10*C10+B11*C11+B12*C12+B13*C13+B14*C14+B16*C16+B17*C17+B18*C18+B19*C19+B20*C20+B23*C23)*0.55</f>
        <v>6622</v>
      </c>
      <c r="G9" s="33" t="n">
        <f aca="false">F9/$B$28</f>
        <v>105.111111111111</v>
      </c>
      <c r="H9" s="10"/>
      <c r="I9" s="34" t="n">
        <v>6</v>
      </c>
      <c r="J9" s="35" t="s">
        <v>27</v>
      </c>
      <c r="K9" s="35" t="s">
        <v>28</v>
      </c>
      <c r="M9" s="36" t="n">
        <f aca="false">((F9+F10+F11+F12+F13)-F26)/B28</f>
        <v>81.0391447511193</v>
      </c>
      <c r="N9" s="37" t="s">
        <v>29</v>
      </c>
      <c r="P9" s="0" t="s">
        <v>25</v>
      </c>
      <c r="Q9" s="26" t="n">
        <f aca="false">B57*(C57/100)*100</f>
        <v>110.232558139535</v>
      </c>
      <c r="R9" s="31" t="n">
        <f aca="false">Q9/C9</f>
        <v>0.648426812585499</v>
      </c>
    </row>
    <row r="10" customFormat="false" ht="14.25" hidden="false" customHeight="false" outlineLevel="0" collapsed="false">
      <c r="A10" s="0" t="s">
        <v>30</v>
      </c>
      <c r="B10" s="26" t="n">
        <v>5</v>
      </c>
      <c r="C10" s="15" t="n">
        <v>180</v>
      </c>
      <c r="D10" s="26"/>
      <c r="E10" s="0" t="s">
        <v>31</v>
      </c>
      <c r="F10" s="32" t="n">
        <f aca="false">(B8*C8+B9*C9+B10*C10+B11*C11+B12*C12+B13*C13+B14*C14+B16*C16+B17*C17+B18*C18+B19*C19+B20*C20+B23*C23)*0.45</f>
        <v>5418</v>
      </c>
      <c r="G10" s="33" t="n">
        <f aca="false">F10/$B$28</f>
        <v>86</v>
      </c>
      <c r="H10" s="10"/>
      <c r="I10" s="12"/>
      <c r="J10" s="12"/>
      <c r="K10" s="12"/>
      <c r="M10" s="1"/>
      <c r="N10" s="38"/>
      <c r="P10" s="0" t="s">
        <v>30</v>
      </c>
      <c r="Q10" s="26" t="n">
        <f aca="false">B58*(C58/100)*100</f>
        <v>120</v>
      </c>
      <c r="R10" s="31" t="n">
        <f aca="false">Q10/C10</f>
        <v>0.666666666666667</v>
      </c>
    </row>
    <row r="11" customFormat="false" ht="15" hidden="false" customHeight="false" outlineLevel="0" collapsed="false">
      <c r="A11" s="0" t="s">
        <v>32</v>
      </c>
      <c r="B11" s="26" t="n">
        <v>2</v>
      </c>
      <c r="C11" s="15" t="n">
        <v>140</v>
      </c>
      <c r="D11" s="26"/>
      <c r="E11" s="15" t="s">
        <v>33</v>
      </c>
      <c r="F11" s="32" t="n">
        <f aca="false">B28*14</f>
        <v>882</v>
      </c>
      <c r="G11" s="33" t="n">
        <f aca="false">F11/$B$28</f>
        <v>14</v>
      </c>
      <c r="H11" s="10"/>
      <c r="I11" s="12"/>
      <c r="J11" s="12"/>
      <c r="K11" s="12"/>
      <c r="M11" s="39"/>
      <c r="N11" s="38"/>
      <c r="P11" s="0" t="s">
        <v>32</v>
      </c>
      <c r="Q11" s="26" t="n">
        <f aca="false">B59*(C59/100)*100</f>
        <v>72.5</v>
      </c>
      <c r="R11" s="31" t="n">
        <f aca="false">Q11/C11</f>
        <v>0.517857142857143</v>
      </c>
    </row>
    <row r="12" customFormat="false" ht="14.25" hidden="false" customHeight="true" outlineLevel="0" collapsed="false">
      <c r="A12" s="0" t="s">
        <v>34</v>
      </c>
      <c r="B12" s="26" t="n">
        <v>1</v>
      </c>
      <c r="C12" s="15" t="n">
        <v>130</v>
      </c>
      <c r="D12" s="26"/>
      <c r="E12" s="15" t="s">
        <v>35</v>
      </c>
      <c r="F12" s="32" t="n">
        <f aca="false">B28*12</f>
        <v>756</v>
      </c>
      <c r="G12" s="33" t="n">
        <f aca="false">F12/$B$28</f>
        <v>12</v>
      </c>
      <c r="H12" s="10"/>
      <c r="I12" s="11" t="n">
        <v>7</v>
      </c>
      <c r="J12" s="12" t="s">
        <v>36</v>
      </c>
      <c r="K12" s="12" t="s">
        <v>37</v>
      </c>
      <c r="M12" s="40" t="n">
        <f aca="false">((F26*0.5)/(F9+F10))*100</f>
        <v>35.8618516639513</v>
      </c>
      <c r="N12" s="41" t="n">
        <v>42</v>
      </c>
      <c r="O12" s="0" t="s">
        <v>38</v>
      </c>
      <c r="P12" s="0" t="s">
        <v>34</v>
      </c>
      <c r="Q12" s="26" t="n">
        <f aca="false">B60*(C60/100)*100</f>
        <v>86.3488372093024</v>
      </c>
      <c r="R12" s="31" t="n">
        <f aca="false">Q12/C12</f>
        <v>0.664221824686941</v>
      </c>
    </row>
    <row r="13" customFormat="false" ht="14.25" hidden="false" customHeight="false" outlineLevel="0" collapsed="false">
      <c r="A13" s="0" t="s">
        <v>39</v>
      </c>
      <c r="B13" s="26" t="n">
        <v>1</v>
      </c>
      <c r="C13" s="15" t="n">
        <v>190</v>
      </c>
      <c r="D13" s="26"/>
      <c r="E13" s="15" t="s">
        <v>40</v>
      </c>
      <c r="F13" s="32" t="n">
        <f aca="false">B28*1</f>
        <v>63</v>
      </c>
      <c r="G13" s="33" t="n">
        <f aca="false">F13/$B$28</f>
        <v>1</v>
      </c>
      <c r="H13" s="10"/>
      <c r="I13" s="16" t="n">
        <v>8</v>
      </c>
      <c r="J13" s="17" t="s">
        <v>41</v>
      </c>
      <c r="K13" s="17" t="s">
        <v>42</v>
      </c>
      <c r="M13" s="42" t="n">
        <f aca="false">((F26+F27)/(F9+F10))*100</f>
        <v>84.3557843755732</v>
      </c>
      <c r="N13" s="43" t="n">
        <v>50</v>
      </c>
      <c r="P13" s="0" t="s">
        <v>39</v>
      </c>
      <c r="Q13" s="26" t="n">
        <f aca="false">B61*(C61/100)*100</f>
        <v>120</v>
      </c>
      <c r="R13" s="31" t="n">
        <f aca="false">Q13/C13</f>
        <v>0.631578947368421</v>
      </c>
    </row>
    <row r="14" customFormat="false" ht="28.5" hidden="false" customHeight="false" outlineLevel="0" collapsed="false">
      <c r="A14" s="0" t="s">
        <v>43</v>
      </c>
      <c r="B14" s="26" t="n">
        <v>2</v>
      </c>
      <c r="C14" s="15" t="n">
        <v>200</v>
      </c>
      <c r="D14" s="26"/>
      <c r="E14" s="44" t="s">
        <v>44</v>
      </c>
      <c r="F14" s="45"/>
      <c r="G14" s="46"/>
      <c r="H14" s="47"/>
      <c r="I14" s="20" t="n">
        <v>9</v>
      </c>
      <c r="J14" s="21" t="s">
        <v>45</v>
      </c>
      <c r="K14" s="21" t="s">
        <v>46</v>
      </c>
      <c r="M14" s="42" t="n">
        <f aca="false">((F26+F27+F28)/(F9+F10))*100</f>
        <v>127.192246169593</v>
      </c>
      <c r="N14" s="43" t="n">
        <v>50</v>
      </c>
      <c r="P14" s="0" t="s">
        <v>43</v>
      </c>
      <c r="Q14" s="26" t="n">
        <f aca="false">B62*(C62/100)*100</f>
        <v>129.825581395349</v>
      </c>
      <c r="R14" s="31" t="n">
        <f aca="false">Q14/C14</f>
        <v>0.649127906976744</v>
      </c>
    </row>
    <row r="15" customFormat="false" ht="14.25" hidden="false" customHeight="false" outlineLevel="0" collapsed="false">
      <c r="A15" s="0" t="s">
        <v>47</v>
      </c>
      <c r="B15" s="26"/>
      <c r="C15" s="15"/>
      <c r="D15" s="26"/>
      <c r="E15" s="44" t="s">
        <v>48</v>
      </c>
      <c r="F15" s="45"/>
      <c r="G15" s="46"/>
      <c r="H15" s="47"/>
      <c r="I15" s="11" t="n">
        <v>10</v>
      </c>
      <c r="J15" s="12" t="s">
        <v>49</v>
      </c>
      <c r="K15" s="12" t="s">
        <v>50</v>
      </c>
      <c r="M15" s="42" t="n">
        <f aca="false">(F26/(F9+F10+F12))*100</f>
        <v>67.4861978796458</v>
      </c>
      <c r="N15" s="48" t="n">
        <v>68</v>
      </c>
      <c r="O15" s="0" t="s">
        <v>51</v>
      </c>
      <c r="P15" s="0" t="s">
        <v>47</v>
      </c>
      <c r="Q15" s="26"/>
      <c r="R15" s="31"/>
    </row>
    <row r="16" customFormat="false" ht="14.25" hidden="false" customHeight="false" outlineLevel="0" collapsed="false">
      <c r="A16" s="0" t="s">
        <v>52</v>
      </c>
      <c r="B16" s="26" t="n">
        <v>1</v>
      </c>
      <c r="C16" s="15" t="n">
        <v>180</v>
      </c>
      <c r="D16" s="26"/>
      <c r="E16" s="44" t="s">
        <v>53</v>
      </c>
      <c r="F16" s="45"/>
      <c r="G16" s="46"/>
      <c r="H16" s="47"/>
      <c r="I16" s="20" t="n">
        <v>11</v>
      </c>
      <c r="J16" s="21" t="s">
        <v>54</v>
      </c>
      <c r="K16" s="21" t="s">
        <v>55</v>
      </c>
      <c r="M16" s="42" t="n">
        <f aca="false">(F26/(F9+F10+F11+F12))*100</f>
        <v>63.1344778526063</v>
      </c>
      <c r="N16" s="43" t="n">
        <v>47</v>
      </c>
      <c r="O16" s="0" t="s">
        <v>51</v>
      </c>
      <c r="P16" s="0" t="s">
        <v>52</v>
      </c>
      <c r="Q16" s="26" t="n">
        <f aca="false">B64*(C64/100)*100</f>
        <v>157.5</v>
      </c>
      <c r="R16" s="31" t="n">
        <f aca="false">Q16/C16</f>
        <v>0.875</v>
      </c>
    </row>
    <row r="17" customFormat="false" ht="57.75" hidden="false" customHeight="false" outlineLevel="0" collapsed="false">
      <c r="A17" s="0" t="s">
        <v>56</v>
      </c>
      <c r="B17" s="26" t="n">
        <v>2</v>
      </c>
      <c r="C17" s="15" t="n">
        <v>170</v>
      </c>
      <c r="D17" s="26"/>
      <c r="E17" s="44" t="s">
        <v>57</v>
      </c>
      <c r="F17" s="45"/>
      <c r="G17" s="46"/>
      <c r="H17" s="47"/>
      <c r="I17" s="20" t="n">
        <v>12</v>
      </c>
      <c r="J17" s="21" t="s">
        <v>58</v>
      </c>
      <c r="K17" s="21" t="s">
        <v>59</v>
      </c>
      <c r="M17" s="42" t="n">
        <f aca="false">((F26+F43)/(F9+F10+F11+F12))*100</f>
        <v>65.0007836426781</v>
      </c>
      <c r="N17" s="48" t="n">
        <v>63</v>
      </c>
      <c r="O17" s="0" t="s">
        <v>51</v>
      </c>
      <c r="P17" s="0" t="s">
        <v>56</v>
      </c>
      <c r="Q17" s="26" t="n">
        <f aca="false">B65*(C65/100)*100</f>
        <v>117.391304347826</v>
      </c>
      <c r="R17" s="31" t="n">
        <f aca="false">Q17/C17</f>
        <v>0.690537084398977</v>
      </c>
    </row>
    <row r="18" customFormat="false" ht="57.75" hidden="false" customHeight="false" outlineLevel="0" collapsed="false">
      <c r="A18" s="0" t="s">
        <v>60</v>
      </c>
      <c r="B18" s="26" t="n">
        <v>9</v>
      </c>
      <c r="C18" s="15" t="n">
        <v>200</v>
      </c>
      <c r="D18" s="26"/>
      <c r="E18" s="44" t="s">
        <v>61</v>
      </c>
      <c r="F18" s="45"/>
      <c r="G18" s="46"/>
      <c r="H18" s="47"/>
      <c r="I18" s="11" t="n">
        <v>13</v>
      </c>
      <c r="J18" s="12" t="s">
        <v>62</v>
      </c>
      <c r="K18" s="12" t="s">
        <v>63</v>
      </c>
      <c r="M18" s="42" t="n">
        <f aca="false">(F26/(F9*0.98+F10+F11+F12+F13-F43))*100</f>
        <v>64.6697257278067</v>
      </c>
      <c r="N18" s="43" t="n">
        <v>32</v>
      </c>
      <c r="O18" s="0" t="s">
        <v>51</v>
      </c>
      <c r="P18" s="0" t="s">
        <v>60</v>
      </c>
      <c r="Q18" s="26" t="n">
        <f aca="false">B66*(C66/100)*100</f>
        <v>157.5</v>
      </c>
      <c r="R18" s="31" t="n">
        <f aca="false">Q18/C18</f>
        <v>0.7875</v>
      </c>
    </row>
    <row r="19" customFormat="false" ht="57.75" hidden="false" customHeight="false" outlineLevel="0" collapsed="false">
      <c r="A19" s="0" t="s">
        <v>64</v>
      </c>
      <c r="B19" s="26" t="n">
        <v>4</v>
      </c>
      <c r="C19" s="15" t="n">
        <v>200</v>
      </c>
      <c r="D19" s="26"/>
      <c r="E19" s="44" t="s">
        <v>65</v>
      </c>
      <c r="F19" s="45"/>
      <c r="G19" s="46"/>
      <c r="H19" s="47"/>
      <c r="I19" s="20" t="n">
        <v>14</v>
      </c>
      <c r="J19" s="21" t="s">
        <v>66</v>
      </c>
      <c r="K19" s="21" t="s">
        <v>67</v>
      </c>
      <c r="M19" s="42" t="n">
        <f aca="false">((F26+F27+F28+F43)/(F9+F10+F11+F12))*100</f>
        <v>113.826727188076</v>
      </c>
      <c r="N19" s="43" t="n">
        <v>50</v>
      </c>
      <c r="P19" s="0" t="s">
        <v>64</v>
      </c>
      <c r="Q19" s="26" t="n">
        <f aca="false">B67*(C67/100)*100</f>
        <v>130.549450549451</v>
      </c>
      <c r="R19" s="31" t="n">
        <f aca="false">Q19/C19</f>
        <v>0.652747252747253</v>
      </c>
    </row>
    <row r="20" customFormat="false" ht="15" hidden="false" customHeight="false" outlineLevel="0" collapsed="false">
      <c r="A20" s="0" t="s">
        <v>68</v>
      </c>
      <c r="B20" s="26" t="n">
        <v>1</v>
      </c>
      <c r="C20" s="15" t="n">
        <v>120</v>
      </c>
      <c r="D20" s="26"/>
      <c r="E20" s="49" t="s">
        <v>69</v>
      </c>
      <c r="F20" s="45"/>
      <c r="G20" s="46"/>
      <c r="H20" s="47"/>
      <c r="I20" s="11" t="n">
        <v>15</v>
      </c>
      <c r="J20" s="12" t="s">
        <v>70</v>
      </c>
      <c r="K20" s="12" t="s">
        <v>71</v>
      </c>
      <c r="M20" s="50" t="n">
        <f aca="false">(F26/(F9+F10))*100</f>
        <v>71.7237033279027</v>
      </c>
      <c r="N20" s="51"/>
      <c r="O20" s="0" t="s">
        <v>51</v>
      </c>
      <c r="P20" s="0" t="s">
        <v>68</v>
      </c>
      <c r="Q20" s="26" t="n">
        <f aca="false">B68*(C68/100)*100</f>
        <v>86.043956043956</v>
      </c>
      <c r="R20" s="31" t="n">
        <f aca="false">Q20/C20</f>
        <v>0.717032967032967</v>
      </c>
    </row>
    <row r="21" customFormat="false" ht="14.25" hidden="false" customHeight="false" outlineLevel="0" collapsed="false">
      <c r="A21" s="0" t="s">
        <v>72</v>
      </c>
      <c r="B21" s="26" t="n">
        <v>1</v>
      </c>
      <c r="C21" s="15" t="n">
        <v>0</v>
      </c>
      <c r="D21" s="26"/>
      <c r="E21" s="15"/>
      <c r="F21" s="45"/>
      <c r="G21" s="46"/>
      <c r="H21" s="1"/>
      <c r="I21" s="12"/>
      <c r="J21" s="12"/>
      <c r="K21" s="12"/>
      <c r="M21" s="1"/>
      <c r="N21" s="38"/>
      <c r="P21" s="0" t="s">
        <v>72</v>
      </c>
      <c r="Q21" s="26" t="n">
        <f aca="false">B69*(C69/100)*100</f>
        <v>134.302325581395</v>
      </c>
      <c r="R21" s="31"/>
    </row>
    <row r="22" customFormat="false" ht="15" hidden="false" customHeight="false" outlineLevel="0" collapsed="false">
      <c r="A22" s="0" t="s">
        <v>73</v>
      </c>
      <c r="B22" s="26"/>
      <c r="C22" s="15"/>
      <c r="D22" s="26"/>
      <c r="E22" s="1" t="s">
        <v>74</v>
      </c>
      <c r="F22" s="45" t="n">
        <f aca="false">SUM(F9:F20)</f>
        <v>13741</v>
      </c>
      <c r="G22" s="46" t="n">
        <f aca="false">SUM(G9:G20)</f>
        <v>218.111111111111</v>
      </c>
      <c r="H22" s="1"/>
      <c r="I22" s="12"/>
      <c r="J22" s="12"/>
      <c r="K22" s="12"/>
      <c r="M22" s="1"/>
      <c r="N22" s="38"/>
      <c r="P22" s="0" t="s">
        <v>73</v>
      </c>
      <c r="Q22" s="26"/>
      <c r="R22" s="31"/>
    </row>
    <row r="23" customFormat="false" ht="28.5" hidden="false" customHeight="false" outlineLevel="0" collapsed="false">
      <c r="A23" s="0" t="s">
        <v>75</v>
      </c>
      <c r="B23" s="26" t="n">
        <v>20</v>
      </c>
      <c r="C23" s="15" t="n">
        <v>190</v>
      </c>
      <c r="D23" s="26"/>
      <c r="G23" s="4"/>
      <c r="H23" s="52"/>
      <c r="I23" s="11" t="n">
        <v>16</v>
      </c>
      <c r="J23" s="53" t="s">
        <v>76</v>
      </c>
      <c r="K23" s="12" t="s">
        <v>77</v>
      </c>
      <c r="M23" s="54" t="n">
        <f aca="false">(F26/(F26+F27))*100</f>
        <v>85.0252343201157</v>
      </c>
      <c r="N23" s="55"/>
      <c r="P23" s="0" t="s">
        <v>75</v>
      </c>
      <c r="Q23" s="26" t="n">
        <f aca="false">B71*(C71/100)*100</f>
        <v>145.454545454545</v>
      </c>
      <c r="R23" s="31" t="n">
        <f aca="false">Q23/C23</f>
        <v>0.76555023923445</v>
      </c>
    </row>
    <row r="24" customFormat="false" ht="28.5" hidden="false" customHeight="false" outlineLevel="0" collapsed="false">
      <c r="A24" s="0" t="s">
        <v>78</v>
      </c>
      <c r="B24" s="32"/>
      <c r="D24" s="32"/>
      <c r="G24" s="4"/>
      <c r="H24" s="52"/>
      <c r="I24" s="20" t="n">
        <v>17</v>
      </c>
      <c r="J24" s="21" t="s">
        <v>79</v>
      </c>
      <c r="K24" s="21" t="s">
        <v>80</v>
      </c>
      <c r="M24" s="56" t="n">
        <f aca="false">(F26/(F26+F27+F28))*100</f>
        <v>56.3899966294086</v>
      </c>
      <c r="N24" s="57"/>
      <c r="O24" s="15"/>
    </row>
    <row r="25" customFormat="false" ht="28.5" hidden="false" customHeight="false" outlineLevel="0" collapsed="false">
      <c r="A25" s="0" t="s">
        <v>81</v>
      </c>
      <c r="B25" s="32"/>
      <c r="D25" s="32"/>
      <c r="E25" s="58" t="s">
        <v>82</v>
      </c>
      <c r="F25" s="32"/>
      <c r="G25" s="33"/>
      <c r="H25" s="52"/>
      <c r="I25" s="20" t="n">
        <v>18</v>
      </c>
      <c r="J25" s="59" t="s">
        <v>83</v>
      </c>
      <c r="K25" s="21" t="s">
        <v>84</v>
      </c>
      <c r="M25" s="56" t="n">
        <f aca="false">((F26+F27)/(F26+F27+F28))*100</f>
        <v>66.3214833576384</v>
      </c>
      <c r="N25" s="57"/>
      <c r="O25" s="15"/>
    </row>
    <row r="26" customFormat="false" ht="14.25" hidden="false" customHeight="true" outlineLevel="0" collapsed="false">
      <c r="A26" s="0" t="s">
        <v>85</v>
      </c>
      <c r="B26" s="32"/>
      <c r="D26" s="32"/>
      <c r="E26" s="1" t="s">
        <v>86</v>
      </c>
      <c r="F26" s="32" t="n">
        <f aca="false">(B8*B56*100*C56/100)+(B9*B57*100*C57/100)+(B10*B58*100*C58/100)+(B11*B59*100*C59/100)+(B12*B60*100*C60/100)+(B13*B61*100*C61/100)+(B14*B62*100*C62/100)+(B15*B63*100*C63/100)+(B16*B64*100*C64/100)+(B17*B65*100*C65/100)+(B18*B66*100*C66/100)+(B19*B67*100*C67/100)+(B20*B68*100*C68/100)+(B21*B69*100*C69/100)+(B22*B70*100*C70/100)+(B23*B71*100*C71/100)+(B24*B72*100*C72/100)+(B25*B73*100*C73/100)+(B26*B74*100*C74/100)</f>
        <v>8635.53388067948</v>
      </c>
      <c r="G26" s="33" t="n">
        <f aca="false">F26/$B$28</f>
        <v>137.071966359992</v>
      </c>
      <c r="H26" s="52"/>
      <c r="I26" s="11" t="n">
        <v>19</v>
      </c>
      <c r="J26" s="12" t="s">
        <v>87</v>
      </c>
      <c r="K26" s="12" t="s">
        <v>88</v>
      </c>
      <c r="M26" s="60" t="n">
        <f aca="false">(F26+F27)/B28/10</f>
        <v>16.1213276806651</v>
      </c>
      <c r="N26" s="61"/>
      <c r="O26" s="15"/>
    </row>
    <row r="27" customFormat="false" ht="14.25" hidden="false" customHeight="false" outlineLevel="0" collapsed="false">
      <c r="B27" s="32"/>
      <c r="D27" s="32"/>
      <c r="E27" s="1" t="s">
        <v>89</v>
      </c>
      <c r="F27" s="32" t="n">
        <f aca="false">(B56*B8*100*$D$56*$E$56/100)+(B57*B9*100*$D$57*$E$57/100)+(B58*B10*100*$D$58*$E$58/100)+(B59*B11*100*$D$59*$E$59/100)+(B60*B12*100*$D$60*$E$60/100)+(B61*B13*100*$D$61*$E$61/100)+(B62*B14*100*$D$62*$E$62/100)+(B63*B15*100*$D$63*$E$63/100)+(B64*B16*100*$D$64*$E$64/100)+(B65*B17*100*$D$65*$E$65/100)+(B66*B18*100*$D$66*$E$66/100)+(B67*B19*100*$D$67*$E$67/100)+(B68*B20*100*$D$68*$E$68/100)+(B69*B21*100*$D$69*$E$69/100)+(B70*B22*100*$D$70*$E$70/100)+(B71*B23*100*$D$71*$E$71/100)+(B72*B24*100*$D$72*$E$72/100)+(B73*B25*100*$D$73*$E$73/100)+(B74*B26*100*$D$74*$E$74/100)</f>
        <v>1520.90255813954</v>
      </c>
      <c r="G27" s="33" t="n">
        <f aca="false">F27/$B$28</f>
        <v>24.1413104466593</v>
      </c>
      <c r="H27" s="1"/>
      <c r="I27" s="12"/>
      <c r="J27" s="12"/>
      <c r="K27" s="12"/>
      <c r="M27" s="1"/>
      <c r="N27" s="38"/>
      <c r="O27" s="15"/>
    </row>
    <row r="28" customFormat="false" ht="15" hidden="false" customHeight="false" outlineLevel="0" collapsed="false">
      <c r="A28" s="27" t="s">
        <v>90</v>
      </c>
      <c r="B28" s="62" t="n">
        <f aca="false">SUM(B8:B26)</f>
        <v>63</v>
      </c>
      <c r="D28" s="32"/>
      <c r="E28" s="1" t="s">
        <v>91</v>
      </c>
      <c r="F28" s="32" t="n">
        <f aca="false">(((B56*B8+B56*B8*$D$56)*100)*$F$56*$G$56/100)+(((B57*B9+B57*B9*$D$57)*100)*$F$57*$G$57/100)+(((B58*B10+B58*B10*$D$58)*100)*$F$58*$G$58/100)+(((B59*B11+B59*B11*$D$59)*100)*$F$59*$G$59/100)+(((B60*B12+B60*B12*$D$60)*100)*$F$60*$G$60/100)+(((B61*B13+B61*B13*$D$61)*100)*$F$61*$G$61/100)+(((B62*B14+B62*B14*$D$62)*100)*$F$62*$G$62/100)+(((B63*B15+B63*B15*$D$63)*100)*$F$63*$G$63/100)+(((B64*B16+B64*B16*$D$64)*100)*$F$64*$G$64/100)+(((B65*B17+B65*B17*$D$65)*100)*$F$65*$G$65/100)+(((B66*B18+B66*B18*$D$66)*100)*$F$66*$G$66/100)+(((B67*B19+B67*B19*$D$67)*100)*$F$67*$G$67/100)+(((B68*B20+B68*B20*$D$68)*100)*$F$68*$G$68/100)+(((B69*B21+B69*B21*$D$69)*100)*$F$69*$G$69/100)+(((B70*B22+B70*B22*$D$70)*100)*$F$70*$G$70/100)+(((B71*B23+B71*B23*$D$71)*100)*$F$71*$G$71/100)+(((B72*B24+B72*B24*$D$72)*100)*$F$72*$G$72/100)+(((B73*B25+B73*B25*$D$73)*100)*$F$73*$G$73/100)+(((B74*B26+B74*B26*$D$74)*100)*$F$74*$G$74/100)</f>
        <v>5157.51</v>
      </c>
      <c r="G28" s="33" t="n">
        <f aca="false">F28/$B$28</f>
        <v>81.8652380952381</v>
      </c>
      <c r="H28" s="1"/>
      <c r="I28" s="12"/>
      <c r="J28" s="12"/>
      <c r="K28" s="12"/>
      <c r="M28" s="1"/>
      <c r="N28" s="38"/>
      <c r="O28" s="15"/>
    </row>
    <row r="29" customFormat="false" ht="57.75" hidden="false" customHeight="false" outlineLevel="0" collapsed="false">
      <c r="E29" s="1" t="s">
        <v>92</v>
      </c>
      <c r="F29" s="32" t="n">
        <f aca="false">(B8*B79*100*C79/100)+(B9*B80*100*C80/100)+(B10*B81*100*C81/100)+(B11*B82*100*C82/100)+(B12*B83*100*C83/100)+(B13*B84*100*C84/100)+(B14*B85*100*C85/100)+(B15*B86*100*C86/100)+(B16*B87*100*C87/100)+(B17*B88*100*C88/100)+(B18*B89*100*C89/100)+(B19*B90*100*C90/100)+(B20*B91*100*C91/100)+(B21*B92*100*C92/100)+(B22*B93*100*C93/100)+(B23*B94*100*C94/100)+(B24*B95*100*C95/100)+(B25*B96*100*C96/100)+(B26*B97*100*C97/100)</f>
        <v>4857.48780788221</v>
      </c>
      <c r="G29" s="33"/>
      <c r="H29" s="52"/>
      <c r="I29" s="11" t="n">
        <v>20</v>
      </c>
      <c r="J29" s="12" t="s">
        <v>93</v>
      </c>
      <c r="K29" s="12" t="s">
        <v>94</v>
      </c>
      <c r="M29" s="54" t="n">
        <f aca="false">F46/(F9+F10)</f>
        <v>40.9385382059801</v>
      </c>
      <c r="N29" s="63" t="s">
        <v>95</v>
      </c>
      <c r="O29" s="15"/>
    </row>
    <row r="30" customFormat="false" ht="29.25" hidden="false" customHeight="true" outlineLevel="0" collapsed="false">
      <c r="E30" s="1" t="s">
        <v>96</v>
      </c>
      <c r="F30" s="32" t="n">
        <f aca="false">(B79*B8*100*$D$79*$E$79/100)+(B80*B9*100*$D$80*$E$80/100)+(B81*B10*100*$D$81*$E$81/100)+(B82*B11*100*$D$82*$E$82/100)+(B83*B12*100*$D$83*$E$83/100)+(B84*B13*100*$D$84*$E$84/100)+(B85*B14*100*$D$85*$E$85/100)+(B86*B15*100*$D$86*$E$86/100)+(B87*B16*100*$D$87*$E$87/100)+(B88*B17*100*$D$88*$E$88/100)+(B89*B18*100*$D$89*$E$89/100)+(B90*B19*100*$D$90*$E$90/100)+(B91*B20*100*$D$91*$E$91/100)+(B92*B21*100*$D$92*$E$92/100)+(B93*B22*100*$D$93*$E$93/100)+(B94*B23*100*$D$94*$E$94/100)+(B95*B24*100*$D$95*$E$95/100)+(B96*B25*100*$D$96*$E$96/100)+(B97*B26*100*$D$97*$E$97/100)</f>
        <v>1026.60922674419</v>
      </c>
      <c r="G30" s="33"/>
      <c r="H30" s="52"/>
      <c r="I30" s="20" t="n">
        <v>21</v>
      </c>
      <c r="J30" s="59" t="s">
        <v>83</v>
      </c>
      <c r="K30" s="21" t="s">
        <v>97</v>
      </c>
      <c r="M30" s="60" t="n">
        <f aca="false">(F46+F47+F48)/(F9+F10)</f>
        <v>101.451910299003</v>
      </c>
      <c r="N30" s="61"/>
      <c r="O30" s="15"/>
    </row>
    <row r="31" customFormat="false" ht="14.25" hidden="false" customHeight="false" outlineLevel="0" collapsed="false">
      <c r="E31" s="1" t="s">
        <v>98</v>
      </c>
      <c r="F31" s="32" t="n">
        <f aca="false">(((B79*B8+B79*B8*$D$79)*100)*$F$79*$G$79/100)+(((B80*B9+B80*B9*$D$80)*100)*$F$80*$G$80/100)+(((B81*B10+B81*B10*$D$81)*100)*$F$81*$G$81/100)+(((B82*B11+B82*B11*$D$82)*100)*$F$82*$G$82/100)+(((B83*B12+B83*B12*$D$83)*100)*$F$83*$G$83/100)+(((B84*B13+B84*B13*$D$84)*100)*$F$84*$G$84/100)+(((B85*B14+B85*B14*$D$85)*100)*$F$85*$G$85/100)+(((B86*B15+B86*B15*$D$86)*100)*$F$86*$G$86/100)+(((B87*B16+B87*B16*$D$87)*100)*$F$87*$G$87/100)+(((B88*B17+B88*B17*$D$88)*100)*$F$88*$G$88/100)+(((B89*B18+B89*B18*$D$89)*100)*$F$89*$G$89/100)+(((B90*B19+B90*B19*$D$90)*100)*$F$90*$G$90/100)+(((B91*B20+B91*B20*$D$91)*100)*$F$91*$G$91/100)+(((B92*B21+B92*B21*$D$92)*100)*$F$92*$G$92/100)+(((B93*B22+B93*B22*$D$93)*100)*$F$93*$G$93/100)+(((B94*B23+B94*B23*$D$94)*100)*$F$94*$G$94/100)+(((B95*B24+B95*B24*$D$95)*100)*$F$95*$G$95/100)+(((B96*B25+B96*B25*$D$96)*100)*$F$96*$G$96/100)+(((B97*B26+B97*B26*$D$97)*100)*$F$97*$G$97/100)</f>
        <v>3587.46975</v>
      </c>
      <c r="G31" s="33"/>
      <c r="H31" s="1"/>
      <c r="I31" s="12"/>
      <c r="J31" s="12"/>
      <c r="K31" s="12"/>
      <c r="M31" s="1"/>
      <c r="N31" s="64"/>
      <c r="O31" s="15"/>
    </row>
    <row r="32" customFormat="false" ht="15" hidden="false" customHeight="false" outlineLevel="0" collapsed="false">
      <c r="E32" s="65" t="s">
        <v>99</v>
      </c>
      <c r="F32" s="32" t="n">
        <f aca="false">(F22-F26)*0.2</f>
        <v>1021.0932238641</v>
      </c>
      <c r="G32" s="33" t="n">
        <f aca="false">F32/$B$28</f>
        <v>16.2078289502239</v>
      </c>
      <c r="H32" s="1"/>
      <c r="I32" s="12"/>
      <c r="J32" s="12"/>
      <c r="K32" s="12"/>
      <c r="M32" s="1"/>
      <c r="N32" s="38"/>
      <c r="O32" s="15"/>
    </row>
    <row r="33" customFormat="false" ht="28.5" hidden="false" customHeight="false" outlineLevel="0" collapsed="false">
      <c r="E33" s="65" t="s">
        <v>100</v>
      </c>
      <c r="F33" s="32" t="n">
        <f aca="false">(F22-F26)*0.4</f>
        <v>2042.18644772821</v>
      </c>
      <c r="G33" s="33" t="n">
        <f aca="false">F33/$B$28</f>
        <v>32.4156579004477</v>
      </c>
      <c r="H33" s="52"/>
      <c r="I33" s="11" t="n">
        <v>22</v>
      </c>
      <c r="J33" s="53" t="s">
        <v>101</v>
      </c>
      <c r="K33" s="12" t="s">
        <v>102</v>
      </c>
      <c r="M33" s="54" t="n">
        <f aca="false">F46/F26</f>
        <v>57.0781154715609</v>
      </c>
      <c r="N33" s="55"/>
      <c r="O33" s="15"/>
    </row>
    <row r="34" customFormat="false" ht="28.5" hidden="false" customHeight="false" outlineLevel="0" collapsed="false">
      <c r="E34" s="39" t="s">
        <v>103</v>
      </c>
      <c r="F34" s="32" t="n">
        <f aca="false">(F22-F26)*0.35</f>
        <v>1786.91314176218</v>
      </c>
      <c r="G34" s="33" t="n">
        <f aca="false">F34/$B$28</f>
        <v>28.3637006628918</v>
      </c>
      <c r="H34" s="52"/>
      <c r="I34" s="20" t="n">
        <v>23</v>
      </c>
      <c r="J34" s="21" t="s">
        <v>41</v>
      </c>
      <c r="K34" s="21" t="s">
        <v>104</v>
      </c>
      <c r="M34" s="56" t="n">
        <f aca="false">F46/(F26+F27)</f>
        <v>48.5308014252009</v>
      </c>
      <c r="N34" s="57"/>
      <c r="O34" s="15"/>
    </row>
    <row r="35" customFormat="false" ht="28.5" hidden="false" customHeight="false" outlineLevel="0" collapsed="false">
      <c r="E35" s="49" t="s">
        <v>105</v>
      </c>
      <c r="F35" s="45"/>
      <c r="G35" s="46"/>
      <c r="H35" s="52"/>
      <c r="I35" s="20" t="n">
        <v>24</v>
      </c>
      <c r="J35" s="21" t="s">
        <v>45</v>
      </c>
      <c r="K35" s="21" t="s">
        <v>106</v>
      </c>
      <c r="M35" s="56" t="n">
        <f aca="false">F46/(F26+F27+F28)</f>
        <v>32.1863473905432</v>
      </c>
      <c r="N35" s="57"/>
      <c r="O35" s="15"/>
    </row>
    <row r="36" customFormat="false" ht="28.5" hidden="false" customHeight="false" outlineLevel="0" collapsed="false">
      <c r="E36" s="44" t="s">
        <v>107</v>
      </c>
      <c r="F36" s="45"/>
      <c r="G36" s="46"/>
      <c r="H36" s="52"/>
      <c r="I36" s="20" t="n">
        <v>25</v>
      </c>
      <c r="J36" s="21" t="s">
        <v>108</v>
      </c>
      <c r="K36" s="21" t="s">
        <v>109</v>
      </c>
      <c r="M36" s="56" t="n">
        <f aca="false">(F46+F47)/(F26+F27)</f>
        <v>69.6100452416368</v>
      </c>
      <c r="N36" s="57"/>
      <c r="O36" s="15"/>
    </row>
    <row r="37" customFormat="false" ht="43.5" hidden="false" customHeight="false" outlineLevel="0" collapsed="false">
      <c r="E37" s="44" t="s">
        <v>110</v>
      </c>
      <c r="F37" s="45"/>
      <c r="G37" s="46"/>
      <c r="H37" s="52"/>
      <c r="I37" s="11" t="n">
        <v>26</v>
      </c>
      <c r="J37" s="12" t="s">
        <v>83</v>
      </c>
      <c r="K37" s="12" t="s">
        <v>111</v>
      </c>
      <c r="M37" s="60" t="n">
        <f aca="false">(F46+F47+F48)/(F26+F27+F28)</f>
        <v>79.7626532703348</v>
      </c>
      <c r="N37" s="61"/>
      <c r="O37" s="15"/>
    </row>
    <row r="38" customFormat="false" ht="14.25" hidden="false" customHeight="false" outlineLevel="0" collapsed="false">
      <c r="E38" s="49" t="s">
        <v>112</v>
      </c>
      <c r="F38" s="45"/>
      <c r="G38" s="46"/>
      <c r="H38" s="1"/>
      <c r="I38" s="12"/>
      <c r="J38" s="12"/>
      <c r="K38" s="12"/>
      <c r="M38" s="1"/>
      <c r="N38" s="38"/>
      <c r="O38" s="15"/>
    </row>
    <row r="39" customFormat="false" ht="15" hidden="false" customHeight="false" outlineLevel="0" collapsed="false">
      <c r="E39" s="49" t="s">
        <v>113</v>
      </c>
      <c r="F39" s="45"/>
      <c r="G39" s="46"/>
      <c r="H39" s="1"/>
      <c r="I39" s="12"/>
      <c r="J39" s="12"/>
      <c r="K39" s="12"/>
      <c r="M39" s="66"/>
      <c r="N39" s="38"/>
      <c r="O39" s="15"/>
    </row>
    <row r="40" customFormat="false" ht="28.5" hidden="false" customHeight="false" outlineLevel="0" collapsed="false">
      <c r="E40" s="1"/>
      <c r="F40" s="45"/>
      <c r="G40" s="46"/>
      <c r="H40" s="52"/>
      <c r="I40" s="11" t="n">
        <v>27</v>
      </c>
      <c r="J40" s="12" t="s">
        <v>114</v>
      </c>
      <c r="K40" s="12" t="s">
        <v>115</v>
      </c>
      <c r="M40" s="40" t="n">
        <f aca="false">(F26-F29)/(F9+F10)*100</f>
        <v>31.3791202059574</v>
      </c>
      <c r="N40" s="55"/>
      <c r="O40" s="15" t="s">
        <v>116</v>
      </c>
    </row>
    <row r="41" customFormat="false" ht="84" hidden="false" customHeight="true" outlineLevel="0" collapsed="false">
      <c r="E41" s="15" t="s">
        <v>74</v>
      </c>
      <c r="F41" s="45" t="n">
        <f aca="false">SUM(F26,F32:F39)</f>
        <v>13485.726694034</v>
      </c>
      <c r="G41" s="33" t="n">
        <f aca="false">F41/$B$28</f>
        <v>214.059153873555</v>
      </c>
      <c r="H41" s="52"/>
      <c r="I41" s="20" t="n">
        <v>28</v>
      </c>
      <c r="J41" s="21" t="s">
        <v>117</v>
      </c>
      <c r="K41" s="21" t="s">
        <v>118</v>
      </c>
      <c r="M41" s="56" t="n">
        <f aca="false">(((F26+F27)-(F29+F30))/(F9+F10))*100</f>
        <v>35.4845465464503</v>
      </c>
      <c r="N41" s="67" t="s">
        <v>119</v>
      </c>
      <c r="O41" s="15"/>
    </row>
    <row r="42" customFormat="false" ht="44.25" hidden="false" customHeight="true" outlineLevel="0" collapsed="false">
      <c r="F42" s="45"/>
      <c r="G42" s="46"/>
      <c r="H42" s="52"/>
      <c r="I42" s="20" t="s">
        <v>120</v>
      </c>
      <c r="J42" s="21" t="s">
        <v>66</v>
      </c>
      <c r="K42" s="21" t="s">
        <v>121</v>
      </c>
      <c r="M42" s="56" t="n">
        <f aca="false">(((F26+F27+F43)-(F29+F30))/(F9+F10))*100</f>
        <v>37.6047567288924</v>
      </c>
      <c r="N42" s="57"/>
      <c r="O42" s="15"/>
    </row>
    <row r="43" customFormat="false" ht="43.5" hidden="false" customHeight="false" outlineLevel="0" collapsed="false">
      <c r="E43" s="39" t="s">
        <v>122</v>
      </c>
      <c r="F43" s="45" t="n">
        <f aca="false">(F22-F26)*0.05</f>
        <v>255.273305966026</v>
      </c>
      <c r="G43" s="33" t="n">
        <f aca="false">F43/$B$28</f>
        <v>4.05195723755597</v>
      </c>
      <c r="H43" s="52"/>
      <c r="I43" s="11" t="n">
        <v>30</v>
      </c>
      <c r="J43" s="12" t="s">
        <v>123</v>
      </c>
      <c r="K43" s="12" t="s">
        <v>124</v>
      </c>
      <c r="M43" s="56" t="n">
        <f aca="false">(((F26+F27+F28)-(F29+F30+F31))/(F9+F10))*100</f>
        <v>48.5247479584105</v>
      </c>
      <c r="N43" s="57"/>
      <c r="O43" s="15"/>
    </row>
    <row r="44" customFormat="false" ht="57.75" hidden="false" customHeight="false" outlineLevel="0" collapsed="false">
      <c r="G44" s="4"/>
      <c r="H44" s="52"/>
      <c r="I44" s="20" t="n">
        <v>31</v>
      </c>
      <c r="J44" s="21" t="s">
        <v>125</v>
      </c>
      <c r="K44" s="21" t="s">
        <v>126</v>
      </c>
      <c r="M44" s="68" t="n">
        <f aca="false">(F46-F49)/(F9+F10)</f>
        <v>10.234634551495</v>
      </c>
      <c r="N44" s="69" t="s">
        <v>127</v>
      </c>
      <c r="O44" s="70" t="s">
        <v>128</v>
      </c>
    </row>
    <row r="45" customFormat="false" ht="28.5" hidden="false" customHeight="false" outlineLevel="0" collapsed="false">
      <c r="E45" s="71" t="s">
        <v>129</v>
      </c>
      <c r="F45" s="45"/>
      <c r="G45" s="46"/>
      <c r="H45" s="52"/>
      <c r="I45" s="20" t="s">
        <v>130</v>
      </c>
      <c r="J45" s="12" t="s">
        <v>131</v>
      </c>
      <c r="K45" s="12" t="s">
        <v>132</v>
      </c>
      <c r="M45" s="56" t="n">
        <f aca="false">(((F46+F47)-(F49+F50))/(F9+F10))</f>
        <v>12.0127906976744</v>
      </c>
      <c r="N45" s="57"/>
      <c r="O45" s="15"/>
    </row>
    <row r="46" customFormat="false" ht="57.75" hidden="false" customHeight="false" outlineLevel="0" collapsed="false">
      <c r="C46" s="72"/>
      <c r="E46" s="1" t="s">
        <v>86</v>
      </c>
      <c r="F46" s="32" t="n">
        <f aca="false">(B56*B8*100)+(B57*B9*100)+(B58*B10*100)+(B59*B11*100)+(B60*B12*100)+(B61*B13*100)+(B62*B14*100)+(B63*B15*100)+(B64*B16*100)+(B65*B17*100)+(B66*B18*100)+(B67*B19*100)+(B68*B20*100)+(B69*B21*100)+(B70*B22*100)+(B71*B23*100)+(B72*B24*100)+(B73*B25*100)+(B74*B26*100)</f>
        <v>492900</v>
      </c>
      <c r="G46" s="33" t="n">
        <f aca="false">F46/$B$28</f>
        <v>7823.80952380952</v>
      </c>
      <c r="H46" s="52"/>
      <c r="I46" s="20" t="n">
        <v>33</v>
      </c>
      <c r="J46" s="21" t="s">
        <v>133</v>
      </c>
      <c r="K46" s="21" t="s">
        <v>134</v>
      </c>
      <c r="M46" s="56" t="n">
        <f aca="false">(F46-F49)/((F26+F27)-(F29+F30))</f>
        <v>28.8425118751273</v>
      </c>
      <c r="N46" s="30" t="n">
        <v>63</v>
      </c>
      <c r="O46" s="15"/>
    </row>
    <row r="47" customFormat="false" ht="43.5" hidden="false" customHeight="false" outlineLevel="0" collapsed="false">
      <c r="E47" s="1" t="s">
        <v>89</v>
      </c>
      <c r="F47" s="45" t="n">
        <f aca="false">(B56*B8*100*$D$56)+(B57*B9*100*$D$57)+(B58*B10*100*$D$58)+(B59*B11*100*$D$59)+(B60*B12*100*$D$60)+(B61*B13*100*$D$61)+(B62*B14*100*$D$62)+(B63*B15*100*$D$63)+(B64*B16*100*$D$64)+(B65*B17*100*$D$65)+(B66*B18*100*$D$66)+(B67*B19*100*$D$67)+(B68*B20*100*$D$68)+(B69*B21*100*$D$69)+(B70*B22*100*$D$70)+(B71*B23*100*$D$71)+(B72*B24*100*$D$72)+(B73*B25*100*$D$73)+(B74*B26*100*$D$74)</f>
        <v>214090</v>
      </c>
      <c r="G47" s="33" t="n">
        <f aca="false">F47/$B$28</f>
        <v>3398.25396825397</v>
      </c>
      <c r="H47" s="52"/>
      <c r="I47" s="16" t="n">
        <v>34</v>
      </c>
      <c r="J47" s="17" t="s">
        <v>123</v>
      </c>
      <c r="K47" s="17" t="s">
        <v>135</v>
      </c>
      <c r="M47" s="56" t="n">
        <f aca="false">(F46-F49)/((F26+F27+F28)-(F29+F30+F31))</f>
        <v>21.0915769418667</v>
      </c>
      <c r="N47" s="57"/>
      <c r="O47" s="15"/>
    </row>
    <row r="48" customFormat="false" ht="72.75" hidden="false" customHeight="false" outlineLevel="0" collapsed="false">
      <c r="E48" s="1" t="s">
        <v>91</v>
      </c>
      <c r="F48" s="45" t="n">
        <f aca="false">(((B56*B8+B56*B8*$D$56)*100)*$F$56)+(((B57*B9+B57*B9*$D$57)*100)*$F$57)+(((B58*B10+B58*B10*$D$58)*100)*$F$58)+(((B59*B11+B59*B11*$D$59)*100)*$F$59)+(((B60*B12+B60*B12*$D$60)*100)*$F$60)+(((B61*B13+B61*B13*$D$61)*100)*$F$61)+(((B62*B14+B62*B14*$D$62)*100)*$F$62)+(((B63*B15+B63*B15*$D$63)*100)*$F$63)+(((B64*B16+B64*B16*$D$64)*100)*$F$64)+(((B65*B17+B65*B17*$D$65)*100)*$F$65)+(((B66*B18+B66*B18*$D$66)*100)*$F$66)+(((B67*B19+B67*B19*$D$67)*100)*$F$67)+(((B68*B20+B68*B20*$D$68)*100)*$F$68)+(((B69*B21+B69*B21*$D$69)*100)*$F$69)+(((B70*B22+B70*B22*$D$70)*100)*$F$70)+(((B71*B23+B71*B23*$D$71)*100)*$F$71)+(((B72*B24+B72*B24*$D$72)*100)*$F$72)+(((B73*B25+B73*B25*$D$73)*100)*$F$73)+(((B74*B26+B74*B26*$D$74)*100)*$F$74)</f>
        <v>514491</v>
      </c>
      <c r="G48" s="33" t="n">
        <f aca="false">F48/$B$28</f>
        <v>8166.52380952381</v>
      </c>
      <c r="H48" s="52"/>
      <c r="I48" s="16" t="n">
        <v>35</v>
      </c>
      <c r="J48" s="17" t="s">
        <v>131</v>
      </c>
      <c r="K48" s="17" t="s">
        <v>136</v>
      </c>
      <c r="M48" s="60" t="n">
        <f aca="false">((F46+F47)-(F49+F50))/((F26+F27)-(F29+F30))</f>
        <v>33.8535837901981</v>
      </c>
      <c r="N48" s="73" t="n">
        <v>146</v>
      </c>
      <c r="O48" s="15"/>
    </row>
    <row r="49" customFormat="false" ht="14.25" hidden="false" customHeight="false" outlineLevel="0" collapsed="false">
      <c r="E49" s="1" t="s">
        <v>92</v>
      </c>
      <c r="F49" s="45" t="n">
        <f aca="false">(B79*B8*100)+(B80*B9*100)+(B81*B10*100)+(B82*B11*100)+(B83*B12*100)+(B84*B13*100)+(B85*B14*100)+(B86*B15*100)+(B87*B16*100)+(B88*B17*100)+(B89*B18*100)+(B90*B19*100)+(B91*B20*100)+(B92*B21*100)+(B93*B22*100)+(B94*B23*100)+(B95*B24*100)+(B96*B25*100)+(B97*B26*100)</f>
        <v>369675</v>
      </c>
      <c r="G49" s="32"/>
      <c r="H49" s="52"/>
      <c r="I49" s="11"/>
      <c r="J49" s="12"/>
      <c r="K49" s="12"/>
      <c r="M49" s="52"/>
    </row>
    <row r="50" customFormat="false" ht="14.25" hidden="false" customHeight="false" outlineLevel="0" collapsed="false">
      <c r="E50" s="1" t="s">
        <v>96</v>
      </c>
      <c r="F50" s="45" t="n">
        <f aca="false">(B79*B8*100*$D$79)+(B80*B9*100*$D$80)+(B81*B10*100*$D$81)+(B82*B11*100*$D$82)+(B83*B12*100*$D$83)+(B84*B13*100*$D$84)+(B85*B14*100*$D$85)+(B86*B15*100*$D$86)+(B87*B16*100*$D$87)+(B88*B17*100*$D$88)+(B89*B18*100*$D$89)+(B90*B19*100*$D$90)+(B91*B20*100*$D$91)+(B92*B21*100*$D$92)+(B93*B22*100*$D$93)+(B94*B23*100*$D$94)+(B95*B24*100*$D$95)+(B96*B25*100*$D$96)+(B97*B26*100*$D$97)</f>
        <v>192681</v>
      </c>
      <c r="G50" s="32"/>
      <c r="H50" s="52"/>
      <c r="I50" s="11"/>
      <c r="J50" s="12"/>
      <c r="K50" s="12"/>
      <c r="M50" s="52"/>
    </row>
    <row r="51" customFormat="false" ht="14.25" hidden="false" customHeight="false" outlineLevel="0" collapsed="false">
      <c r="E51" s="1" t="s">
        <v>98</v>
      </c>
      <c r="F51" s="45" t="n">
        <f aca="false">(((B79*B8+B79*B8*$D$79)*100)*$F$79)+(((B80*B9+B80*B9*$D$80)*100)*$F$80)+(((B81*B10+B81*B10*$D$81)*100)*$F$81)+(((B82*B11+B82*B11*$D$82)*100)*$F$82)+(((B83*B12+B83*B12*$D$83)*100)*$F$83)+(((B84*B13+B84*B13*$D$84)*100)*$F$84)+(((B85*B14+B85*B14*$D$85)*100)*$F$85)+(((B86*B15+B86*B15*$D$86)*100)*$F$86)+(((B87*B16+B87*B16*$D$87)*100)*$F$87)+(((B88*B17+B88*B17*$D$88)*100)*$F$88)+(((B89*B18+B89*B18*$D$89)*100)*$F$89)+(((B90*B19+B90*B19*$D$90)*100)*$F$90)+(((B91*B20+B91*B20*$D$91)*100)*$F$91)+(((B92*B21+B92*B21*$D$92)*100)*$F$92)+(((B93*B22+B93*B22*$D$93)*100)*$F$93)+(((B94*B23+B94*B23*$D$94)*100)*$F$94)+(((B95*B24+B95*B24*$D$95)*100)*$F$95)+(((B96*B25+B96*B25*$D$96)*100)*$F$96)+(((B97*B26+B97*B26*$D$97)*100)*$F$97)</f>
        <v>477081.9</v>
      </c>
      <c r="G51" s="32"/>
      <c r="H51" s="52"/>
      <c r="I51" s="11"/>
      <c r="J51" s="12"/>
      <c r="K51" s="12"/>
      <c r="M51" s="52"/>
    </row>
    <row r="52" customFormat="false" ht="14.25" hidden="false" customHeight="false" outlineLevel="0" collapsed="false">
      <c r="H52" s="52"/>
      <c r="I52" s="11"/>
      <c r="J52" s="12"/>
      <c r="K52" s="12"/>
      <c r="M52" s="52"/>
    </row>
    <row r="53" customFormat="false" ht="14.25" hidden="false" customHeight="false" outlineLevel="0" collapsed="false">
      <c r="I53" s="52"/>
      <c r="J53" s="11"/>
      <c r="K53" s="12"/>
    </row>
    <row r="54" customFormat="false" ht="14.25" hidden="false" customHeight="true" outlineLevel="0" collapsed="false">
      <c r="A54" s="74" t="s">
        <v>137</v>
      </c>
      <c r="B54" s="75" t="s">
        <v>138</v>
      </c>
      <c r="C54" s="76" t="s">
        <v>139</v>
      </c>
      <c r="D54" s="77" t="s">
        <v>140</v>
      </c>
      <c r="E54" s="76" t="s">
        <v>141</v>
      </c>
      <c r="F54" s="77" t="s">
        <v>142</v>
      </c>
      <c r="G54" s="78" t="s">
        <v>143</v>
      </c>
    </row>
    <row r="55" customFormat="false" ht="14.25" hidden="false" customHeight="false" outlineLevel="0" collapsed="false">
      <c r="B55" s="75"/>
      <c r="C55" s="76"/>
      <c r="D55" s="77"/>
      <c r="E55" s="76"/>
      <c r="F55" s="77"/>
      <c r="G55" s="78"/>
    </row>
    <row r="56" customFormat="false" ht="14.25" hidden="false" customHeight="false" outlineLevel="0" collapsed="false">
      <c r="A56" s="0" t="s">
        <v>19</v>
      </c>
      <c r="B56" s="79" t="n">
        <v>69</v>
      </c>
      <c r="C56" s="80" t="n">
        <v>2.1046511627907</v>
      </c>
      <c r="D56" s="81" t="n">
        <v>0.8</v>
      </c>
      <c r="E56" s="82" t="n">
        <v>0.581395348837209</v>
      </c>
      <c r="F56" s="83" t="n">
        <v>0.24</v>
      </c>
      <c r="G56" s="83" t="n">
        <v>1</v>
      </c>
    </row>
    <row r="57" customFormat="false" ht="14.25" hidden="false" customHeight="false" outlineLevel="0" collapsed="false">
      <c r="A57" s="0" t="s">
        <v>25</v>
      </c>
      <c r="B57" s="79" t="n">
        <v>60</v>
      </c>
      <c r="C57" s="80" t="n">
        <v>1.83720930232558</v>
      </c>
      <c r="D57" s="81" t="n">
        <v>0.9</v>
      </c>
      <c r="E57" s="82" t="n">
        <v>0.581395348837209</v>
      </c>
      <c r="F57" s="83" t="n">
        <v>0.24</v>
      </c>
      <c r="G57" s="83" t="n">
        <v>1</v>
      </c>
    </row>
    <row r="58" customFormat="false" ht="14.25" hidden="false" customHeight="false" outlineLevel="0" collapsed="false">
      <c r="A58" s="0" t="s">
        <v>30</v>
      </c>
      <c r="B58" s="79" t="n">
        <v>60</v>
      </c>
      <c r="C58" s="80" t="n">
        <v>2</v>
      </c>
      <c r="D58" s="81" t="n">
        <v>0.7</v>
      </c>
      <c r="E58" s="82" t="n">
        <v>0.581395348837209</v>
      </c>
      <c r="F58" s="83" t="n">
        <v>0.24</v>
      </c>
      <c r="G58" s="83" t="n">
        <v>1</v>
      </c>
    </row>
    <row r="59" customFormat="false" ht="14.25" hidden="false" customHeight="false" outlineLevel="0" collapsed="false">
      <c r="A59" s="0" t="s">
        <v>32</v>
      </c>
      <c r="B59" s="79" t="n">
        <v>43</v>
      </c>
      <c r="C59" s="80" t="n">
        <v>1.68604651162791</v>
      </c>
      <c r="D59" s="81" t="n">
        <v>0.8</v>
      </c>
      <c r="E59" s="82" t="n">
        <v>0.581395348837209</v>
      </c>
      <c r="F59" s="83" t="n">
        <v>0.24</v>
      </c>
      <c r="G59" s="83" t="n">
        <v>1</v>
      </c>
    </row>
    <row r="60" customFormat="false" ht="14.25" hidden="false" customHeight="false" outlineLevel="0" collapsed="false">
      <c r="A60" s="0" t="s">
        <v>34</v>
      </c>
      <c r="B60" s="79" t="n">
        <v>47</v>
      </c>
      <c r="C60" s="80" t="n">
        <v>1.83720930232558</v>
      </c>
      <c r="D60" s="81" t="n">
        <v>1.1</v>
      </c>
      <c r="E60" s="82" t="n">
        <v>0.581395348837209</v>
      </c>
      <c r="F60" s="83" t="n">
        <v>0.24</v>
      </c>
      <c r="G60" s="83" t="n">
        <v>1</v>
      </c>
    </row>
    <row r="61" customFormat="false" ht="14.25" hidden="false" customHeight="false" outlineLevel="0" collapsed="false">
      <c r="A61" s="0" t="s">
        <v>39</v>
      </c>
      <c r="B61" s="79" t="n">
        <v>60</v>
      </c>
      <c r="C61" s="80" t="n">
        <v>2</v>
      </c>
      <c r="D61" s="81" t="n">
        <v>0.9</v>
      </c>
      <c r="E61" s="82" t="n">
        <v>0.581395348837209</v>
      </c>
      <c r="F61" s="83" t="n">
        <v>0.24</v>
      </c>
      <c r="G61" s="83" t="n">
        <v>1</v>
      </c>
    </row>
    <row r="62" customFormat="false" ht="14.25" hidden="false" customHeight="false" outlineLevel="0" collapsed="false">
      <c r="A62" s="0" t="s">
        <v>43</v>
      </c>
      <c r="B62" s="79" t="n">
        <v>77</v>
      </c>
      <c r="C62" s="80" t="n">
        <v>1.68604651162791</v>
      </c>
      <c r="D62" s="81" t="n">
        <v>1</v>
      </c>
      <c r="E62" s="82" t="n">
        <v>1.04651162790698</v>
      </c>
      <c r="F62" s="83" t="n">
        <v>0.09</v>
      </c>
      <c r="G62" s="83" t="n">
        <v>1</v>
      </c>
    </row>
    <row r="63" customFormat="false" ht="14.25" hidden="false" customHeight="false" outlineLevel="0" collapsed="false">
      <c r="A63" s="0" t="s">
        <v>47</v>
      </c>
      <c r="B63" s="79"/>
      <c r="C63" s="80"/>
      <c r="D63" s="81"/>
      <c r="E63" s="82"/>
      <c r="F63" s="83"/>
      <c r="G63" s="83"/>
    </row>
    <row r="64" customFormat="false" ht="14.25" hidden="false" customHeight="false" outlineLevel="0" collapsed="false">
      <c r="A64" s="0" t="s">
        <v>52</v>
      </c>
      <c r="B64" s="79" t="n">
        <v>99</v>
      </c>
      <c r="C64" s="80" t="n">
        <v>1.59090909090909</v>
      </c>
      <c r="D64" s="81" t="n">
        <v>0.2</v>
      </c>
      <c r="E64" s="82" t="n">
        <v>0.4</v>
      </c>
      <c r="F64" s="83" t="n">
        <v>0.03</v>
      </c>
      <c r="G64" s="83" t="n">
        <v>1</v>
      </c>
    </row>
    <row r="65" customFormat="false" ht="14.25" hidden="false" customHeight="false" outlineLevel="0" collapsed="false">
      <c r="A65" s="0" t="s">
        <v>56</v>
      </c>
      <c r="B65" s="79" t="n">
        <v>150</v>
      </c>
      <c r="C65" s="80" t="n">
        <v>0.782608695652174</v>
      </c>
      <c r="D65" s="81" t="n">
        <v>0.7</v>
      </c>
      <c r="E65" s="82" t="n">
        <v>0.3</v>
      </c>
      <c r="F65" s="83" t="n">
        <v>0.02</v>
      </c>
      <c r="G65" s="83" t="n">
        <v>1</v>
      </c>
    </row>
    <row r="66" customFormat="false" ht="14.25" hidden="false" customHeight="false" outlineLevel="0" collapsed="false">
      <c r="A66" s="0" t="s">
        <v>60</v>
      </c>
      <c r="B66" s="79" t="n">
        <v>126</v>
      </c>
      <c r="C66" s="80" t="n">
        <v>1.25</v>
      </c>
      <c r="D66" s="81" t="n">
        <v>0.1</v>
      </c>
      <c r="E66" s="82" t="n">
        <v>0.35</v>
      </c>
      <c r="F66" s="83" t="n">
        <v>0.09</v>
      </c>
      <c r="G66" s="83" t="n">
        <v>1</v>
      </c>
    </row>
    <row r="67" customFormat="false" ht="14.25" hidden="false" customHeight="false" outlineLevel="0" collapsed="false">
      <c r="A67" s="0" t="s">
        <v>64</v>
      </c>
      <c r="B67" s="79" t="n">
        <v>36</v>
      </c>
      <c r="C67" s="80" t="n">
        <v>3.62637362637363</v>
      </c>
      <c r="D67" s="81" t="n">
        <v>1.7</v>
      </c>
      <c r="E67" s="82" t="n">
        <v>0.7</v>
      </c>
      <c r="F67" s="83" t="n">
        <v>0.28</v>
      </c>
      <c r="G67" s="83" t="n">
        <v>1</v>
      </c>
    </row>
    <row r="68" customFormat="false" ht="14.25" hidden="false" customHeight="false" outlineLevel="0" collapsed="false">
      <c r="A68" s="0" t="s">
        <v>68</v>
      </c>
      <c r="B68" s="79" t="n">
        <v>27</v>
      </c>
      <c r="C68" s="80" t="n">
        <v>3.18681318681319</v>
      </c>
      <c r="D68" s="81" t="n">
        <v>2</v>
      </c>
      <c r="E68" s="82" t="n">
        <v>1.16279069767442</v>
      </c>
      <c r="F68" s="83" t="n">
        <v>0.28</v>
      </c>
      <c r="G68" s="83" t="n">
        <v>1</v>
      </c>
    </row>
    <row r="69" customFormat="false" ht="14.25" hidden="false" customHeight="false" outlineLevel="0" collapsed="false">
      <c r="A69" s="0" t="s">
        <v>72</v>
      </c>
      <c r="B69" s="79" t="n">
        <v>30</v>
      </c>
      <c r="C69" s="80" t="n">
        <v>4.47674418604651</v>
      </c>
      <c r="D69" s="81" t="n">
        <v>1</v>
      </c>
      <c r="E69" s="82" t="n">
        <v>1.74418604651163</v>
      </c>
      <c r="F69" s="83" t="n">
        <v>0.21</v>
      </c>
      <c r="G69" s="83" t="n">
        <v>2</v>
      </c>
    </row>
    <row r="70" customFormat="false" ht="14.25" hidden="false" customHeight="false" outlineLevel="0" collapsed="false">
      <c r="A70" s="0" t="s">
        <v>73</v>
      </c>
      <c r="B70" s="79"/>
      <c r="C70" s="80"/>
      <c r="D70" s="81"/>
      <c r="E70" s="82"/>
      <c r="F70" s="83"/>
      <c r="G70" s="83"/>
    </row>
    <row r="71" customFormat="false" ht="14.25" hidden="false" customHeight="false" outlineLevel="0" collapsed="false">
      <c r="A71" s="0" t="s">
        <v>75</v>
      </c>
      <c r="B71" s="79" t="n">
        <v>80</v>
      </c>
      <c r="C71" s="80" t="n">
        <v>1.81818181818182</v>
      </c>
      <c r="D71" s="81" t="n">
        <v>0.1</v>
      </c>
      <c r="E71" s="82" t="n">
        <v>1.82</v>
      </c>
      <c r="F71" s="83" t="n">
        <v>2.4</v>
      </c>
      <c r="G71" s="83" t="n">
        <v>1</v>
      </c>
    </row>
    <row r="72" customFormat="false" ht="14.25" hidden="false" customHeight="false" outlineLevel="0" collapsed="false">
      <c r="A72" s="0" t="s">
        <v>78</v>
      </c>
      <c r="B72" s="81"/>
      <c r="C72" s="80"/>
      <c r="D72" s="84"/>
      <c r="E72" s="85"/>
      <c r="F72" s="1"/>
      <c r="G72" s="1"/>
    </row>
    <row r="73" customFormat="false" ht="14.25" hidden="false" customHeight="false" outlineLevel="0" collapsed="false">
      <c r="A73" s="0" t="s">
        <v>81</v>
      </c>
      <c r="B73" s="81"/>
      <c r="C73" s="80"/>
      <c r="D73" s="84"/>
      <c r="E73" s="85"/>
      <c r="F73" s="1"/>
      <c r="G73" s="1"/>
    </row>
    <row r="74" customFormat="false" ht="14.25" hidden="false" customHeight="false" outlineLevel="0" collapsed="false">
      <c r="A74" s="0" t="s">
        <v>85</v>
      </c>
      <c r="B74" s="81"/>
      <c r="C74" s="80"/>
      <c r="D74" s="84"/>
      <c r="E74" s="85"/>
      <c r="F74" s="1"/>
      <c r="G74" s="1"/>
    </row>
    <row r="75" customFormat="false" ht="14.25" hidden="false" customHeight="false" outlineLevel="0" collapsed="false">
      <c r="B75" s="1"/>
      <c r="C75" s="31"/>
      <c r="E75" s="1"/>
      <c r="F75" s="1"/>
      <c r="G75" s="1"/>
    </row>
    <row r="76" customFormat="false" ht="14.25" hidden="false" customHeight="false" outlineLevel="0" collapsed="false">
      <c r="B76" s="1"/>
      <c r="C76" s="31"/>
      <c r="E76" s="1"/>
      <c r="F76" s="1"/>
      <c r="G76" s="1"/>
    </row>
    <row r="77" customFormat="false" ht="14.25" hidden="false" customHeight="false" outlineLevel="0" collapsed="false">
      <c r="A77" s="74" t="s">
        <v>144</v>
      </c>
      <c r="B77" s="86" t="s">
        <v>145</v>
      </c>
      <c r="C77" s="87" t="s">
        <v>145</v>
      </c>
      <c r="D77" s="86" t="s">
        <v>146</v>
      </c>
      <c r="E77" s="87" t="s">
        <v>145</v>
      </c>
      <c r="F77" s="88" t="s">
        <v>146</v>
      </c>
      <c r="G77" s="88" t="s">
        <v>145</v>
      </c>
    </row>
    <row r="78" customFormat="false" ht="14.25" hidden="false" customHeight="false" outlineLevel="0" collapsed="false">
      <c r="B78" s="89" t="s">
        <v>147</v>
      </c>
      <c r="C78" s="85" t="s">
        <v>148</v>
      </c>
      <c r="D78" s="84" t="s">
        <v>149</v>
      </c>
      <c r="E78" s="85" t="s">
        <v>141</v>
      </c>
      <c r="F78" s="1" t="s">
        <v>150</v>
      </c>
      <c r="G78" s="1" t="s">
        <v>143</v>
      </c>
    </row>
    <row r="79" customFormat="false" ht="14.25" hidden="false" customHeight="false" outlineLevel="0" collapsed="false">
      <c r="A79" s="0" t="s">
        <v>19</v>
      </c>
      <c r="B79" s="90" t="n">
        <f aca="false">B56*0.75</f>
        <v>51.75</v>
      </c>
      <c r="C79" s="80" t="n">
        <f aca="false">C56*0.75</f>
        <v>1.57848837209302</v>
      </c>
      <c r="D79" s="91" t="n">
        <f aca="false">D56*1.2</f>
        <v>0.96</v>
      </c>
      <c r="E79" s="80" t="n">
        <f aca="false">E56*0.75</f>
        <v>0.436046511627907</v>
      </c>
      <c r="F79" s="31" t="n">
        <f aca="false">F56*1.2</f>
        <v>0.288</v>
      </c>
      <c r="G79" s="31" t="n">
        <f aca="false">G56*0.75</f>
        <v>0.75</v>
      </c>
    </row>
    <row r="80" customFormat="false" ht="14.25" hidden="false" customHeight="false" outlineLevel="0" collapsed="false">
      <c r="A80" s="0" t="s">
        <v>25</v>
      </c>
      <c r="B80" s="90" t="n">
        <f aca="false">B57*0.75</f>
        <v>45</v>
      </c>
      <c r="C80" s="80" t="n">
        <f aca="false">C57*0.75</f>
        <v>1.37790697674419</v>
      </c>
      <c r="D80" s="91" t="n">
        <f aca="false">D57*1.2</f>
        <v>1.08</v>
      </c>
      <c r="E80" s="80" t="n">
        <f aca="false">E57*0.75</f>
        <v>0.436046511627907</v>
      </c>
      <c r="F80" s="31" t="n">
        <f aca="false">F57*1.2</f>
        <v>0.288</v>
      </c>
      <c r="G80" s="31" t="n">
        <f aca="false">G57*0.75</f>
        <v>0.75</v>
      </c>
    </row>
    <row r="81" customFormat="false" ht="14.25" hidden="false" customHeight="false" outlineLevel="0" collapsed="false">
      <c r="A81" s="0" t="s">
        <v>30</v>
      </c>
      <c r="B81" s="90" t="n">
        <f aca="false">B58*0.75</f>
        <v>45</v>
      </c>
      <c r="C81" s="80" t="n">
        <f aca="false">C58*0.75</f>
        <v>1.5</v>
      </c>
      <c r="D81" s="91" t="n">
        <f aca="false">D58*1.2</f>
        <v>0.84</v>
      </c>
      <c r="E81" s="80" t="n">
        <f aca="false">E58*0.75</f>
        <v>0.436046511627907</v>
      </c>
      <c r="F81" s="31" t="n">
        <f aca="false">F58*1.2</f>
        <v>0.288</v>
      </c>
      <c r="G81" s="31" t="n">
        <f aca="false">G58*0.75</f>
        <v>0.75</v>
      </c>
    </row>
    <row r="82" customFormat="false" ht="14.25" hidden="false" customHeight="false" outlineLevel="0" collapsed="false">
      <c r="A82" s="0" t="s">
        <v>32</v>
      </c>
      <c r="B82" s="90" t="n">
        <f aca="false">B59*0.75</f>
        <v>32.25</v>
      </c>
      <c r="C82" s="80" t="n">
        <f aca="false">C59*0.75</f>
        <v>1.26453488372093</v>
      </c>
      <c r="D82" s="91" t="n">
        <f aca="false">D59*1.2</f>
        <v>0.96</v>
      </c>
      <c r="E82" s="80" t="n">
        <f aca="false">E59*0.75</f>
        <v>0.436046511627907</v>
      </c>
      <c r="F82" s="31" t="n">
        <f aca="false">F59*1.2</f>
        <v>0.288</v>
      </c>
      <c r="G82" s="31" t="n">
        <f aca="false">G59*0.75</f>
        <v>0.75</v>
      </c>
    </row>
    <row r="83" customFormat="false" ht="14.25" hidden="false" customHeight="false" outlineLevel="0" collapsed="false">
      <c r="A83" s="0" t="s">
        <v>34</v>
      </c>
      <c r="B83" s="90" t="n">
        <f aca="false">B60*0.75</f>
        <v>35.25</v>
      </c>
      <c r="C83" s="80" t="n">
        <f aca="false">C60*0.75</f>
        <v>1.37790697674419</v>
      </c>
      <c r="D83" s="91" t="n">
        <f aca="false">D60*1.2</f>
        <v>1.32</v>
      </c>
      <c r="E83" s="80" t="n">
        <f aca="false">E60*0.75</f>
        <v>0.436046511627907</v>
      </c>
      <c r="F83" s="31" t="n">
        <f aca="false">F60*1.2</f>
        <v>0.288</v>
      </c>
      <c r="G83" s="31" t="n">
        <f aca="false">G60*0.75</f>
        <v>0.75</v>
      </c>
    </row>
    <row r="84" customFormat="false" ht="14.25" hidden="false" customHeight="false" outlineLevel="0" collapsed="false">
      <c r="A84" s="0" t="s">
        <v>39</v>
      </c>
      <c r="B84" s="90" t="n">
        <f aca="false">B61*0.75</f>
        <v>45</v>
      </c>
      <c r="C84" s="80" t="n">
        <f aca="false">C61*0.75</f>
        <v>1.5</v>
      </c>
      <c r="D84" s="91" t="n">
        <f aca="false">D61*1.2</f>
        <v>1.08</v>
      </c>
      <c r="E84" s="80" t="n">
        <f aca="false">E61*0.75</f>
        <v>0.436046511627907</v>
      </c>
      <c r="F84" s="31" t="n">
        <f aca="false">F61*1.2</f>
        <v>0.288</v>
      </c>
      <c r="G84" s="31" t="n">
        <f aca="false">G61*0.75</f>
        <v>0.75</v>
      </c>
    </row>
    <row r="85" customFormat="false" ht="14.25" hidden="false" customHeight="false" outlineLevel="0" collapsed="false">
      <c r="A85" s="0" t="s">
        <v>43</v>
      </c>
      <c r="B85" s="90" t="n">
        <f aca="false">B62*0.75</f>
        <v>57.75</v>
      </c>
      <c r="C85" s="80" t="n">
        <f aca="false">C62*0.75</f>
        <v>1.26453488372093</v>
      </c>
      <c r="D85" s="91" t="n">
        <f aca="false">D62*1.2</f>
        <v>1.2</v>
      </c>
      <c r="E85" s="80" t="n">
        <f aca="false">E62*0.75</f>
        <v>0.784883720930233</v>
      </c>
      <c r="F85" s="31" t="n">
        <f aca="false">F62*1.2</f>
        <v>0.108</v>
      </c>
      <c r="G85" s="31" t="n">
        <f aca="false">G62*0.75</f>
        <v>0.75</v>
      </c>
    </row>
    <row r="86" customFormat="false" ht="14.25" hidden="false" customHeight="false" outlineLevel="0" collapsed="false">
      <c r="A86" s="0" t="s">
        <v>47</v>
      </c>
      <c r="B86" s="90"/>
      <c r="C86" s="80"/>
      <c r="D86" s="91"/>
      <c r="E86" s="80"/>
      <c r="F86" s="31"/>
      <c r="G86" s="31"/>
    </row>
    <row r="87" customFormat="false" ht="14.25" hidden="false" customHeight="false" outlineLevel="0" collapsed="false">
      <c r="A87" s="0" t="s">
        <v>52</v>
      </c>
      <c r="B87" s="90" t="n">
        <f aca="false">B64*0.75</f>
        <v>74.25</v>
      </c>
      <c r="C87" s="80" t="n">
        <f aca="false">C64*0.75</f>
        <v>1.19318181818182</v>
      </c>
      <c r="D87" s="91" t="n">
        <f aca="false">D64*1.2</f>
        <v>0.24</v>
      </c>
      <c r="E87" s="80" t="n">
        <f aca="false">E64*0.75</f>
        <v>0.3</v>
      </c>
      <c r="F87" s="31" t="n">
        <f aca="false">F64*1.2</f>
        <v>0.036</v>
      </c>
      <c r="G87" s="31" t="n">
        <f aca="false">G64*0.75</f>
        <v>0.75</v>
      </c>
    </row>
    <row r="88" customFormat="false" ht="14.25" hidden="false" customHeight="false" outlineLevel="0" collapsed="false">
      <c r="A88" s="0" t="s">
        <v>56</v>
      </c>
      <c r="B88" s="90" t="n">
        <f aca="false">B65*0.75</f>
        <v>112.5</v>
      </c>
      <c r="C88" s="80" t="n">
        <f aca="false">C65*0.75</f>
        <v>0.58695652173913</v>
      </c>
      <c r="D88" s="91" t="n">
        <f aca="false">D65*1.2</f>
        <v>0.84</v>
      </c>
      <c r="E88" s="80" t="n">
        <f aca="false">E65*0.75</f>
        <v>0.225</v>
      </c>
      <c r="F88" s="31" t="n">
        <f aca="false">F65*1.2</f>
        <v>0.024</v>
      </c>
      <c r="G88" s="31" t="n">
        <f aca="false">G65*0.75</f>
        <v>0.75</v>
      </c>
    </row>
    <row r="89" customFormat="false" ht="14.25" hidden="false" customHeight="false" outlineLevel="0" collapsed="false">
      <c r="A89" s="0" t="s">
        <v>60</v>
      </c>
      <c r="B89" s="90" t="n">
        <f aca="false">B66*0.75</f>
        <v>94.5</v>
      </c>
      <c r="C89" s="80" t="n">
        <f aca="false">C66*0.75</f>
        <v>0.9375</v>
      </c>
      <c r="D89" s="91" t="n">
        <f aca="false">D66*1.2</f>
        <v>0.12</v>
      </c>
      <c r="E89" s="80" t="n">
        <f aca="false">E66*0.75</f>
        <v>0.2625</v>
      </c>
      <c r="F89" s="31" t="n">
        <f aca="false">F66*1.2</f>
        <v>0.108</v>
      </c>
      <c r="G89" s="31" t="n">
        <f aca="false">G66*0.75</f>
        <v>0.75</v>
      </c>
    </row>
    <row r="90" customFormat="false" ht="14.25" hidden="false" customHeight="false" outlineLevel="0" collapsed="false">
      <c r="A90" s="0" t="s">
        <v>64</v>
      </c>
      <c r="B90" s="90" t="n">
        <f aca="false">B67*0.75</f>
        <v>27</v>
      </c>
      <c r="C90" s="80" t="n">
        <f aca="false">C67*0.75</f>
        <v>2.71978021978022</v>
      </c>
      <c r="D90" s="91" t="n">
        <f aca="false">D67*1.2</f>
        <v>2.04</v>
      </c>
      <c r="E90" s="80" t="n">
        <f aca="false">E67*0.75</f>
        <v>0.525</v>
      </c>
      <c r="F90" s="31" t="n">
        <f aca="false">F67*1.2</f>
        <v>0.336</v>
      </c>
      <c r="G90" s="31" t="n">
        <f aca="false">G67*0.75</f>
        <v>0.75</v>
      </c>
    </row>
    <row r="91" customFormat="false" ht="14.25" hidden="false" customHeight="false" outlineLevel="0" collapsed="false">
      <c r="A91" s="0" t="s">
        <v>68</v>
      </c>
      <c r="B91" s="90" t="n">
        <f aca="false">B68*0.75</f>
        <v>20.25</v>
      </c>
      <c r="C91" s="80" t="n">
        <f aca="false">C68*0.75</f>
        <v>2.39010989010989</v>
      </c>
      <c r="D91" s="91" t="n">
        <f aca="false">D68*1.2</f>
        <v>2.4</v>
      </c>
      <c r="E91" s="80" t="n">
        <f aca="false">E68*0.75</f>
        <v>0.872093023255814</v>
      </c>
      <c r="F91" s="31" t="n">
        <f aca="false">F68*1.2</f>
        <v>0.336</v>
      </c>
      <c r="G91" s="31" t="n">
        <f aca="false">G68*0.75</f>
        <v>0.75</v>
      </c>
    </row>
    <row r="92" customFormat="false" ht="14.25" hidden="false" customHeight="false" outlineLevel="0" collapsed="false">
      <c r="A92" s="0" t="s">
        <v>72</v>
      </c>
      <c r="B92" s="90" t="n">
        <f aca="false">B69*0.75</f>
        <v>22.5</v>
      </c>
      <c r="C92" s="80" t="n">
        <f aca="false">C69*0.75</f>
        <v>3.35755813953488</v>
      </c>
      <c r="D92" s="91" t="n">
        <f aca="false">D69*1.2</f>
        <v>1.2</v>
      </c>
      <c r="E92" s="80" t="n">
        <f aca="false">E69*0.75</f>
        <v>1.30813953488372</v>
      </c>
      <c r="F92" s="31" t="n">
        <f aca="false">F69*1.2</f>
        <v>0.252</v>
      </c>
      <c r="G92" s="31" t="n">
        <f aca="false">G69*0.75</f>
        <v>1.5</v>
      </c>
    </row>
    <row r="93" customFormat="false" ht="14.25" hidden="false" customHeight="false" outlineLevel="0" collapsed="false">
      <c r="A93" s="0" t="s">
        <v>73</v>
      </c>
      <c r="B93" s="90"/>
      <c r="C93" s="80"/>
      <c r="D93" s="91"/>
      <c r="E93" s="80"/>
      <c r="F93" s="31"/>
      <c r="G93" s="31"/>
    </row>
    <row r="94" customFormat="false" ht="14.25" hidden="false" customHeight="false" outlineLevel="0" collapsed="false">
      <c r="A94" s="0" t="s">
        <v>75</v>
      </c>
      <c r="B94" s="90" t="n">
        <f aca="false">B71*0.75</f>
        <v>60</v>
      </c>
      <c r="C94" s="80" t="n">
        <f aca="false">C71*0.75</f>
        <v>1.36363636363636</v>
      </c>
      <c r="D94" s="91" t="n">
        <f aca="false">D71*1.2</f>
        <v>0.12</v>
      </c>
      <c r="E94" s="80" t="n">
        <f aca="false">E71*0.75</f>
        <v>1.365</v>
      </c>
      <c r="F94" s="31" t="n">
        <f aca="false">F71*1.2</f>
        <v>2.88</v>
      </c>
      <c r="G94" s="31" t="n">
        <f aca="false">G71*0.75</f>
        <v>0.75</v>
      </c>
    </row>
    <row r="95" customFormat="false" ht="14.25" hidden="false" customHeight="false" outlineLevel="0" collapsed="false">
      <c r="A95" s="0" t="s">
        <v>78</v>
      </c>
      <c r="B95" s="84"/>
      <c r="C95" s="85"/>
      <c r="D95" s="84"/>
      <c r="E95" s="80"/>
      <c r="F95" s="1"/>
      <c r="G95" s="1"/>
    </row>
    <row r="96" customFormat="false" ht="14.25" hidden="false" customHeight="false" outlineLevel="0" collapsed="false">
      <c r="A96" s="0" t="s">
        <v>81</v>
      </c>
      <c r="B96" s="84"/>
      <c r="C96" s="85"/>
      <c r="D96" s="84"/>
      <c r="E96" s="80"/>
      <c r="F96" s="1"/>
      <c r="G96" s="1"/>
    </row>
    <row r="97" customFormat="false" ht="14.25" hidden="false" customHeight="false" outlineLevel="0" collapsed="false">
      <c r="A97" s="0" t="s">
        <v>85</v>
      </c>
      <c r="B97" s="84"/>
      <c r="C97" s="85"/>
      <c r="D97" s="84"/>
      <c r="E97" s="80"/>
      <c r="F97" s="1"/>
      <c r="G97" s="1"/>
    </row>
    <row r="98" customFormat="false" ht="14.25" hidden="false" customHeight="false" outlineLevel="0" collapsed="false">
      <c r="E98" s="1"/>
    </row>
  </sheetData>
  <mergeCells count="7">
    <mergeCell ref="I3:K3"/>
    <mergeCell ref="B54:B55"/>
    <mergeCell ref="C54:C55"/>
    <mergeCell ref="D54:D55"/>
    <mergeCell ref="E54:E55"/>
    <mergeCell ref="F54:F55"/>
    <mergeCell ref="G54:G55"/>
  </mergeCell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13"/>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13" activeCellId="0" sqref="C13"/>
    </sheetView>
  </sheetViews>
  <sheetFormatPr defaultColWidth="10.6796875" defaultRowHeight="14.25" zeroHeight="false" outlineLevelRow="0" outlineLevelCol="0"/>
  <cols>
    <col collapsed="false" customWidth="true" hidden="false" outlineLevel="0" max="2" min="2" style="0" width="20.18"/>
    <col collapsed="false" customWidth="true" hidden="false" outlineLevel="0" max="3" min="3" style="0" width="10.36"/>
  </cols>
  <sheetData>
    <row r="1" customFormat="false" ht="14.25" hidden="false" customHeight="false" outlineLevel="0" collapsed="false">
      <c r="A1" s="0" t="s">
        <v>151</v>
      </c>
    </row>
    <row r="3" customFormat="false" ht="14.25" hidden="false" customHeight="false" outlineLevel="0" collapsed="false">
      <c r="B3" s="92" t="s">
        <v>152</v>
      </c>
      <c r="C3" s="93" t="n">
        <v>63</v>
      </c>
    </row>
    <row r="4" customFormat="false" ht="14.25" hidden="false" customHeight="false" outlineLevel="0" collapsed="false">
      <c r="C4" s="94" t="s">
        <v>153</v>
      </c>
    </row>
    <row r="5" customFormat="false" ht="14.25" hidden="false" customHeight="false" outlineLevel="0" collapsed="false">
      <c r="C5" s="0" t="s">
        <v>154</v>
      </c>
    </row>
    <row r="8" customFormat="false" ht="14.25" hidden="false" customHeight="true" outlineLevel="0" collapsed="false">
      <c r="C8" s="95" t="s">
        <v>155</v>
      </c>
      <c r="D8" s="96" t="s">
        <v>156</v>
      </c>
      <c r="E8" s="97" t="s">
        <v>157</v>
      </c>
      <c r="G8" s="92" t="s">
        <v>158</v>
      </c>
    </row>
    <row r="9" customFormat="false" ht="27.75" hidden="false" customHeight="true" outlineLevel="0" collapsed="false">
      <c r="C9" s="95"/>
      <c r="D9" s="96"/>
      <c r="E9" s="97"/>
      <c r="G9" s="94" t="s">
        <v>159</v>
      </c>
    </row>
    <row r="10" customFormat="false" ht="14.25" hidden="false" customHeight="false" outlineLevel="0" collapsed="false">
      <c r="A10" s="98"/>
      <c r="B10" s="99" t="s">
        <v>19</v>
      </c>
      <c r="C10" s="100" t="n">
        <f aca="false">(D10/(SUM($D$10:$D$21)))*($C$3-$C$22-$C$23-$C$25)</f>
        <v>12.1581071536676</v>
      </c>
      <c r="D10" s="99" t="n">
        <v>2939</v>
      </c>
      <c r="E10" s="101" t="n">
        <v>230</v>
      </c>
      <c r="G10" s="0" t="s">
        <v>154</v>
      </c>
    </row>
    <row r="11" customFormat="false" ht="14.25" hidden="false" customHeight="false" outlineLevel="0" collapsed="false">
      <c r="A11" s="98"/>
      <c r="B11" s="0" t="s">
        <v>25</v>
      </c>
      <c r="C11" s="31" t="n">
        <f aca="false">(D11/(SUM($D$10:$D$21)))*($C$3-$C$22-$C$23-$C$25)</f>
        <v>2.61033195439411</v>
      </c>
      <c r="D11" s="0" t="n">
        <v>631</v>
      </c>
      <c r="E11" s="90" t="n">
        <v>170</v>
      </c>
    </row>
    <row r="12" customFormat="false" ht="14.25" hidden="false" customHeight="false" outlineLevel="0" collapsed="false">
      <c r="A12" s="98"/>
      <c r="B12" s="0" t="s">
        <v>30</v>
      </c>
      <c r="C12" s="31" t="n">
        <f aca="false">(D12/(SUM($D$10:$D$21)))*($C$3-$C$22-$C$23-$C$25)</f>
        <v>4.7780244173141</v>
      </c>
      <c r="D12" s="0" t="n">
        <f aca="false">1540*0.75</f>
        <v>1155</v>
      </c>
      <c r="E12" s="90" t="n">
        <v>180</v>
      </c>
      <c r="G12" s="0" t="s">
        <v>160</v>
      </c>
    </row>
    <row r="13" customFormat="false" ht="14.25" hidden="false" customHeight="false" outlineLevel="0" collapsed="false">
      <c r="A13" s="98"/>
      <c r="B13" s="0" t="s">
        <v>32</v>
      </c>
      <c r="C13" s="31" t="n">
        <f aca="false">(D13/(SUM($D$10:$D$21)))*($C$3-$C$22-$C$23-$C$25)</f>
        <v>1.59267480577137</v>
      </c>
      <c r="D13" s="0" t="n">
        <f aca="false">1540*0.25</f>
        <v>385</v>
      </c>
      <c r="E13" s="90" t="n">
        <v>140</v>
      </c>
    </row>
    <row r="14" customFormat="false" ht="14.25" hidden="false" customHeight="false" outlineLevel="0" collapsed="false">
      <c r="A14" s="98"/>
      <c r="B14" s="0" t="s">
        <v>34</v>
      </c>
      <c r="C14" s="31" t="n">
        <f aca="false">(D14/(SUM($D$10:$D$21)))*($C$3-$C$22-$C$23-$C$25)</f>
        <v>0.732216728887095</v>
      </c>
      <c r="D14" s="0" t="n">
        <v>177</v>
      </c>
      <c r="E14" s="90" t="n">
        <v>130</v>
      </c>
    </row>
    <row r="15" customFormat="false" ht="14.25" hidden="false" customHeight="false" outlineLevel="0" collapsed="false">
      <c r="A15" s="98"/>
      <c r="B15" s="0" t="s">
        <v>39</v>
      </c>
      <c r="C15" s="31" t="n">
        <f aca="false">(D15/(SUM($D$10:$D$21)))*($C$3-$C$22-$C$23-$C$25)</f>
        <v>1.35687619816366</v>
      </c>
      <c r="D15" s="0" t="n">
        <v>328</v>
      </c>
      <c r="E15" s="90" t="n">
        <v>190</v>
      </c>
    </row>
    <row r="16" customFormat="false" ht="14.25" hidden="false" customHeight="false" outlineLevel="0" collapsed="false">
      <c r="A16" s="98"/>
      <c r="B16" s="0" t="s">
        <v>43</v>
      </c>
      <c r="C16" s="31" t="n">
        <f aca="false">(D16/(SUM($D$10:$D$21)))*($C$3-$C$22-$C$23-$C$25)</f>
        <v>1.77883160125114</v>
      </c>
      <c r="D16" s="0" t="n">
        <v>430</v>
      </c>
      <c r="E16" s="90" t="n">
        <v>200</v>
      </c>
    </row>
    <row r="17" customFormat="false" ht="12" hidden="false" customHeight="true" outlineLevel="0" collapsed="false">
      <c r="A17" s="98"/>
      <c r="B17" s="102" t="s">
        <v>47</v>
      </c>
      <c r="C17" s="31"/>
      <c r="E17" s="90"/>
    </row>
    <row r="18" customFormat="false" ht="14.25" hidden="false" customHeight="false" outlineLevel="0" collapsed="false">
      <c r="A18" s="98"/>
      <c r="B18" s="0" t="s">
        <v>52</v>
      </c>
      <c r="C18" s="31" t="n">
        <f aca="false">(D18/(SUM($D$10:$D$21)))*($C$3-$C$22-$C$23-$C$25)</f>
        <v>1.06729896075068</v>
      </c>
      <c r="D18" s="0" t="n">
        <v>258</v>
      </c>
      <c r="E18" s="90" t="n">
        <v>180</v>
      </c>
    </row>
    <row r="19" customFormat="false" ht="14.25" hidden="false" customHeight="false" outlineLevel="0" collapsed="false">
      <c r="A19" s="98"/>
      <c r="B19" s="0" t="s">
        <v>56</v>
      </c>
      <c r="C19" s="31" t="n">
        <f aca="false">(D19/(SUM($D$10:$D$21)))*($C$3-$C$22-$C$23-$C$25)</f>
        <v>1.61749571183533</v>
      </c>
      <c r="D19" s="0" t="n">
        <v>391</v>
      </c>
      <c r="E19" s="90" t="n">
        <v>170</v>
      </c>
    </row>
    <row r="20" customFormat="false" ht="14.25" hidden="false" customHeight="false" outlineLevel="0" collapsed="false">
      <c r="A20" s="98"/>
      <c r="B20" s="0" t="s">
        <v>60</v>
      </c>
      <c r="C20" s="31" t="n">
        <f aca="false">(D20/(SUM($D$10:$D$21)))*($C$3-$C$22-$C$23-$C$25)</f>
        <v>9.18373524366865</v>
      </c>
      <c r="D20" s="0" t="n">
        <v>2220</v>
      </c>
      <c r="E20" s="90" t="n">
        <v>200</v>
      </c>
    </row>
    <row r="21" customFormat="false" ht="14.25" hidden="false" customHeight="false" outlineLevel="0" collapsed="false">
      <c r="A21" s="98"/>
      <c r="B21" s="0" t="s">
        <v>64</v>
      </c>
      <c r="C21" s="31" t="n">
        <f aca="false">(D21/(SUM($D$10:$D$21)))*($C$3-$C$22-$C$23-$C$25)</f>
        <v>4.12440722429624</v>
      </c>
      <c r="D21" s="0" t="n">
        <v>997</v>
      </c>
      <c r="E21" s="90" t="n">
        <v>200</v>
      </c>
    </row>
    <row r="22" customFormat="false" ht="14.25" hidden="false" customHeight="false" outlineLevel="0" collapsed="false">
      <c r="A22" s="98"/>
      <c r="B22" s="0" t="s">
        <v>68</v>
      </c>
      <c r="C22" s="15" t="n">
        <v>1</v>
      </c>
      <c r="E22" s="90" t="n">
        <v>120</v>
      </c>
    </row>
    <row r="23" customFormat="false" ht="14.25" hidden="false" customHeight="false" outlineLevel="0" collapsed="false">
      <c r="A23" s="98"/>
      <c r="B23" s="0" t="s">
        <v>72</v>
      </c>
      <c r="C23" s="15" t="n">
        <v>1</v>
      </c>
      <c r="E23" s="90" t="n">
        <v>0</v>
      </c>
      <c r="G23" s="103" t="s">
        <v>161</v>
      </c>
      <c r="L23" s="104"/>
    </row>
    <row r="24" customFormat="false" ht="12" hidden="false" customHeight="true" outlineLevel="0" collapsed="false">
      <c r="A24" s="98"/>
      <c r="B24" s="102" t="s">
        <v>73</v>
      </c>
      <c r="C24" s="15"/>
      <c r="E24" s="90"/>
    </row>
    <row r="25" customFormat="false" ht="14.25" hidden="false" customHeight="false" outlineLevel="0" collapsed="false">
      <c r="A25" s="98"/>
      <c r="B25" s="0" t="s">
        <v>75</v>
      </c>
      <c r="C25" s="15" t="n">
        <v>20</v>
      </c>
      <c r="E25" s="90" t="n">
        <v>190</v>
      </c>
      <c r="G25" s="94" t="s">
        <v>162</v>
      </c>
    </row>
    <row r="26" customFormat="false" ht="14.25" hidden="false" customHeight="false" outlineLevel="0" collapsed="false">
      <c r="G26" s="0" t="s">
        <v>154</v>
      </c>
    </row>
    <row r="27" customFormat="false" ht="14.25" hidden="false" customHeight="false" outlineLevel="0" collapsed="false">
      <c r="C27" s="15"/>
      <c r="G27" s="0" t="s">
        <v>163</v>
      </c>
    </row>
    <row r="28" customFormat="false" ht="14.25" hidden="false" customHeight="false" outlineLevel="0" collapsed="false">
      <c r="C28" s="15"/>
    </row>
    <row r="29" customFormat="false" ht="14.25" hidden="false" customHeight="false" outlineLevel="0" collapsed="false">
      <c r="C29" s="15"/>
    </row>
    <row r="30" customFormat="false" ht="14.25" hidden="false" customHeight="false" outlineLevel="0" collapsed="false">
      <c r="C30" s="15"/>
    </row>
    <row r="31" customFormat="false" ht="14.25" hidden="false" customHeight="false" outlineLevel="0" collapsed="false">
      <c r="B31" s="105" t="s">
        <v>164</v>
      </c>
      <c r="C31" s="15"/>
    </row>
    <row r="32" customFormat="false" ht="16.5" hidden="false" customHeight="false" outlineLevel="0" collapsed="false">
      <c r="B32" s="106" t="s">
        <v>165</v>
      </c>
      <c r="C32" s="15"/>
    </row>
    <row r="33" customFormat="false" ht="16.5" hidden="false" customHeight="false" outlineLevel="0" collapsed="false">
      <c r="B33" s="106" t="s">
        <v>166</v>
      </c>
      <c r="C33" s="15"/>
    </row>
    <row r="34" customFormat="false" ht="16.5" hidden="false" customHeight="false" outlineLevel="0" collapsed="false">
      <c r="B34" s="106" t="s">
        <v>167</v>
      </c>
      <c r="C34" s="15"/>
    </row>
    <row r="35" customFormat="false" ht="16.5" hidden="false" customHeight="false" outlineLevel="0" collapsed="false">
      <c r="B35" s="106" t="s">
        <v>168</v>
      </c>
      <c r="C35" s="15"/>
    </row>
    <row r="36" customFormat="false" ht="16.5" hidden="false" customHeight="false" outlineLevel="0" collapsed="false">
      <c r="B36" s="106" t="s">
        <v>169</v>
      </c>
      <c r="C36" s="15"/>
    </row>
    <row r="37" customFormat="false" ht="16.5" hidden="false" customHeight="false" outlineLevel="0" collapsed="false">
      <c r="B37" s="106" t="s">
        <v>170</v>
      </c>
      <c r="C37" s="15"/>
    </row>
    <row r="38" customFormat="false" ht="16.5" hidden="false" customHeight="false" outlineLevel="0" collapsed="false">
      <c r="B38" s="106" t="s">
        <v>171</v>
      </c>
      <c r="C38" s="15"/>
    </row>
    <row r="39" customFormat="false" ht="16.5" hidden="false" customHeight="false" outlineLevel="0" collapsed="false">
      <c r="B39" s="106" t="s">
        <v>172</v>
      </c>
      <c r="C39" s="15"/>
    </row>
    <row r="40" customFormat="false" ht="16.5" hidden="false" customHeight="false" outlineLevel="0" collapsed="false">
      <c r="B40" s="106" t="s">
        <v>173</v>
      </c>
      <c r="C40" s="15"/>
    </row>
    <row r="41" customFormat="false" ht="16.5" hidden="false" customHeight="false" outlineLevel="0" collapsed="false">
      <c r="B41" s="106" t="s">
        <v>174</v>
      </c>
      <c r="C41" s="15"/>
    </row>
    <row r="42" customFormat="false" ht="14.25" hidden="false" customHeight="false" outlineLevel="0" collapsed="false">
      <c r="C42" s="15"/>
    </row>
    <row r="44" customFormat="false" ht="14.25" hidden="false" customHeight="false" outlineLevel="0" collapsed="false">
      <c r="C44" s="107"/>
      <c r="D44" s="107"/>
      <c r="F44" s="108" t="s">
        <v>175</v>
      </c>
      <c r="G44" s="108"/>
      <c r="I44" s="109" t="s">
        <v>139</v>
      </c>
      <c r="J44" s="109"/>
    </row>
    <row r="45" customFormat="false" ht="14.25" hidden="false" customHeight="true" outlineLevel="0" collapsed="false">
      <c r="B45" s="74" t="s">
        <v>176</v>
      </c>
      <c r="C45" s="110" t="s">
        <v>147</v>
      </c>
      <c r="D45" s="111" t="s">
        <v>139</v>
      </c>
      <c r="F45" s="112" t="s">
        <v>177</v>
      </c>
      <c r="G45" s="112" t="s">
        <v>178</v>
      </c>
      <c r="I45" s="113" t="s">
        <v>179</v>
      </c>
      <c r="J45" s="113" t="s">
        <v>180</v>
      </c>
    </row>
    <row r="46" customFormat="false" ht="14.25" hidden="false" customHeight="false" outlineLevel="0" collapsed="false">
      <c r="C46" s="110"/>
      <c r="D46" s="111"/>
      <c r="F46" s="112"/>
      <c r="G46" s="112"/>
      <c r="I46" s="1" t="s">
        <v>181</v>
      </c>
      <c r="J46" s="1" t="s">
        <v>182</v>
      </c>
    </row>
    <row r="47" customFormat="false" ht="14.25" hidden="false" customHeight="false" outlineLevel="0" collapsed="false">
      <c r="B47" s="0" t="s">
        <v>19</v>
      </c>
      <c r="C47" s="79" t="n">
        <v>69</v>
      </c>
      <c r="D47" s="80" t="n">
        <v>2.1046511627907</v>
      </c>
      <c r="F47" s="0" t="n">
        <v>80</v>
      </c>
      <c r="G47" s="99" t="n">
        <v>86</v>
      </c>
      <c r="I47" s="0" t="n">
        <v>1.81</v>
      </c>
      <c r="J47" s="0" t="n">
        <v>86</v>
      </c>
      <c r="M47" s="31"/>
    </row>
    <row r="48" customFormat="false" ht="14.25" hidden="false" customHeight="false" outlineLevel="0" collapsed="false">
      <c r="B48" s="0" t="s">
        <v>25</v>
      </c>
      <c r="C48" s="79" t="n">
        <v>60</v>
      </c>
      <c r="D48" s="80" t="n">
        <v>1.83720930232558</v>
      </c>
      <c r="F48" s="0" t="n">
        <v>70</v>
      </c>
      <c r="G48" s="0" t="n">
        <v>86</v>
      </c>
      <c r="I48" s="0" t="n">
        <v>1.58</v>
      </c>
      <c r="J48" s="0" t="n">
        <v>86</v>
      </c>
      <c r="M48" s="31"/>
    </row>
    <row r="49" customFormat="false" ht="14.25" hidden="false" customHeight="false" outlineLevel="0" collapsed="false">
      <c r="B49" s="0" t="s">
        <v>30</v>
      </c>
      <c r="C49" s="79" t="n">
        <v>60</v>
      </c>
      <c r="D49" s="80" t="n">
        <v>2</v>
      </c>
      <c r="F49" s="0" t="n">
        <v>70</v>
      </c>
      <c r="G49" s="0" t="n">
        <v>86</v>
      </c>
      <c r="I49" s="0" t="n">
        <v>1.72</v>
      </c>
      <c r="J49" s="0" t="n">
        <v>86</v>
      </c>
      <c r="M49" s="31"/>
    </row>
    <row r="50" customFormat="false" ht="14.25" hidden="false" customHeight="false" outlineLevel="0" collapsed="false">
      <c r="B50" s="0" t="s">
        <v>32</v>
      </c>
      <c r="C50" s="79" t="n">
        <v>43</v>
      </c>
      <c r="D50" s="80" t="n">
        <v>1.68604651162791</v>
      </c>
      <c r="F50" s="0" t="n">
        <v>50</v>
      </c>
      <c r="G50" s="0" t="n">
        <v>86</v>
      </c>
      <c r="I50" s="0" t="n">
        <v>1.45</v>
      </c>
      <c r="J50" s="0" t="n">
        <v>86</v>
      </c>
      <c r="M50" s="31"/>
    </row>
    <row r="51" customFormat="false" ht="14.25" hidden="false" customHeight="false" outlineLevel="0" collapsed="false">
      <c r="B51" s="0" t="s">
        <v>34</v>
      </c>
      <c r="C51" s="79" t="n">
        <v>47</v>
      </c>
      <c r="D51" s="80" t="n">
        <v>1.83720930232558</v>
      </c>
      <c r="F51" s="0" t="n">
        <v>55</v>
      </c>
      <c r="G51" s="0" t="n">
        <v>86</v>
      </c>
      <c r="I51" s="0" t="n">
        <v>1.58</v>
      </c>
      <c r="J51" s="0" t="n">
        <v>86</v>
      </c>
      <c r="M51" s="31"/>
    </row>
    <row r="52" customFormat="false" ht="14.25" hidden="false" customHeight="false" outlineLevel="0" collapsed="false">
      <c r="B52" s="0" t="s">
        <v>39</v>
      </c>
      <c r="C52" s="79" t="n">
        <v>60</v>
      </c>
      <c r="D52" s="80" t="n">
        <v>2</v>
      </c>
      <c r="F52" s="0" t="n">
        <v>70</v>
      </c>
      <c r="G52" s="0" t="n">
        <v>86</v>
      </c>
      <c r="I52" s="0" t="n">
        <v>1.72</v>
      </c>
      <c r="J52" s="0" t="n">
        <v>86</v>
      </c>
      <c r="M52" s="31"/>
    </row>
    <row r="53" customFormat="false" ht="14.25" hidden="false" customHeight="false" outlineLevel="0" collapsed="false">
      <c r="B53" s="0" t="s">
        <v>43</v>
      </c>
      <c r="C53" s="79" t="n">
        <v>77</v>
      </c>
      <c r="D53" s="80" t="n">
        <v>1.68604651162791</v>
      </c>
      <c r="F53" s="0" t="n">
        <v>90</v>
      </c>
      <c r="G53" s="0" t="n">
        <v>86</v>
      </c>
      <c r="I53" s="0" t="n">
        <v>1.45</v>
      </c>
      <c r="J53" s="0" t="n">
        <v>86</v>
      </c>
      <c r="M53" s="31"/>
    </row>
    <row r="54" customFormat="false" ht="14.25" hidden="false" customHeight="false" outlineLevel="0" collapsed="false">
      <c r="B54" s="0" t="s">
        <v>47</v>
      </c>
      <c r="C54" s="79"/>
      <c r="D54" s="80"/>
      <c r="M54" s="31"/>
    </row>
    <row r="55" customFormat="false" ht="14.25" hidden="false" customHeight="false" outlineLevel="0" collapsed="false">
      <c r="B55" s="0" t="s">
        <v>52</v>
      </c>
      <c r="C55" s="79" t="n">
        <v>99</v>
      </c>
      <c r="D55" s="80" t="n">
        <v>1.59090909090909</v>
      </c>
      <c r="F55" s="0" t="n">
        <v>450</v>
      </c>
      <c r="G55" s="0" t="n">
        <v>22</v>
      </c>
      <c r="I55" s="0" t="n">
        <v>0.35</v>
      </c>
      <c r="J55" s="114" t="n">
        <v>22</v>
      </c>
      <c r="M55" s="31"/>
    </row>
    <row r="56" customFormat="false" ht="14.25" hidden="false" customHeight="false" outlineLevel="0" collapsed="false">
      <c r="B56" s="0" t="s">
        <v>56</v>
      </c>
      <c r="C56" s="79" t="n">
        <v>150</v>
      </c>
      <c r="D56" s="80" t="n">
        <v>0.782608695652174</v>
      </c>
      <c r="F56" s="0" t="n">
        <v>650</v>
      </c>
      <c r="G56" s="0" t="n">
        <v>23</v>
      </c>
      <c r="I56" s="0" t="n">
        <v>0.18</v>
      </c>
      <c r="J56" s="0" t="n">
        <v>23</v>
      </c>
      <c r="M56" s="31"/>
    </row>
    <row r="57" customFormat="false" ht="14.25" hidden="false" customHeight="false" outlineLevel="0" collapsed="false">
      <c r="B57" s="0" t="s">
        <v>60</v>
      </c>
      <c r="C57" s="79" t="n">
        <v>126</v>
      </c>
      <c r="D57" s="80" t="n">
        <v>1.25</v>
      </c>
      <c r="F57" s="0" t="n">
        <v>450</v>
      </c>
      <c r="G57" s="0" t="n">
        <v>28</v>
      </c>
      <c r="I57" s="115" t="n">
        <v>0.35</v>
      </c>
      <c r="J57" s="0" t="n">
        <v>28</v>
      </c>
      <c r="M57" s="31"/>
    </row>
    <row r="58" customFormat="false" ht="14.25" hidden="false" customHeight="false" outlineLevel="0" collapsed="false">
      <c r="B58" s="0" t="s">
        <v>64</v>
      </c>
      <c r="C58" s="79" t="n">
        <v>36</v>
      </c>
      <c r="D58" s="80" t="n">
        <v>3.62637362637363</v>
      </c>
      <c r="F58" s="0" t="n">
        <v>40</v>
      </c>
      <c r="G58" s="0" t="n">
        <v>91</v>
      </c>
      <c r="I58" s="0" t="n">
        <v>3.3</v>
      </c>
      <c r="J58" s="0" t="n">
        <v>91</v>
      </c>
      <c r="M58" s="31"/>
    </row>
    <row r="59" customFormat="false" ht="14.25" hidden="false" customHeight="false" outlineLevel="0" collapsed="false">
      <c r="B59" s="0" t="s">
        <v>68</v>
      </c>
      <c r="C59" s="79" t="n">
        <v>27</v>
      </c>
      <c r="D59" s="80" t="n">
        <v>3.18681318681319</v>
      </c>
      <c r="F59" s="0" t="n">
        <v>30</v>
      </c>
      <c r="G59" s="0" t="n">
        <v>91</v>
      </c>
      <c r="I59" s="0" t="n">
        <v>2.9</v>
      </c>
      <c r="J59" s="0" t="n">
        <v>91</v>
      </c>
      <c r="M59" s="31"/>
    </row>
    <row r="60" customFormat="false" ht="14.25" hidden="false" customHeight="false" outlineLevel="0" collapsed="false">
      <c r="B60" s="0" t="s">
        <v>72</v>
      </c>
      <c r="C60" s="79" t="n">
        <v>30</v>
      </c>
      <c r="D60" s="80" t="n">
        <v>4.47674418604651</v>
      </c>
      <c r="F60" s="64" t="n">
        <v>35</v>
      </c>
      <c r="G60" s="64" t="n">
        <v>86</v>
      </c>
      <c r="I60" s="0" t="n">
        <v>3.85</v>
      </c>
      <c r="J60" s="0" t="n">
        <v>86</v>
      </c>
      <c r="M60" s="31"/>
    </row>
    <row r="61" customFormat="false" ht="14.25" hidden="false" customHeight="false" outlineLevel="0" collapsed="false">
      <c r="B61" s="0" t="s">
        <v>73</v>
      </c>
      <c r="C61" s="79"/>
      <c r="D61" s="80"/>
      <c r="M61" s="31"/>
    </row>
    <row r="62" customFormat="false" ht="14.25" hidden="false" customHeight="false" outlineLevel="0" collapsed="false">
      <c r="B62" s="0" t="s">
        <v>75</v>
      </c>
      <c r="C62" s="79" t="n">
        <v>80</v>
      </c>
      <c r="D62" s="80" t="n">
        <v>1.81818181818182</v>
      </c>
      <c r="F62" s="0" t="s">
        <v>183</v>
      </c>
      <c r="G62" s="0" t="n">
        <v>20</v>
      </c>
      <c r="I62" s="115" t="n">
        <v>0.4</v>
      </c>
      <c r="J62" s="115" t="n">
        <v>22</v>
      </c>
      <c r="M62" s="31"/>
    </row>
    <row r="63" customFormat="false" ht="14.25" hidden="false" customHeight="false" outlineLevel="0" collapsed="false">
      <c r="B63" s="0" t="s">
        <v>78</v>
      </c>
      <c r="C63" s="81"/>
      <c r="D63" s="80"/>
    </row>
    <row r="64" customFormat="false" ht="14.25" hidden="false" customHeight="false" outlineLevel="0" collapsed="false">
      <c r="B64" s="0" t="s">
        <v>81</v>
      </c>
      <c r="C64" s="81"/>
      <c r="D64" s="80"/>
    </row>
    <row r="65" customFormat="false" ht="14.25" hidden="false" customHeight="false" outlineLevel="0" collapsed="false">
      <c r="B65" s="0" t="s">
        <v>85</v>
      </c>
      <c r="C65" s="81"/>
      <c r="D65" s="80"/>
    </row>
    <row r="68" customFormat="false" ht="14.25" hidden="false" customHeight="false" outlineLevel="0" collapsed="false">
      <c r="C68" s="107"/>
      <c r="D68" s="107"/>
      <c r="F68" s="116" t="s">
        <v>184</v>
      </c>
      <c r="H68" s="109" t="s">
        <v>185</v>
      </c>
      <c r="I68" s="109"/>
    </row>
    <row r="69" customFormat="false" ht="14.25" hidden="false" customHeight="true" outlineLevel="0" collapsed="false">
      <c r="B69" s="74" t="s">
        <v>186</v>
      </c>
      <c r="C69" s="117" t="s">
        <v>140</v>
      </c>
      <c r="D69" s="118" t="s">
        <v>141</v>
      </c>
      <c r="F69" s="116"/>
      <c r="H69" s="119" t="s">
        <v>187</v>
      </c>
      <c r="I69" s="96" t="s">
        <v>188</v>
      </c>
      <c r="K69" s="120"/>
      <c r="N69" s="121"/>
      <c r="O69" s="12"/>
    </row>
    <row r="70" customFormat="false" ht="14.25" hidden="false" customHeight="false" outlineLevel="0" collapsed="false">
      <c r="C70" s="117"/>
      <c r="D70" s="118"/>
      <c r="F70" s="116"/>
      <c r="H70" s="119"/>
      <c r="I70" s="96"/>
      <c r="K70" s="120"/>
      <c r="N70" s="121"/>
      <c r="O70" s="12"/>
    </row>
    <row r="71" customFormat="false" ht="14.25" hidden="false" customHeight="true" outlineLevel="0" collapsed="false">
      <c r="B71" s="0" t="s">
        <v>19</v>
      </c>
      <c r="C71" s="81" t="n">
        <v>0.8</v>
      </c>
      <c r="D71" s="82" t="n">
        <v>0.581395348837209</v>
      </c>
      <c r="F71" s="0" t="s">
        <v>189</v>
      </c>
      <c r="H71" s="101" t="n">
        <v>86</v>
      </c>
      <c r="I71" s="122" t="n">
        <v>0.5</v>
      </c>
      <c r="J71" s="123" t="s">
        <v>190</v>
      </c>
      <c r="K71" s="123"/>
      <c r="M71" s="31"/>
      <c r="N71" s="124"/>
      <c r="O71" s="125"/>
    </row>
    <row r="72" customFormat="false" ht="14.25" hidden="false" customHeight="false" outlineLevel="0" collapsed="false">
      <c r="B72" s="0" t="s">
        <v>25</v>
      </c>
      <c r="C72" s="81" t="n">
        <v>0.9</v>
      </c>
      <c r="D72" s="82" t="n">
        <v>0.581395348837209</v>
      </c>
      <c r="F72" s="0" t="s">
        <v>189</v>
      </c>
      <c r="H72" s="90" t="n">
        <v>86</v>
      </c>
      <c r="I72" s="1" t="n">
        <v>0.5</v>
      </c>
      <c r="J72" s="123"/>
      <c r="K72" s="123"/>
      <c r="M72" s="31"/>
      <c r="N72" s="124"/>
      <c r="O72" s="125"/>
    </row>
    <row r="73" customFormat="false" ht="14.25" hidden="false" customHeight="false" outlineLevel="0" collapsed="false">
      <c r="B73" s="0" t="s">
        <v>30</v>
      </c>
      <c r="C73" s="81" t="n">
        <v>0.7</v>
      </c>
      <c r="D73" s="82" t="n">
        <v>0.581395348837209</v>
      </c>
      <c r="F73" s="0" t="s">
        <v>189</v>
      </c>
      <c r="H73" s="90" t="n">
        <v>86</v>
      </c>
      <c r="I73" s="1" t="n">
        <v>0.5</v>
      </c>
      <c r="J73" s="123"/>
      <c r="K73" s="123"/>
      <c r="M73" s="31"/>
      <c r="N73" s="124"/>
      <c r="O73" s="125"/>
    </row>
    <row r="74" customFormat="false" ht="14.25" hidden="false" customHeight="false" outlineLevel="0" collapsed="false">
      <c r="B74" s="0" t="s">
        <v>32</v>
      </c>
      <c r="C74" s="81" t="n">
        <v>0.8</v>
      </c>
      <c r="D74" s="82" t="n">
        <v>0.581395348837209</v>
      </c>
      <c r="F74" s="0" t="s">
        <v>189</v>
      </c>
      <c r="H74" s="90" t="n">
        <v>86</v>
      </c>
      <c r="I74" s="1" t="n">
        <v>0.5</v>
      </c>
      <c r="J74" s="123"/>
      <c r="K74" s="123"/>
      <c r="M74" s="31"/>
      <c r="N74" s="124"/>
      <c r="O74" s="125"/>
    </row>
    <row r="75" customFormat="false" ht="14.25" hidden="false" customHeight="false" outlineLevel="0" collapsed="false">
      <c r="B75" s="0" t="s">
        <v>34</v>
      </c>
      <c r="C75" s="81" t="n">
        <v>1.1</v>
      </c>
      <c r="D75" s="82" t="n">
        <v>0.581395348837209</v>
      </c>
      <c r="F75" s="0" t="s">
        <v>189</v>
      </c>
      <c r="H75" s="90" t="n">
        <v>86</v>
      </c>
      <c r="I75" s="1" t="n">
        <v>0.5</v>
      </c>
      <c r="J75" s="123"/>
      <c r="K75" s="123"/>
      <c r="M75" s="31"/>
      <c r="N75" s="124"/>
      <c r="O75" s="125"/>
    </row>
    <row r="76" customFormat="false" ht="14.25" hidden="false" customHeight="false" outlineLevel="0" collapsed="false">
      <c r="B76" s="0" t="s">
        <v>39</v>
      </c>
      <c r="C76" s="81" t="n">
        <v>0.9</v>
      </c>
      <c r="D76" s="82" t="n">
        <v>0.581395348837209</v>
      </c>
      <c r="F76" s="0" t="s">
        <v>189</v>
      </c>
      <c r="H76" s="90" t="n">
        <v>86</v>
      </c>
      <c r="I76" s="1" t="n">
        <v>0.5</v>
      </c>
      <c r="J76" s="123"/>
      <c r="K76" s="123"/>
      <c r="M76" s="31"/>
      <c r="N76" s="124"/>
      <c r="O76" s="125"/>
    </row>
    <row r="77" customFormat="false" ht="14.25" hidden="false" customHeight="false" outlineLevel="0" collapsed="false">
      <c r="B77" s="0" t="s">
        <v>43</v>
      </c>
      <c r="C77" s="81" t="n">
        <v>1</v>
      </c>
      <c r="D77" s="82" t="n">
        <v>1.04651162790698</v>
      </c>
      <c r="F77" s="0" t="s">
        <v>189</v>
      </c>
      <c r="H77" s="90" t="n">
        <v>86</v>
      </c>
      <c r="I77" s="1" t="n">
        <v>0.9</v>
      </c>
      <c r="J77" s="123"/>
      <c r="K77" s="123"/>
      <c r="M77" s="31"/>
      <c r="N77" s="124"/>
      <c r="O77" s="125"/>
    </row>
    <row r="78" customFormat="false" ht="14.25" hidden="false" customHeight="false" outlineLevel="0" collapsed="false">
      <c r="B78" s="0" t="s">
        <v>47</v>
      </c>
      <c r="C78" s="81"/>
      <c r="D78" s="82"/>
      <c r="H78" s="90"/>
      <c r="I78" s="1"/>
      <c r="K78" s="125"/>
      <c r="M78" s="31"/>
      <c r="N78" s="124"/>
      <c r="O78" s="125"/>
    </row>
    <row r="79" customFormat="false" ht="14.25" hidden="false" customHeight="false" outlineLevel="0" collapsed="false">
      <c r="B79" s="0" t="s">
        <v>52</v>
      </c>
      <c r="C79" s="81" t="n">
        <v>0.2</v>
      </c>
      <c r="D79" s="82" t="n">
        <v>0.4</v>
      </c>
      <c r="F79" s="0" t="s">
        <v>189</v>
      </c>
      <c r="H79" s="126" t="s">
        <v>191</v>
      </c>
      <c r="I79" s="126"/>
      <c r="K79" s="125"/>
      <c r="M79" s="31"/>
      <c r="N79" s="124"/>
      <c r="O79" s="125"/>
    </row>
    <row r="80" customFormat="false" ht="14.25" hidden="false" customHeight="false" outlineLevel="0" collapsed="false">
      <c r="B80" s="0" t="s">
        <v>56</v>
      </c>
      <c r="C80" s="81" t="n">
        <v>0.7</v>
      </c>
      <c r="D80" s="82" t="n">
        <v>0.3</v>
      </c>
      <c r="F80" s="0" t="s">
        <v>189</v>
      </c>
      <c r="H80" s="126"/>
      <c r="I80" s="126"/>
      <c r="K80" s="125"/>
      <c r="M80" s="31"/>
      <c r="N80" s="124"/>
      <c r="O80" s="125"/>
    </row>
    <row r="81" customFormat="false" ht="14.25" hidden="false" customHeight="false" outlineLevel="0" collapsed="false">
      <c r="B81" s="0" t="s">
        <v>60</v>
      </c>
      <c r="C81" s="81" t="n">
        <v>0.1</v>
      </c>
      <c r="D81" s="82" t="n">
        <v>0.35</v>
      </c>
      <c r="F81" s="0" t="s">
        <v>192</v>
      </c>
      <c r="G81" s="127" t="s">
        <v>193</v>
      </c>
      <c r="H81" s="126"/>
      <c r="I81" s="126"/>
      <c r="K81" s="125"/>
      <c r="M81" s="31"/>
      <c r="N81" s="124"/>
      <c r="O81" s="128"/>
    </row>
    <row r="82" customFormat="false" ht="14.25" hidden="false" customHeight="false" outlineLevel="0" collapsed="false">
      <c r="B82" s="0" t="s">
        <v>64</v>
      </c>
      <c r="C82" s="81" t="n">
        <v>1.7</v>
      </c>
      <c r="D82" s="82" t="n">
        <v>0.7</v>
      </c>
      <c r="F82" s="0" t="s">
        <v>189</v>
      </c>
      <c r="H82" s="126"/>
      <c r="I82" s="126"/>
      <c r="K82" s="125"/>
      <c r="M82" s="31"/>
      <c r="N82" s="124"/>
      <c r="O82" s="125"/>
    </row>
    <row r="83" customFormat="false" ht="14.25" hidden="false" customHeight="true" outlineLevel="0" collapsed="false">
      <c r="B83" s="0" t="s">
        <v>68</v>
      </c>
      <c r="C83" s="81" t="n">
        <v>2</v>
      </c>
      <c r="D83" s="82" t="n">
        <v>1.16279069767442</v>
      </c>
      <c r="F83" s="0" t="s">
        <v>189</v>
      </c>
      <c r="H83" s="90" t="n">
        <v>86</v>
      </c>
      <c r="I83" s="1" t="n">
        <v>1</v>
      </c>
      <c r="J83" s="123" t="s">
        <v>194</v>
      </c>
      <c r="K83" s="123"/>
      <c r="M83" s="31"/>
      <c r="N83" s="124"/>
      <c r="O83" s="128"/>
    </row>
    <row r="84" customFormat="false" ht="14.25" hidden="false" customHeight="false" outlineLevel="0" collapsed="false">
      <c r="B84" s="0" t="s">
        <v>72</v>
      </c>
      <c r="C84" s="81" t="n">
        <v>1</v>
      </c>
      <c r="D84" s="82" t="n">
        <v>1.74418604651163</v>
      </c>
      <c r="F84" s="0" t="s">
        <v>189</v>
      </c>
      <c r="H84" s="90" t="n">
        <v>86</v>
      </c>
      <c r="I84" s="1" t="n">
        <v>1.5</v>
      </c>
      <c r="J84" s="123"/>
      <c r="K84" s="123"/>
      <c r="M84" s="31"/>
      <c r="N84" s="124"/>
      <c r="O84" s="125"/>
    </row>
    <row r="85" customFormat="false" ht="14.25" hidden="false" customHeight="false" outlineLevel="0" collapsed="false">
      <c r="B85" s="0" t="s">
        <v>73</v>
      </c>
      <c r="C85" s="81"/>
      <c r="D85" s="82"/>
      <c r="H85" s="90"/>
      <c r="I85" s="1"/>
      <c r="K85" s="125"/>
      <c r="M85" s="31"/>
      <c r="N85" s="124"/>
      <c r="O85" s="125"/>
    </row>
    <row r="86" customFormat="false" ht="14.25" hidden="false" customHeight="false" outlineLevel="0" collapsed="false">
      <c r="B86" s="0" t="s">
        <v>75</v>
      </c>
      <c r="C86" s="81" t="n">
        <v>0.1</v>
      </c>
      <c r="D86" s="82" t="n">
        <v>1.82</v>
      </c>
      <c r="F86" s="0" t="s">
        <v>192</v>
      </c>
      <c r="G86" s="127" t="s">
        <v>193</v>
      </c>
      <c r="H86" s="129" t="s">
        <v>195</v>
      </c>
      <c r="I86" s="129"/>
      <c r="M86" s="31"/>
      <c r="N86" s="124"/>
      <c r="O86" s="125"/>
    </row>
    <row r="87" customFormat="false" ht="14.25" hidden="false" customHeight="false" outlineLevel="0" collapsed="false">
      <c r="B87" s="0" t="s">
        <v>78</v>
      </c>
      <c r="C87" s="84"/>
      <c r="D87" s="85"/>
      <c r="H87" s="89"/>
    </row>
    <row r="88" customFormat="false" ht="14.25" hidden="false" customHeight="false" outlineLevel="0" collapsed="false">
      <c r="B88" s="0" t="s">
        <v>81</v>
      </c>
      <c r="C88" s="84"/>
      <c r="D88" s="85"/>
      <c r="H88" s="89"/>
    </row>
    <row r="89" customFormat="false" ht="14.25" hidden="false" customHeight="false" outlineLevel="0" collapsed="false">
      <c r="B89" s="0" t="s">
        <v>85</v>
      </c>
      <c r="C89" s="84"/>
      <c r="D89" s="85"/>
      <c r="H89" s="89"/>
    </row>
    <row r="93" customFormat="false" ht="14.25" hidden="false" customHeight="true" outlineLevel="0" collapsed="false">
      <c r="B93" s="74" t="s">
        <v>196</v>
      </c>
      <c r="C93" s="130" t="s">
        <v>142</v>
      </c>
      <c r="D93" s="131" t="s">
        <v>143</v>
      </c>
      <c r="F93" s="116" t="s">
        <v>197</v>
      </c>
      <c r="G93" s="116"/>
      <c r="I93" s="132" t="s">
        <v>198</v>
      </c>
      <c r="J93" s="132"/>
    </row>
    <row r="94" customFormat="false" ht="14.25" hidden="false" customHeight="false" outlineLevel="0" collapsed="false">
      <c r="C94" s="130"/>
      <c r="D94" s="131"/>
      <c r="F94" s="116"/>
      <c r="G94" s="116"/>
      <c r="I94" s="132"/>
      <c r="J94" s="132"/>
    </row>
    <row r="95" customFormat="false" ht="14.25" hidden="false" customHeight="true" outlineLevel="0" collapsed="false">
      <c r="B95" s="0" t="s">
        <v>19</v>
      </c>
      <c r="C95" s="133" t="n">
        <v>0.24</v>
      </c>
      <c r="D95" s="83" t="n">
        <v>1</v>
      </c>
      <c r="F95" s="134" t="s">
        <v>199</v>
      </c>
      <c r="G95" s="134"/>
      <c r="I95" s="123" t="s">
        <v>200</v>
      </c>
      <c r="J95" s="123"/>
    </row>
    <row r="96" customFormat="false" ht="14.25" hidden="false" customHeight="false" outlineLevel="0" collapsed="false">
      <c r="B96" s="0" t="s">
        <v>25</v>
      </c>
      <c r="C96" s="133" t="n">
        <v>0.24</v>
      </c>
      <c r="D96" s="83" t="n">
        <v>1</v>
      </c>
      <c r="F96" s="134"/>
      <c r="G96" s="134"/>
      <c r="I96" s="123"/>
      <c r="J96" s="123"/>
    </row>
    <row r="97" customFormat="false" ht="14.25" hidden="false" customHeight="false" outlineLevel="0" collapsed="false">
      <c r="B97" s="0" t="s">
        <v>30</v>
      </c>
      <c r="C97" s="133" t="n">
        <v>0.24</v>
      </c>
      <c r="D97" s="83" t="n">
        <v>1</v>
      </c>
      <c r="F97" s="134"/>
      <c r="G97" s="134"/>
      <c r="I97" s="123"/>
      <c r="J97" s="123"/>
    </row>
    <row r="98" customFormat="false" ht="14.25" hidden="false" customHeight="false" outlineLevel="0" collapsed="false">
      <c r="B98" s="0" t="s">
        <v>32</v>
      </c>
      <c r="C98" s="133" t="n">
        <v>0.24</v>
      </c>
      <c r="D98" s="83" t="n">
        <v>1</v>
      </c>
      <c r="F98" s="134"/>
      <c r="G98" s="134"/>
      <c r="I98" s="123"/>
      <c r="J98" s="123"/>
    </row>
    <row r="99" customFormat="false" ht="14.25" hidden="false" customHeight="false" outlineLevel="0" collapsed="false">
      <c r="B99" s="0" t="s">
        <v>34</v>
      </c>
      <c r="C99" s="133" t="n">
        <v>0.24</v>
      </c>
      <c r="D99" s="83" t="n">
        <v>1</v>
      </c>
      <c r="F99" s="134"/>
      <c r="G99" s="134"/>
      <c r="I99" s="123"/>
      <c r="J99" s="123"/>
    </row>
    <row r="100" customFormat="false" ht="14.25" hidden="false" customHeight="false" outlineLevel="0" collapsed="false">
      <c r="B100" s="0" t="s">
        <v>39</v>
      </c>
      <c r="C100" s="133" t="n">
        <v>0.24</v>
      </c>
      <c r="D100" s="83" t="n">
        <v>1</v>
      </c>
      <c r="F100" s="134"/>
      <c r="G100" s="134"/>
      <c r="I100" s="123"/>
      <c r="J100" s="123"/>
    </row>
    <row r="101" customFormat="false" ht="14.25" hidden="false" customHeight="false" outlineLevel="0" collapsed="false">
      <c r="B101" s="0" t="s">
        <v>43</v>
      </c>
      <c r="C101" s="133" t="n">
        <v>0.09</v>
      </c>
      <c r="D101" s="83" t="n">
        <v>1</v>
      </c>
      <c r="F101" s="0" t="s">
        <v>201</v>
      </c>
      <c r="I101" s="123"/>
      <c r="J101" s="123"/>
    </row>
    <row r="102" customFormat="false" ht="14.25" hidden="false" customHeight="false" outlineLevel="0" collapsed="false">
      <c r="B102" s="0" t="s">
        <v>47</v>
      </c>
      <c r="C102" s="133"/>
      <c r="D102" s="83"/>
      <c r="I102" s="123"/>
      <c r="J102" s="123"/>
    </row>
    <row r="103" customFormat="false" ht="14.25" hidden="false" customHeight="false" outlineLevel="0" collapsed="false">
      <c r="B103" s="0" t="s">
        <v>52</v>
      </c>
      <c r="C103" s="133" t="n">
        <v>0.03</v>
      </c>
      <c r="D103" s="83" t="n">
        <v>1</v>
      </c>
      <c r="F103" s="0" t="s">
        <v>202</v>
      </c>
      <c r="I103" s="123"/>
      <c r="J103" s="123"/>
    </row>
    <row r="104" customFormat="false" ht="14.25" hidden="false" customHeight="false" outlineLevel="0" collapsed="false">
      <c r="B104" s="0" t="s">
        <v>56</v>
      </c>
      <c r="C104" s="133" t="n">
        <v>0.02</v>
      </c>
      <c r="D104" s="83" t="n">
        <v>1</v>
      </c>
      <c r="F104" s="0" t="s">
        <v>202</v>
      </c>
      <c r="I104" s="123"/>
      <c r="J104" s="123"/>
    </row>
    <row r="105" customFormat="false" ht="14.25" hidden="false" customHeight="false" outlineLevel="0" collapsed="false">
      <c r="B105" s="0" t="s">
        <v>60</v>
      </c>
      <c r="C105" s="133" t="n">
        <v>0.09</v>
      </c>
      <c r="D105" s="83" t="n">
        <v>1</v>
      </c>
      <c r="F105" s="0" t="s">
        <v>201</v>
      </c>
      <c r="I105" s="123"/>
      <c r="J105" s="123"/>
    </row>
    <row r="106" customFormat="false" ht="14.25" hidden="false" customHeight="false" outlineLevel="0" collapsed="false">
      <c r="B106" s="0" t="s">
        <v>64</v>
      </c>
      <c r="C106" s="133" t="n">
        <v>0.28</v>
      </c>
      <c r="D106" s="83" t="n">
        <v>1</v>
      </c>
      <c r="F106" s="0" t="s">
        <v>203</v>
      </c>
      <c r="I106" s="123"/>
      <c r="J106" s="123"/>
    </row>
    <row r="107" customFormat="false" ht="14.25" hidden="false" customHeight="false" outlineLevel="0" collapsed="false">
      <c r="B107" s="0" t="s">
        <v>68</v>
      </c>
      <c r="C107" s="133" t="n">
        <v>0.28</v>
      </c>
      <c r="D107" s="83" t="n">
        <v>1</v>
      </c>
      <c r="F107" s="0" t="s">
        <v>204</v>
      </c>
      <c r="I107" s="123"/>
      <c r="J107" s="123"/>
    </row>
    <row r="108" customFormat="false" ht="14.25" hidden="false" customHeight="false" outlineLevel="0" collapsed="false">
      <c r="B108" s="0" t="s">
        <v>72</v>
      </c>
      <c r="C108" s="133" t="n">
        <v>0.21</v>
      </c>
      <c r="D108" s="83" t="n">
        <v>2</v>
      </c>
      <c r="F108" s="0" t="s">
        <v>201</v>
      </c>
      <c r="I108" s="123"/>
      <c r="J108" s="123"/>
    </row>
    <row r="109" customFormat="false" ht="14.25" hidden="false" customHeight="false" outlineLevel="0" collapsed="false">
      <c r="B109" s="0" t="s">
        <v>73</v>
      </c>
      <c r="C109" s="133"/>
      <c r="D109" s="83"/>
      <c r="I109" s="123"/>
      <c r="J109" s="123"/>
    </row>
    <row r="110" customFormat="false" ht="14.25" hidden="false" customHeight="false" outlineLevel="0" collapsed="false">
      <c r="B110" s="0" t="s">
        <v>75</v>
      </c>
      <c r="C110" s="133" t="n">
        <v>2.4</v>
      </c>
      <c r="D110" s="83" t="n">
        <v>1</v>
      </c>
      <c r="F110" s="0" t="s">
        <v>205</v>
      </c>
      <c r="I110" s="123"/>
      <c r="J110" s="123"/>
    </row>
    <row r="111" customFormat="false" ht="14.25" hidden="false" customHeight="false" outlineLevel="0" collapsed="false">
      <c r="B111" s="0" t="s">
        <v>78</v>
      </c>
      <c r="C111" s="84"/>
      <c r="D111" s="1"/>
      <c r="I111" s="123"/>
      <c r="J111" s="123"/>
    </row>
    <row r="112" customFormat="false" ht="14.25" hidden="false" customHeight="false" outlineLevel="0" collapsed="false">
      <c r="B112" s="0" t="s">
        <v>81</v>
      </c>
      <c r="C112" s="84"/>
      <c r="D112" s="1"/>
      <c r="I112" s="123"/>
      <c r="J112" s="123"/>
    </row>
    <row r="113" customFormat="false" ht="14.25" hidden="false" customHeight="false" outlineLevel="0" collapsed="false">
      <c r="B113" s="0" t="s">
        <v>85</v>
      </c>
      <c r="C113" s="84"/>
      <c r="D113" s="1"/>
      <c r="I113" s="123"/>
      <c r="J113" s="123"/>
    </row>
  </sheetData>
  <mergeCells count="25">
    <mergeCell ref="C8:C9"/>
    <mergeCell ref="D8:D9"/>
    <mergeCell ref="E8:E9"/>
    <mergeCell ref="F44:G44"/>
    <mergeCell ref="I44:J44"/>
    <mergeCell ref="C45:C46"/>
    <mergeCell ref="D45:D46"/>
    <mergeCell ref="F45:F46"/>
    <mergeCell ref="G45:G46"/>
    <mergeCell ref="F68:F70"/>
    <mergeCell ref="H68:I68"/>
    <mergeCell ref="C69:C70"/>
    <mergeCell ref="D69:D70"/>
    <mergeCell ref="H69:H70"/>
    <mergeCell ref="I69:I70"/>
    <mergeCell ref="J71:K77"/>
    <mergeCell ref="H79:I82"/>
    <mergeCell ref="J83:K84"/>
    <mergeCell ref="H86:I86"/>
    <mergeCell ref="C93:C94"/>
    <mergeCell ref="D93:D94"/>
    <mergeCell ref="F93:G94"/>
    <mergeCell ref="I93:J94"/>
    <mergeCell ref="F95:G100"/>
    <mergeCell ref="I95:J113"/>
  </mergeCells>
  <hyperlinks>
    <hyperlink ref="C4" r:id="rId1" location=":~:text=Die%20landwirtschaftlich%20genutzte%20Fläche%20blieb,Betrieb%20durchschnittlich%2056%20Hektar%20bewirtschaftete.%20–%20aufgerufen%20am%2022.04.23" display="https://www.destatis.de/DE/Presse/Pressemitteilungen/2021/01/PD21_028_412.html#:~:text=Die%20landwirtschaftlich%20genutzte%20Fl%C3%A4che%20blieb,Betrieb%20durchschnittlich%2056%20Hektar%20bewirtschaftete. – aufgerufen am 22.04.23"/>
    <hyperlink ref="G9" r:id="rId2" location="123340" display="https://www.destatis.de/DE/Themen/Branchen-Unternehmen/Landwirtschaft-Forstwirtschaft-Fischerei/Feldfruechte-Gruenland/Tabellen/liste-feldfruechte-zeitreihe.html#123340"/>
    <hyperlink ref="G25" r:id="rId3" display="https://www.destatis.de/DE/Themen/Branchen-Unternehmen/Landwirtschaft-Forstwirtschaft-Fischerei/Feldfruechte-Gruenland/_inhalt.html"/>
  </hyperlink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R73"/>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L13" activeCellId="0" sqref="L13"/>
    </sheetView>
  </sheetViews>
  <sheetFormatPr defaultColWidth="10.6796875" defaultRowHeight="14.25" zeroHeight="false" outlineLevelRow="0" outlineLevelCol="0"/>
  <cols>
    <col collapsed="false" customWidth="true" hidden="false" outlineLevel="0" max="2" min="2" style="0" width="26.73"/>
    <col collapsed="false" customWidth="true" hidden="false" outlineLevel="0" max="4" min="3" style="0" width="30.27"/>
    <col collapsed="false" customWidth="true" hidden="false" outlineLevel="0" max="5" min="5" style="0" width="10.91"/>
    <col collapsed="false" customWidth="true" hidden="false" outlineLevel="0" max="12" min="6" style="0" width="21.82"/>
  </cols>
  <sheetData>
    <row r="2" customFormat="false" ht="15" hidden="false" customHeight="false" outlineLevel="0" collapsed="false">
      <c r="B2" s="74" t="s">
        <v>137</v>
      </c>
      <c r="C2" s="86" t="s">
        <v>206</v>
      </c>
      <c r="D2" s="87" t="s">
        <v>207</v>
      </c>
      <c r="F2" s="113" t="s">
        <v>208</v>
      </c>
      <c r="G2" s="113" t="s">
        <v>180</v>
      </c>
      <c r="I2" s="113" t="s">
        <v>209</v>
      </c>
      <c r="K2" s="113" t="s">
        <v>179</v>
      </c>
      <c r="L2" s="113" t="s">
        <v>179</v>
      </c>
    </row>
    <row r="3" customFormat="false" ht="14.25" hidden="false" customHeight="false" outlineLevel="0" collapsed="false">
      <c r="C3" s="135" t="s">
        <v>147</v>
      </c>
      <c r="D3" s="85" t="s">
        <v>210</v>
      </c>
      <c r="F3" s="1" t="s">
        <v>211</v>
      </c>
      <c r="G3" s="1" t="s">
        <v>182</v>
      </c>
      <c r="H3" s="1" t="s">
        <v>212</v>
      </c>
      <c r="I3" s="1" t="s">
        <v>213</v>
      </c>
      <c r="K3" s="1" t="s">
        <v>182</v>
      </c>
      <c r="L3" s="1" t="s">
        <v>181</v>
      </c>
      <c r="N3" s="136" t="s">
        <v>213</v>
      </c>
      <c r="O3" s="137"/>
      <c r="P3" s="137" t="s">
        <v>214</v>
      </c>
      <c r="Q3" s="137" t="s">
        <v>215</v>
      </c>
      <c r="R3" s="138" t="s">
        <v>18</v>
      </c>
    </row>
    <row r="4" customFormat="false" ht="14.25" hidden="false" customHeight="false" outlineLevel="0" collapsed="false">
      <c r="B4" s="0" t="s">
        <v>19</v>
      </c>
      <c r="C4" s="79" t="n">
        <v>69</v>
      </c>
      <c r="D4" s="139" t="n">
        <v>2</v>
      </c>
      <c r="F4" s="0" t="n">
        <v>80</v>
      </c>
      <c r="G4" s="0" t="n">
        <v>86</v>
      </c>
      <c r="H4" s="15" t="n">
        <f aca="false">F4*G4/100</f>
        <v>68.8</v>
      </c>
      <c r="I4" s="1" t="n">
        <v>2</v>
      </c>
      <c r="L4" s="0" t="n">
        <v>1.81</v>
      </c>
      <c r="N4" s="140" t="n">
        <f aca="false">L4/(G4/100)</f>
        <v>2.1046511627907</v>
      </c>
      <c r="P4" s="15" t="n">
        <f aca="false">C4*(N4/100)*100</f>
        <v>145.220930232558</v>
      </c>
      <c r="Q4" s="15" t="n">
        <v>230</v>
      </c>
      <c r="R4" s="141" t="n">
        <f aca="false">P4/Q4</f>
        <v>0.631395348837209</v>
      </c>
    </row>
    <row r="5" customFormat="false" ht="14.25" hidden="false" customHeight="false" outlineLevel="0" collapsed="false">
      <c r="B5" s="0" t="s">
        <v>25</v>
      </c>
      <c r="C5" s="79" t="n">
        <v>60</v>
      </c>
      <c r="D5" s="139" t="n">
        <v>1.6</v>
      </c>
      <c r="F5" s="0" t="n">
        <v>70</v>
      </c>
      <c r="G5" s="0" t="n">
        <v>86</v>
      </c>
      <c r="H5" s="15" t="n">
        <f aca="false">F5*G5/100</f>
        <v>60.2</v>
      </c>
      <c r="I5" s="0" t="n">
        <v>1.6</v>
      </c>
      <c r="L5" s="0" t="n">
        <v>1.58</v>
      </c>
      <c r="N5" s="140" t="n">
        <f aca="false">L5/(G5/100)</f>
        <v>1.83720930232558</v>
      </c>
      <c r="P5" s="15" t="n">
        <f aca="false">C5*(N5/100)*100</f>
        <v>110.232558139535</v>
      </c>
      <c r="Q5" s="15" t="n">
        <v>170</v>
      </c>
      <c r="R5" s="141" t="n">
        <f aca="false">P5/Q5</f>
        <v>0.648426812585499</v>
      </c>
    </row>
    <row r="6" customFormat="false" ht="14.25" hidden="false" customHeight="false" outlineLevel="0" collapsed="false">
      <c r="B6" s="0" t="s">
        <v>30</v>
      </c>
      <c r="C6" s="79" t="n">
        <v>60</v>
      </c>
      <c r="D6" s="139" t="n">
        <v>1.7</v>
      </c>
      <c r="F6" s="0" t="n">
        <v>70</v>
      </c>
      <c r="G6" s="0" t="n">
        <v>86</v>
      </c>
      <c r="H6" s="15" t="n">
        <f aca="false">F6*G6/100</f>
        <v>60.2</v>
      </c>
      <c r="I6" s="0" t="n">
        <v>1.7</v>
      </c>
      <c r="L6" s="0" t="n">
        <v>1.72</v>
      </c>
      <c r="N6" s="140" t="n">
        <f aca="false">L6/(G6/100)</f>
        <v>2</v>
      </c>
      <c r="P6" s="15" t="n">
        <f aca="false">C6*(N6/100)*100</f>
        <v>120</v>
      </c>
      <c r="Q6" s="15" t="n">
        <v>180</v>
      </c>
      <c r="R6" s="141" t="n">
        <f aca="false">P6/Q6</f>
        <v>0.666666666666667</v>
      </c>
    </row>
    <row r="7" customFormat="false" ht="14.25" hidden="false" customHeight="false" outlineLevel="0" collapsed="false">
      <c r="B7" s="0" t="s">
        <v>32</v>
      </c>
      <c r="C7" s="79" t="n">
        <v>43</v>
      </c>
      <c r="D7" s="139" t="n">
        <v>1.7</v>
      </c>
      <c r="F7" s="0" t="n">
        <v>50</v>
      </c>
      <c r="G7" s="0" t="n">
        <v>86</v>
      </c>
      <c r="H7" s="15" t="n">
        <f aca="false">F7*G7/100</f>
        <v>43</v>
      </c>
      <c r="I7" s="0" t="n">
        <v>1.7</v>
      </c>
      <c r="L7" s="0" t="n">
        <v>1.45</v>
      </c>
      <c r="N7" s="140" t="n">
        <f aca="false">L7/(G7/100)</f>
        <v>1.68604651162791</v>
      </c>
      <c r="P7" s="15" t="n">
        <f aca="false">C7*(N7/100)*100</f>
        <v>72.5</v>
      </c>
      <c r="Q7" s="15" t="n">
        <v>140</v>
      </c>
      <c r="R7" s="141" t="n">
        <f aca="false">P7/Q7</f>
        <v>0.517857142857143</v>
      </c>
    </row>
    <row r="8" customFormat="false" ht="14.25" hidden="false" customHeight="false" outlineLevel="0" collapsed="false">
      <c r="B8" s="0" t="s">
        <v>34</v>
      </c>
      <c r="C8" s="79" t="n">
        <v>47</v>
      </c>
      <c r="D8" s="139" t="n">
        <v>1.6</v>
      </c>
      <c r="F8" s="0" t="n">
        <v>55</v>
      </c>
      <c r="G8" s="0" t="n">
        <v>86</v>
      </c>
      <c r="H8" s="15" t="n">
        <f aca="false">F8*G8/100</f>
        <v>47.3</v>
      </c>
      <c r="I8" s="0" t="n">
        <v>1.6</v>
      </c>
      <c r="L8" s="0" t="n">
        <v>1.58</v>
      </c>
      <c r="N8" s="140" t="n">
        <f aca="false">L8/(G8/100)</f>
        <v>1.83720930232558</v>
      </c>
      <c r="P8" s="15" t="n">
        <f aca="false">C8*(N8/100)*100</f>
        <v>86.3488372093024</v>
      </c>
      <c r="Q8" s="15" t="n">
        <v>130</v>
      </c>
      <c r="R8" s="141" t="n">
        <f aca="false">P8/Q8</f>
        <v>0.664221824686941</v>
      </c>
    </row>
    <row r="9" customFormat="false" ht="14.25" hidden="false" customHeight="false" outlineLevel="0" collapsed="false">
      <c r="B9" s="0" t="s">
        <v>39</v>
      </c>
      <c r="C9" s="79" t="n">
        <v>60</v>
      </c>
      <c r="D9" s="139" t="n">
        <v>1.8</v>
      </c>
      <c r="F9" s="0" t="n">
        <v>70</v>
      </c>
      <c r="G9" s="0" t="n">
        <v>86</v>
      </c>
      <c r="H9" s="15" t="n">
        <f aca="false">F9*G9/100</f>
        <v>60.2</v>
      </c>
      <c r="I9" s="0" t="n">
        <v>1.8</v>
      </c>
      <c r="L9" s="0" t="n">
        <v>1.72</v>
      </c>
      <c r="N9" s="140" t="n">
        <f aca="false">L9/(G9/100)</f>
        <v>2</v>
      </c>
      <c r="P9" s="15" t="n">
        <f aca="false">C9*(N9/100)*100</f>
        <v>120</v>
      </c>
      <c r="Q9" s="15" t="n">
        <v>190</v>
      </c>
      <c r="R9" s="141" t="n">
        <f aca="false">P9/Q9</f>
        <v>0.631578947368421</v>
      </c>
    </row>
    <row r="10" customFormat="false" ht="14.25" hidden="false" customHeight="false" outlineLevel="0" collapsed="false">
      <c r="B10" s="0" t="s">
        <v>43</v>
      </c>
      <c r="C10" s="79" t="n">
        <v>77</v>
      </c>
      <c r="D10" s="139" t="n">
        <v>1.4</v>
      </c>
      <c r="F10" s="0" t="n">
        <v>90</v>
      </c>
      <c r="G10" s="0" t="n">
        <v>86</v>
      </c>
      <c r="H10" s="15" t="n">
        <f aca="false">F10*G10/100</f>
        <v>77.4</v>
      </c>
      <c r="I10" s="0" t="n">
        <v>1.4</v>
      </c>
      <c r="L10" s="0" t="n">
        <v>1.45</v>
      </c>
      <c r="N10" s="140" t="n">
        <f aca="false">L10/(G10/100)</f>
        <v>1.68604651162791</v>
      </c>
      <c r="P10" s="15" t="n">
        <f aca="false">C10*(N10/100)*100</f>
        <v>129.825581395349</v>
      </c>
      <c r="Q10" s="15" t="n">
        <v>200</v>
      </c>
      <c r="R10" s="141" t="n">
        <f aca="false">P10/Q10</f>
        <v>0.649127906976744</v>
      </c>
    </row>
    <row r="11" customFormat="false" ht="14.25" hidden="false" customHeight="false" outlineLevel="0" collapsed="false">
      <c r="B11" s="0" t="s">
        <v>47</v>
      </c>
      <c r="C11" s="79"/>
      <c r="D11" s="85"/>
      <c r="H11" s="15"/>
      <c r="N11" s="142"/>
      <c r="P11" s="15"/>
      <c r="Q11" s="15"/>
      <c r="R11" s="141"/>
    </row>
    <row r="12" customFormat="false" ht="14.25" hidden="false" customHeight="false" outlineLevel="0" collapsed="false">
      <c r="B12" s="0" t="s">
        <v>52</v>
      </c>
      <c r="C12" s="143" t="n">
        <v>99</v>
      </c>
      <c r="D12" s="144" t="n">
        <v>0.35</v>
      </c>
      <c r="F12" s="0" t="n">
        <v>450</v>
      </c>
      <c r="G12" s="114" t="n">
        <v>22</v>
      </c>
      <c r="H12" s="15" t="n">
        <f aca="false">F12*G12/100</f>
        <v>99</v>
      </c>
      <c r="I12" s="0" t="n">
        <v>0.35</v>
      </c>
      <c r="K12" s="145" t="n">
        <v>12</v>
      </c>
      <c r="L12" s="0" t="n">
        <v>0.35</v>
      </c>
      <c r="N12" s="140" t="n">
        <f aca="false">L12/(G12/100)</f>
        <v>1.59090909090909</v>
      </c>
      <c r="P12" s="15" t="n">
        <f aca="false">C12*(N12/100)*100</f>
        <v>157.5</v>
      </c>
      <c r="Q12" s="15" t="n">
        <v>180</v>
      </c>
      <c r="R12" s="141" t="n">
        <f aca="false">P12/Q12</f>
        <v>0.875</v>
      </c>
    </row>
    <row r="13" customFormat="false" ht="14.25" hidden="false" customHeight="false" outlineLevel="0" collapsed="false">
      <c r="B13" s="0" t="s">
        <v>56</v>
      </c>
      <c r="C13" s="79" t="n">
        <v>150</v>
      </c>
      <c r="D13" s="139" t="n">
        <v>0.2</v>
      </c>
      <c r="F13" s="0" t="n">
        <v>650</v>
      </c>
      <c r="G13" s="0" t="n">
        <v>23</v>
      </c>
      <c r="H13" s="15" t="n">
        <f aca="false">F13*G13/100</f>
        <v>149.5</v>
      </c>
      <c r="I13" s="0" t="n">
        <v>0.2</v>
      </c>
      <c r="K13" s="0" t="n">
        <v>23</v>
      </c>
      <c r="L13" s="0" t="n">
        <v>0.18</v>
      </c>
      <c r="N13" s="140" t="n">
        <f aca="false">L13/(G13/100)</f>
        <v>0.782608695652174</v>
      </c>
      <c r="P13" s="15" t="n">
        <f aca="false">C13*(N13/100)*100</f>
        <v>117.391304347826</v>
      </c>
      <c r="Q13" s="15" t="n">
        <v>170</v>
      </c>
      <c r="R13" s="141" t="n">
        <f aca="false">P13/Q13</f>
        <v>0.690537084398977</v>
      </c>
    </row>
    <row r="14" customFormat="false" ht="14.25" hidden="false" customHeight="false" outlineLevel="0" collapsed="false">
      <c r="B14" s="0" t="s">
        <v>60</v>
      </c>
      <c r="C14" s="79" t="n">
        <v>126</v>
      </c>
      <c r="D14" s="144" t="n">
        <v>0.35</v>
      </c>
      <c r="F14" s="0" t="n">
        <v>450</v>
      </c>
      <c r="G14" s="0" t="n">
        <v>28</v>
      </c>
      <c r="H14" s="15" t="n">
        <f aca="false">F14*G14/100</f>
        <v>126</v>
      </c>
      <c r="I14" s="0" t="n">
        <v>0.35</v>
      </c>
      <c r="K14" s="0" t="n">
        <v>28</v>
      </c>
      <c r="L14" s="115" t="n">
        <v>0.35</v>
      </c>
      <c r="N14" s="140" t="n">
        <f aca="false">L14/(G14/100)</f>
        <v>1.25</v>
      </c>
      <c r="P14" s="15" t="n">
        <f aca="false">C14*(N14/100)*100</f>
        <v>157.5</v>
      </c>
      <c r="Q14" s="15" t="n">
        <v>200</v>
      </c>
      <c r="R14" s="141" t="n">
        <f aca="false">P14/Q14</f>
        <v>0.7875</v>
      </c>
    </row>
    <row r="15" customFormat="false" ht="14.25" hidden="false" customHeight="false" outlineLevel="0" collapsed="false">
      <c r="B15" s="0" t="s">
        <v>64</v>
      </c>
      <c r="C15" s="79" t="n">
        <v>36</v>
      </c>
      <c r="D15" s="139" t="n">
        <v>3.3</v>
      </c>
      <c r="F15" s="0" t="n">
        <v>40</v>
      </c>
      <c r="G15" s="0" t="n">
        <v>91</v>
      </c>
      <c r="H15" s="15" t="n">
        <f aca="false">F15*G15/100</f>
        <v>36.4</v>
      </c>
      <c r="I15" s="0" t="n">
        <v>3.3</v>
      </c>
      <c r="K15" s="0" t="n">
        <v>91</v>
      </c>
      <c r="L15" s="0" t="n">
        <v>3.3</v>
      </c>
      <c r="N15" s="140" t="n">
        <f aca="false">L15/(G15/100)</f>
        <v>3.62637362637363</v>
      </c>
      <c r="P15" s="15" t="n">
        <f aca="false">C15*(N15/100)*100</f>
        <v>130.549450549451</v>
      </c>
      <c r="Q15" s="15" t="n">
        <v>200</v>
      </c>
      <c r="R15" s="141" t="n">
        <f aca="false">P15/Q15</f>
        <v>0.652747252747253</v>
      </c>
    </row>
    <row r="16" customFormat="false" ht="14.25" hidden="false" customHeight="false" outlineLevel="0" collapsed="false">
      <c r="B16" s="0" t="s">
        <v>68</v>
      </c>
      <c r="C16" s="79" t="n">
        <v>27</v>
      </c>
      <c r="D16" s="139" t="n">
        <v>3.2</v>
      </c>
      <c r="F16" s="0" t="n">
        <v>30</v>
      </c>
      <c r="G16" s="0" t="n">
        <v>91</v>
      </c>
      <c r="H16" s="15" t="n">
        <f aca="false">F16*G16/100</f>
        <v>27.3</v>
      </c>
      <c r="L16" s="0" t="n">
        <v>2.9</v>
      </c>
      <c r="N16" s="140" t="n">
        <f aca="false">L16/(G16/100)</f>
        <v>3.18681318681319</v>
      </c>
      <c r="P16" s="15" t="n">
        <f aca="false">C16*(N16/100)*100</f>
        <v>86.043956043956</v>
      </c>
      <c r="Q16" s="15" t="n">
        <v>120</v>
      </c>
      <c r="R16" s="141" t="n">
        <f aca="false">P16/Q16</f>
        <v>0.717032967032967</v>
      </c>
    </row>
    <row r="17" customFormat="false" ht="14.25" hidden="false" customHeight="false" outlineLevel="0" collapsed="false">
      <c r="B17" s="0" t="s">
        <v>72</v>
      </c>
      <c r="C17" s="79" t="n">
        <v>30</v>
      </c>
      <c r="D17" s="139" t="n">
        <v>2.8</v>
      </c>
      <c r="G17" s="0" t="n">
        <v>86</v>
      </c>
      <c r="L17" s="0" t="n">
        <v>3.85</v>
      </c>
      <c r="N17" s="140" t="n">
        <f aca="false">L17/(G17/100)</f>
        <v>4.47674418604651</v>
      </c>
      <c r="P17" s="15" t="n">
        <f aca="false">C17*(N17/100)*100</f>
        <v>134.302325581395</v>
      </c>
      <c r="Q17" s="15" t="n">
        <v>0</v>
      </c>
      <c r="R17" s="141"/>
    </row>
    <row r="18" customFormat="false" ht="14.25" hidden="false" customHeight="false" outlineLevel="0" collapsed="false">
      <c r="B18" s="0" t="s">
        <v>73</v>
      </c>
      <c r="C18" s="79"/>
      <c r="D18" s="85"/>
      <c r="N18" s="142"/>
      <c r="Q18" s="15"/>
      <c r="R18" s="141"/>
    </row>
    <row r="19" customFormat="false" ht="15" hidden="false" customHeight="false" outlineLevel="0" collapsed="false">
      <c r="B19" s="0" t="s">
        <v>75</v>
      </c>
      <c r="C19" s="79" t="n">
        <v>80</v>
      </c>
      <c r="D19" s="139" t="n">
        <v>0.5</v>
      </c>
      <c r="F19" s="0" t="s">
        <v>216</v>
      </c>
      <c r="G19" s="115" t="n">
        <v>22</v>
      </c>
      <c r="H19" s="0" t="n">
        <v>80</v>
      </c>
      <c r="I19" s="0" t="n">
        <v>0.4</v>
      </c>
      <c r="K19" s="0" t="n">
        <v>20</v>
      </c>
      <c r="L19" s="115" t="n">
        <v>0.4</v>
      </c>
      <c r="N19" s="146" t="n">
        <f aca="false">L19/(G19/100)</f>
        <v>1.81818181818182</v>
      </c>
      <c r="O19" s="147"/>
      <c r="P19" s="148" t="n">
        <f aca="false">C19*(N19/100)*100</f>
        <v>145.454545454545</v>
      </c>
      <c r="Q19" s="148" t="n">
        <v>190</v>
      </c>
      <c r="R19" s="149" t="n">
        <f aca="false">P19/Q19</f>
        <v>0.76555023923445</v>
      </c>
    </row>
    <row r="20" customFormat="false" ht="14.25" hidden="false" customHeight="false" outlineLevel="0" collapsed="false">
      <c r="B20" s="0" t="s">
        <v>78</v>
      </c>
      <c r="C20" s="81"/>
      <c r="D20" s="80"/>
    </row>
    <row r="21" customFormat="false" ht="14.25" hidden="false" customHeight="false" outlineLevel="0" collapsed="false">
      <c r="B21" s="0" t="s">
        <v>81</v>
      </c>
      <c r="C21" s="81"/>
      <c r="D21" s="80"/>
    </row>
    <row r="22" customFormat="false" ht="14.25" hidden="false" customHeight="false" outlineLevel="0" collapsed="false">
      <c r="B22" s="0" t="s">
        <v>85</v>
      </c>
      <c r="C22" s="81"/>
      <c r="D22" s="80"/>
    </row>
    <row r="29" customFormat="false" ht="14.25" hidden="false" customHeight="false" outlineLevel="0" collapsed="false">
      <c r="B29" s="74" t="s">
        <v>137</v>
      </c>
      <c r="C29" s="86" t="s">
        <v>207</v>
      </c>
      <c r="D29" s="87" t="s">
        <v>207</v>
      </c>
      <c r="F29" s="113" t="s">
        <v>179</v>
      </c>
      <c r="G29" s="113" t="s">
        <v>217</v>
      </c>
      <c r="H29" s="113" t="s">
        <v>209</v>
      </c>
      <c r="J29" s="113" t="s">
        <v>179</v>
      </c>
      <c r="K29" s="113" t="s">
        <v>179</v>
      </c>
    </row>
    <row r="30" customFormat="false" ht="14.25" hidden="false" customHeight="false" outlineLevel="0" collapsed="false">
      <c r="C30" s="84" t="s">
        <v>140</v>
      </c>
      <c r="D30" s="85" t="s">
        <v>141</v>
      </c>
      <c r="F30" s="1" t="s">
        <v>140</v>
      </c>
      <c r="G30" s="1" t="s">
        <v>218</v>
      </c>
      <c r="H30" s="1" t="s">
        <v>213</v>
      </c>
      <c r="J30" s="1" t="s">
        <v>218</v>
      </c>
      <c r="K30" s="1" t="s">
        <v>181</v>
      </c>
      <c r="L30" s="1" t="s">
        <v>213</v>
      </c>
    </row>
    <row r="31" customFormat="false" ht="14.25" hidden="false" customHeight="false" outlineLevel="0" collapsed="false">
      <c r="B31" s="0" t="s">
        <v>19</v>
      </c>
      <c r="C31" s="81" t="n">
        <v>0.8</v>
      </c>
      <c r="D31" s="82" t="n">
        <v>0.55</v>
      </c>
      <c r="F31" s="0" t="n">
        <v>0.8</v>
      </c>
      <c r="G31" s="0" t="n">
        <v>86</v>
      </c>
      <c r="H31" s="0" t="n">
        <v>0.55</v>
      </c>
      <c r="K31" s="0" t="n">
        <v>0.5</v>
      </c>
      <c r="L31" s="31" t="n">
        <f aca="false">K31/(G31/100)</f>
        <v>0.581395348837209</v>
      </c>
    </row>
    <row r="32" customFormat="false" ht="14.25" hidden="false" customHeight="false" outlineLevel="0" collapsed="false">
      <c r="B32" s="0" t="s">
        <v>25</v>
      </c>
      <c r="C32" s="81" t="n">
        <v>0.9</v>
      </c>
      <c r="D32" s="82" t="n">
        <v>0.55</v>
      </c>
      <c r="F32" s="0" t="n">
        <v>0.9</v>
      </c>
      <c r="G32" s="0" t="n">
        <v>86</v>
      </c>
      <c r="H32" s="0" t="n">
        <v>0.55</v>
      </c>
      <c r="K32" s="0" t="n">
        <v>0.5</v>
      </c>
      <c r="L32" s="31" t="n">
        <f aca="false">K32/(G32/100)</f>
        <v>0.581395348837209</v>
      </c>
    </row>
    <row r="33" customFormat="false" ht="14.25" hidden="false" customHeight="false" outlineLevel="0" collapsed="false">
      <c r="B33" s="0" t="s">
        <v>30</v>
      </c>
      <c r="C33" s="81" t="n">
        <v>0.7</v>
      </c>
      <c r="D33" s="82" t="n">
        <v>0.55</v>
      </c>
      <c r="F33" s="0" t="n">
        <v>0.7</v>
      </c>
      <c r="G33" s="0" t="n">
        <v>86</v>
      </c>
      <c r="H33" s="0" t="n">
        <v>0.55</v>
      </c>
      <c r="K33" s="0" t="n">
        <v>0.5</v>
      </c>
      <c r="L33" s="31" t="n">
        <f aca="false">K33/(G33/100)</f>
        <v>0.581395348837209</v>
      </c>
    </row>
    <row r="34" customFormat="false" ht="14.25" hidden="false" customHeight="false" outlineLevel="0" collapsed="false">
      <c r="B34" s="0" t="s">
        <v>32</v>
      </c>
      <c r="C34" s="81" t="n">
        <v>0.8</v>
      </c>
      <c r="D34" s="82" t="n">
        <v>0.55</v>
      </c>
      <c r="F34" s="0" t="n">
        <v>0.7</v>
      </c>
      <c r="G34" s="0" t="n">
        <v>86</v>
      </c>
      <c r="H34" s="0" t="n">
        <v>0.55</v>
      </c>
      <c r="K34" s="0" t="n">
        <v>0.5</v>
      </c>
      <c r="L34" s="31" t="n">
        <f aca="false">K34/(G34/100)</f>
        <v>0.581395348837209</v>
      </c>
    </row>
    <row r="35" customFormat="false" ht="14.25" hidden="false" customHeight="false" outlineLevel="0" collapsed="false">
      <c r="B35" s="0" t="s">
        <v>34</v>
      </c>
      <c r="C35" s="81" t="n">
        <v>1.1</v>
      </c>
      <c r="D35" s="82" t="n">
        <v>0.55</v>
      </c>
      <c r="F35" s="0" t="n">
        <v>1.1</v>
      </c>
      <c r="G35" s="0" t="n">
        <v>86</v>
      </c>
      <c r="H35" s="0" t="n">
        <v>0.55</v>
      </c>
      <c r="K35" s="0" t="n">
        <v>0.5</v>
      </c>
      <c r="L35" s="31" t="n">
        <f aca="false">K35/(G35/100)</f>
        <v>0.581395348837209</v>
      </c>
    </row>
    <row r="36" customFormat="false" ht="14.25" hidden="false" customHeight="false" outlineLevel="0" collapsed="false">
      <c r="B36" s="0" t="s">
        <v>39</v>
      </c>
      <c r="C36" s="81" t="n">
        <v>0.9</v>
      </c>
      <c r="D36" s="82" t="n">
        <v>0.55</v>
      </c>
      <c r="F36" s="0" t="n">
        <v>0.9</v>
      </c>
      <c r="G36" s="0" t="n">
        <v>86</v>
      </c>
      <c r="H36" s="0" t="n">
        <v>0.55</v>
      </c>
      <c r="K36" s="0" t="n">
        <v>0.5</v>
      </c>
      <c r="L36" s="31" t="n">
        <f aca="false">K36/(G36/100)</f>
        <v>0.581395348837209</v>
      </c>
    </row>
    <row r="37" customFormat="false" ht="14.25" hidden="false" customHeight="false" outlineLevel="0" collapsed="false">
      <c r="B37" s="0" t="s">
        <v>43</v>
      </c>
      <c r="C37" s="81" t="n">
        <v>1</v>
      </c>
      <c r="D37" s="150" t="n">
        <v>0.7</v>
      </c>
      <c r="F37" s="1" t="n">
        <v>1</v>
      </c>
      <c r="G37" s="0" t="n">
        <v>86</v>
      </c>
      <c r="H37" s="0" t="n">
        <v>0.7</v>
      </c>
      <c r="K37" s="0" t="n">
        <v>0.9</v>
      </c>
      <c r="L37" s="31" t="n">
        <f aca="false">K37/(G37/100)</f>
        <v>1.04651162790698</v>
      </c>
    </row>
    <row r="38" customFormat="false" ht="14.25" hidden="false" customHeight="false" outlineLevel="0" collapsed="false">
      <c r="B38" s="0" t="s">
        <v>47</v>
      </c>
      <c r="C38" s="81"/>
      <c r="D38" s="150"/>
      <c r="L38" s="31"/>
    </row>
    <row r="39" customFormat="false" ht="14.25" hidden="false" customHeight="false" outlineLevel="0" collapsed="false">
      <c r="B39" s="0" t="s">
        <v>52</v>
      </c>
      <c r="C39" s="81" t="n">
        <v>0.2</v>
      </c>
      <c r="D39" s="151" t="n">
        <v>0.4</v>
      </c>
      <c r="F39" s="0" t="n">
        <v>0.2</v>
      </c>
      <c r="G39" s="0" t="n">
        <v>25</v>
      </c>
      <c r="H39" s="0" t="n">
        <v>0.4</v>
      </c>
      <c r="J39" s="0" t="n">
        <v>15</v>
      </c>
      <c r="K39" s="0" t="n">
        <v>0.2</v>
      </c>
      <c r="L39" s="31" t="n">
        <f aca="false">K39/(G39/100)</f>
        <v>0.8</v>
      </c>
    </row>
    <row r="40" customFormat="false" ht="14.25" hidden="false" customHeight="false" outlineLevel="0" collapsed="false">
      <c r="B40" s="0" t="s">
        <v>56</v>
      </c>
      <c r="C40" s="81" t="n">
        <v>0.7</v>
      </c>
      <c r="D40" s="151" t="n">
        <v>0.3</v>
      </c>
      <c r="F40" s="0" t="n">
        <v>0.7</v>
      </c>
      <c r="G40" s="0" t="n">
        <v>16</v>
      </c>
      <c r="H40" s="0" t="n">
        <v>0.3</v>
      </c>
      <c r="J40" s="0" t="n">
        <v>18</v>
      </c>
      <c r="K40" s="0" t="n">
        <v>0.4</v>
      </c>
      <c r="L40" s="31" t="n">
        <f aca="false">K40/(G40/100)</f>
        <v>2.5</v>
      </c>
    </row>
    <row r="41" customFormat="false" ht="14.25" hidden="false" customHeight="false" outlineLevel="0" collapsed="false">
      <c r="B41" s="0" t="s">
        <v>60</v>
      </c>
      <c r="C41" s="152" t="n">
        <v>0.1</v>
      </c>
      <c r="D41" s="153" t="n">
        <v>0.35</v>
      </c>
      <c r="G41" s="0" t="n">
        <v>28</v>
      </c>
      <c r="H41" s="0" t="n">
        <v>0.35</v>
      </c>
      <c r="K41" s="0" t="n">
        <v>0.9</v>
      </c>
      <c r="L41" s="31" t="n">
        <f aca="false">K41/(G41/100)</f>
        <v>3.21428571428571</v>
      </c>
    </row>
    <row r="42" customFormat="false" ht="14.25" hidden="false" customHeight="false" outlineLevel="0" collapsed="false">
      <c r="B42" s="0" t="s">
        <v>64</v>
      </c>
      <c r="C42" s="81" t="n">
        <v>1.7</v>
      </c>
      <c r="D42" s="151" t="n">
        <v>0.7</v>
      </c>
      <c r="F42" s="0" t="n">
        <v>1.7</v>
      </c>
      <c r="G42" s="0" t="n">
        <v>86</v>
      </c>
      <c r="H42" s="0" t="n">
        <v>0.7</v>
      </c>
      <c r="J42" s="0" t="n">
        <v>86</v>
      </c>
      <c r="K42" s="0" t="n">
        <v>0.7</v>
      </c>
      <c r="L42" s="31" t="n">
        <f aca="false">K42/(G42/100)</f>
        <v>0.813953488372093</v>
      </c>
    </row>
    <row r="43" customFormat="false" ht="14.25" hidden="false" customHeight="false" outlineLevel="0" collapsed="false">
      <c r="B43" s="0" t="s">
        <v>68</v>
      </c>
      <c r="C43" s="81" t="n">
        <v>2</v>
      </c>
      <c r="D43" s="151" t="n">
        <v>1.1</v>
      </c>
      <c r="F43" s="1" t="n">
        <v>2</v>
      </c>
      <c r="G43" s="0" t="n">
        <v>86</v>
      </c>
      <c r="K43" s="1" t="n">
        <v>1</v>
      </c>
      <c r="L43" s="31" t="n">
        <f aca="false">K43/(G43/100)</f>
        <v>1.16279069767442</v>
      </c>
    </row>
    <row r="44" customFormat="false" ht="14.25" hidden="false" customHeight="false" outlineLevel="0" collapsed="false">
      <c r="B44" s="0" t="s">
        <v>72</v>
      </c>
      <c r="C44" s="81" t="n">
        <v>1</v>
      </c>
      <c r="D44" s="151" t="n">
        <v>1.5</v>
      </c>
      <c r="F44" s="1" t="n">
        <v>1</v>
      </c>
      <c r="G44" s="0" t="n">
        <v>86</v>
      </c>
      <c r="K44" s="0" t="n">
        <v>1.5</v>
      </c>
      <c r="L44" s="31" t="n">
        <f aca="false">K44/(G44/100)</f>
        <v>1.74418604651163</v>
      </c>
    </row>
    <row r="45" customFormat="false" ht="14.25" hidden="false" customHeight="false" outlineLevel="0" collapsed="false">
      <c r="B45" s="0" t="s">
        <v>73</v>
      </c>
      <c r="C45" s="81"/>
      <c r="D45" s="150"/>
    </row>
    <row r="46" customFormat="false" ht="14.25" hidden="false" customHeight="false" outlineLevel="0" collapsed="false">
      <c r="B46" s="0" t="s">
        <v>75</v>
      </c>
      <c r="C46" s="152" t="n">
        <v>0.1</v>
      </c>
      <c r="D46" s="151" t="n">
        <v>0.5</v>
      </c>
      <c r="G46" s="0" t="n">
        <v>22</v>
      </c>
      <c r="H46" s="0" t="n">
        <v>0.4</v>
      </c>
      <c r="K46" s="0" t="n">
        <v>0.4</v>
      </c>
      <c r="L46" s="31" t="n">
        <f aca="false">K46/(G46/100)</f>
        <v>1.81818181818182</v>
      </c>
    </row>
    <row r="47" customFormat="false" ht="14.25" hidden="false" customHeight="false" outlineLevel="0" collapsed="false">
      <c r="B47" s="0" t="s">
        <v>78</v>
      </c>
      <c r="C47" s="84"/>
      <c r="D47" s="85"/>
    </row>
    <row r="48" customFormat="false" ht="14.25" hidden="false" customHeight="false" outlineLevel="0" collapsed="false">
      <c r="B48" s="0" t="s">
        <v>81</v>
      </c>
      <c r="C48" s="84"/>
      <c r="D48" s="85"/>
    </row>
    <row r="49" customFormat="false" ht="14.25" hidden="false" customHeight="false" outlineLevel="0" collapsed="false">
      <c r="B49" s="0" t="s">
        <v>85</v>
      </c>
      <c r="C49" s="84"/>
      <c r="D49" s="85"/>
    </row>
    <row r="53" customFormat="false" ht="14.25" hidden="false" customHeight="false" outlineLevel="0" collapsed="false">
      <c r="B53" s="74" t="s">
        <v>137</v>
      </c>
      <c r="C53" s="86" t="s">
        <v>206</v>
      </c>
      <c r="D53" s="87" t="s">
        <v>207</v>
      </c>
      <c r="E53" s="86" t="s">
        <v>207</v>
      </c>
      <c r="F53" s="87" t="s">
        <v>207</v>
      </c>
      <c r="H53" s="86" t="s">
        <v>206</v>
      </c>
      <c r="I53" s="87" t="s">
        <v>207</v>
      </c>
      <c r="J53" s="86" t="s">
        <v>207</v>
      </c>
      <c r="K53" s="87" t="s">
        <v>207</v>
      </c>
    </row>
    <row r="54" customFormat="false" ht="14.25" hidden="false" customHeight="false" outlineLevel="0" collapsed="false">
      <c r="C54" s="89" t="s">
        <v>147</v>
      </c>
      <c r="D54" s="85" t="s">
        <v>210</v>
      </c>
      <c r="E54" s="84" t="s">
        <v>140</v>
      </c>
      <c r="F54" s="85" t="s">
        <v>141</v>
      </c>
      <c r="H54" s="89" t="s">
        <v>147</v>
      </c>
      <c r="I54" s="85" t="s">
        <v>210</v>
      </c>
      <c r="J54" s="84" t="s">
        <v>140</v>
      </c>
      <c r="K54" s="85" t="s">
        <v>141</v>
      </c>
    </row>
    <row r="55" customFormat="false" ht="14.25" hidden="false" customHeight="false" outlineLevel="0" collapsed="false">
      <c r="B55" s="0" t="s">
        <v>19</v>
      </c>
      <c r="C55" s="154" t="n">
        <v>69</v>
      </c>
      <c r="D55" s="155" t="n">
        <v>2.1046511627907</v>
      </c>
      <c r="E55" s="156" t="n">
        <v>0.8</v>
      </c>
      <c r="F55" s="155" t="n">
        <v>0.581395348837209</v>
      </c>
      <c r="H55" s="0" t="s">
        <v>219</v>
      </c>
      <c r="I55" s="0" t="s">
        <v>220</v>
      </c>
      <c r="J55" s="0" t="s">
        <v>221</v>
      </c>
      <c r="K55" s="0" t="s">
        <v>190</v>
      </c>
    </row>
    <row r="56" customFormat="false" ht="14.25" hidden="false" customHeight="false" outlineLevel="0" collapsed="false">
      <c r="B56" s="0" t="s">
        <v>25</v>
      </c>
      <c r="C56" s="154" t="n">
        <v>60</v>
      </c>
      <c r="D56" s="155" t="n">
        <v>1.83720930232558</v>
      </c>
      <c r="E56" s="156" t="n">
        <v>0.9</v>
      </c>
      <c r="F56" s="155" t="n">
        <v>0.581395348837209</v>
      </c>
    </row>
    <row r="57" customFormat="false" ht="14.25" hidden="false" customHeight="false" outlineLevel="0" collapsed="false">
      <c r="B57" s="0" t="s">
        <v>30</v>
      </c>
      <c r="C57" s="154" t="n">
        <v>60</v>
      </c>
      <c r="D57" s="155" t="n">
        <v>2</v>
      </c>
      <c r="E57" s="156" t="n">
        <v>0.7</v>
      </c>
      <c r="F57" s="155" t="n">
        <v>0.581395348837209</v>
      </c>
    </row>
    <row r="58" customFormat="false" ht="14.25" hidden="false" customHeight="false" outlineLevel="0" collapsed="false">
      <c r="B58" s="0" t="s">
        <v>32</v>
      </c>
      <c r="C58" s="154" t="n">
        <v>43</v>
      </c>
      <c r="D58" s="155" t="n">
        <v>1.68604651162791</v>
      </c>
      <c r="E58" s="156" t="n">
        <v>0.8</v>
      </c>
      <c r="F58" s="155" t="n">
        <v>0.581395348837209</v>
      </c>
    </row>
    <row r="59" customFormat="false" ht="14.25" hidden="false" customHeight="false" outlineLevel="0" collapsed="false">
      <c r="B59" s="0" t="s">
        <v>34</v>
      </c>
      <c r="C59" s="154" t="n">
        <v>47</v>
      </c>
      <c r="D59" s="155" t="n">
        <v>1.83720930232558</v>
      </c>
      <c r="E59" s="156" t="n">
        <v>1.1</v>
      </c>
      <c r="F59" s="155" t="n">
        <v>0.581395348837209</v>
      </c>
    </row>
    <row r="60" customFormat="false" ht="14.25" hidden="false" customHeight="false" outlineLevel="0" collapsed="false">
      <c r="B60" s="0" t="s">
        <v>39</v>
      </c>
      <c r="C60" s="154" t="n">
        <v>60</v>
      </c>
      <c r="D60" s="155" t="n">
        <v>2</v>
      </c>
      <c r="E60" s="156" t="n">
        <v>0.9</v>
      </c>
      <c r="F60" s="155" t="n">
        <v>0.581395348837209</v>
      </c>
    </row>
    <row r="61" customFormat="false" ht="14.25" hidden="false" customHeight="false" outlineLevel="0" collapsed="false">
      <c r="B61" s="0" t="s">
        <v>43</v>
      </c>
      <c r="C61" s="154" t="n">
        <v>77</v>
      </c>
      <c r="D61" s="155" t="n">
        <v>1.68604651162791</v>
      </c>
      <c r="E61" s="156" t="n">
        <v>1</v>
      </c>
      <c r="F61" s="155" t="n">
        <v>1.04651162790698</v>
      </c>
    </row>
    <row r="62" customFormat="false" ht="14.25" hidden="false" customHeight="false" outlineLevel="0" collapsed="false">
      <c r="B62" s="0" t="s">
        <v>47</v>
      </c>
      <c r="C62" s="154"/>
      <c r="D62" s="155"/>
      <c r="E62" s="156"/>
      <c r="F62" s="155"/>
    </row>
    <row r="63" customFormat="false" ht="14.25" hidden="false" customHeight="false" outlineLevel="0" collapsed="false">
      <c r="B63" s="0" t="s">
        <v>52</v>
      </c>
      <c r="C63" s="154" t="n">
        <v>99</v>
      </c>
      <c r="D63" s="155" t="n">
        <v>1.59090909090909</v>
      </c>
      <c r="E63" s="156" t="n">
        <v>0.2</v>
      </c>
      <c r="F63" s="155" t="n">
        <v>0.4</v>
      </c>
      <c r="H63" s="0" t="s">
        <v>222</v>
      </c>
      <c r="K63" s="0" t="s">
        <v>191</v>
      </c>
    </row>
    <row r="64" customFormat="false" ht="14.25" hidden="false" customHeight="false" outlineLevel="0" collapsed="false">
      <c r="B64" s="0" t="s">
        <v>56</v>
      </c>
      <c r="C64" s="154" t="n">
        <v>150</v>
      </c>
      <c r="D64" s="155" t="n">
        <v>0.782608695652174</v>
      </c>
      <c r="E64" s="156" t="n">
        <v>0.7</v>
      </c>
      <c r="F64" s="155" t="n">
        <v>0.3</v>
      </c>
      <c r="K64" s="0" t="s">
        <v>191</v>
      </c>
    </row>
    <row r="65" customFormat="false" ht="14.25" hidden="false" customHeight="false" outlineLevel="0" collapsed="false">
      <c r="B65" s="0" t="s">
        <v>60</v>
      </c>
      <c r="C65" s="154" t="n">
        <v>126</v>
      </c>
      <c r="D65" s="155" t="n">
        <v>1.25</v>
      </c>
      <c r="E65" s="156" t="n">
        <v>0.1</v>
      </c>
      <c r="F65" s="155" t="n">
        <v>0.35</v>
      </c>
      <c r="I65" s="0" t="s">
        <v>223</v>
      </c>
      <c r="K65" s="0" t="s">
        <v>191</v>
      </c>
    </row>
    <row r="66" customFormat="false" ht="14.25" hidden="false" customHeight="false" outlineLevel="0" collapsed="false">
      <c r="B66" s="0" t="s">
        <v>64</v>
      </c>
      <c r="C66" s="154" t="n">
        <v>36</v>
      </c>
      <c r="D66" s="155" t="n">
        <v>3.62637362637363</v>
      </c>
      <c r="E66" s="156" t="n">
        <v>1.7</v>
      </c>
      <c r="F66" s="155" t="n">
        <v>0.7</v>
      </c>
      <c r="K66" s="0" t="s">
        <v>191</v>
      </c>
    </row>
    <row r="67" customFormat="false" ht="14.25" hidden="false" customHeight="false" outlineLevel="0" collapsed="false">
      <c r="B67" s="0" t="s">
        <v>68</v>
      </c>
      <c r="C67" s="154" t="n">
        <v>27</v>
      </c>
      <c r="D67" s="155" t="n">
        <v>3.18681318681319</v>
      </c>
      <c r="E67" s="156" t="n">
        <v>2</v>
      </c>
      <c r="F67" s="155" t="n">
        <v>1.16279069767442</v>
      </c>
      <c r="K67" s="0" t="s">
        <v>194</v>
      </c>
    </row>
    <row r="68" customFormat="false" ht="14.25" hidden="false" customHeight="false" outlineLevel="0" collapsed="false">
      <c r="B68" s="0" t="s">
        <v>72</v>
      </c>
      <c r="C68" s="154" t="n">
        <v>30</v>
      </c>
      <c r="D68" s="155" t="n">
        <v>4.47674418604651</v>
      </c>
      <c r="E68" s="156" t="n">
        <v>1</v>
      </c>
      <c r="F68" s="155" t="n">
        <v>1.74418604651163</v>
      </c>
      <c r="K68" s="0" t="s">
        <v>194</v>
      </c>
    </row>
    <row r="69" customFormat="false" ht="14.25" hidden="false" customHeight="false" outlineLevel="0" collapsed="false">
      <c r="B69" s="0" t="s">
        <v>73</v>
      </c>
      <c r="C69" s="154"/>
      <c r="D69" s="155"/>
      <c r="E69" s="156"/>
      <c r="F69" s="155"/>
    </row>
    <row r="70" customFormat="false" ht="14.25" hidden="false" customHeight="false" outlineLevel="0" collapsed="false">
      <c r="B70" s="0" t="s">
        <v>75</v>
      </c>
      <c r="C70" s="154" t="n">
        <v>80</v>
      </c>
      <c r="D70" s="155" t="n">
        <v>1.81818181818182</v>
      </c>
      <c r="E70" s="156" t="n">
        <v>0.1</v>
      </c>
      <c r="F70" s="155" t="n">
        <v>1.82</v>
      </c>
      <c r="H70" s="0" t="s">
        <v>163</v>
      </c>
      <c r="I70" s="0" t="s">
        <v>224</v>
      </c>
      <c r="K70" s="0" t="s">
        <v>195</v>
      </c>
    </row>
    <row r="71" customFormat="false" ht="14.25" hidden="false" customHeight="false" outlineLevel="0" collapsed="false">
      <c r="B71" s="0" t="s">
        <v>78</v>
      </c>
      <c r="C71" s="81"/>
      <c r="D71" s="80"/>
      <c r="E71" s="84"/>
      <c r="F71" s="85"/>
    </row>
    <row r="72" customFormat="false" ht="14.25" hidden="false" customHeight="false" outlineLevel="0" collapsed="false">
      <c r="B72" s="0" t="s">
        <v>81</v>
      </c>
      <c r="C72" s="81"/>
      <c r="D72" s="80"/>
      <c r="E72" s="84"/>
      <c r="F72" s="85"/>
    </row>
    <row r="73" customFormat="false" ht="14.25" hidden="false" customHeight="false" outlineLevel="0" collapsed="false">
      <c r="B73" s="0" t="s">
        <v>85</v>
      </c>
      <c r="C73" s="81"/>
      <c r="D73" s="80"/>
      <c r="E73" s="84"/>
      <c r="F73" s="85"/>
    </row>
  </sheetData>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2"/>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J1" activeCellId="0" sqref="J1"/>
    </sheetView>
  </sheetViews>
  <sheetFormatPr defaultColWidth="10.6796875" defaultRowHeight="13.8" zeroHeight="false" outlineLevelRow="0" outlineLevelCol="0"/>
  <cols>
    <col collapsed="false" customWidth="true" hidden="false" outlineLevel="0" max="3" min="3" style="0" width="32.54"/>
    <col collapsed="false" customWidth="true" hidden="false" outlineLevel="0" max="4" min="4" style="0" width="26.09"/>
    <col collapsed="false" customWidth="true" hidden="false" outlineLevel="0" max="5" min="5" style="0" width="52.54"/>
    <col collapsed="false" customWidth="true" hidden="false" outlineLevel="0" max="6" min="6" style="0" width="27.36"/>
    <col collapsed="false" customWidth="true" hidden="false" outlineLevel="0" max="7" min="7" style="157" width="14.18"/>
    <col collapsed="false" customWidth="true" hidden="false" outlineLevel="0" max="8" min="8" style="157" width="18.73"/>
  </cols>
  <sheetData>
    <row r="2" customFormat="false" ht="13.8" hidden="false" customHeight="true" outlineLevel="0" collapsed="false">
      <c r="B2" s="96" t="s">
        <v>225</v>
      </c>
      <c r="C2" s="96" t="s">
        <v>226</v>
      </c>
      <c r="D2" s="96" t="s">
        <v>227</v>
      </c>
      <c r="E2" s="96" t="s">
        <v>228</v>
      </c>
      <c r="F2" s="96" t="s">
        <v>229</v>
      </c>
      <c r="G2" s="96" t="s">
        <v>230</v>
      </c>
      <c r="H2" s="96" t="s">
        <v>231</v>
      </c>
    </row>
    <row r="3" customFormat="false" ht="13.8" hidden="false" customHeight="false" outlineLevel="0" collapsed="false">
      <c r="B3" s="96"/>
      <c r="C3" s="96"/>
      <c r="D3" s="96"/>
      <c r="E3" s="96"/>
      <c r="F3" s="96"/>
      <c r="G3" s="96"/>
      <c r="H3" s="96"/>
    </row>
    <row r="4" customFormat="false" ht="23.45" hidden="false" customHeight="false" outlineLevel="0" collapsed="false">
      <c r="B4" s="158" t="n">
        <v>1</v>
      </c>
      <c r="C4" s="158" t="s">
        <v>6</v>
      </c>
      <c r="D4" s="158" t="s">
        <v>232</v>
      </c>
      <c r="E4" s="158" t="s">
        <v>233</v>
      </c>
      <c r="F4" s="158" t="s">
        <v>234</v>
      </c>
      <c r="G4" s="159" t="n">
        <v>0</v>
      </c>
      <c r="H4" s="158"/>
    </row>
    <row r="5" customFormat="false" ht="13.8" hidden="false" customHeight="false" outlineLevel="0" collapsed="false">
      <c r="B5" s="158" t="n">
        <v>2</v>
      </c>
      <c r="C5" s="158" t="s">
        <v>9</v>
      </c>
      <c r="D5" s="158" t="s">
        <v>232</v>
      </c>
      <c r="E5" s="160" t="s">
        <v>235</v>
      </c>
      <c r="F5" s="158" t="s">
        <v>234</v>
      </c>
      <c r="G5" s="159" t="n">
        <v>255.273305966026</v>
      </c>
      <c r="H5" s="158"/>
    </row>
    <row r="6" customFormat="false" ht="13.8" hidden="false" customHeight="false" outlineLevel="0" collapsed="false">
      <c r="B6" s="158" t="n">
        <v>3</v>
      </c>
      <c r="C6" s="158" t="s">
        <v>11</v>
      </c>
      <c r="D6" s="158" t="s">
        <v>232</v>
      </c>
      <c r="E6" s="160" t="s">
        <v>236</v>
      </c>
      <c r="F6" s="158" t="s">
        <v>234</v>
      </c>
      <c r="G6" s="159" t="n">
        <v>-626.726694033974</v>
      </c>
      <c r="H6" s="158"/>
    </row>
    <row r="7" customFormat="false" ht="32.05" hidden="false" customHeight="false" outlineLevel="0" collapsed="false">
      <c r="B7" s="161" t="n">
        <v>4</v>
      </c>
      <c r="C7" s="162" t="s">
        <v>237</v>
      </c>
      <c r="D7" s="161" t="s">
        <v>238</v>
      </c>
      <c r="E7" s="161" t="s">
        <v>239</v>
      </c>
      <c r="F7" s="161" t="s">
        <v>234</v>
      </c>
      <c r="G7" s="163" t="n">
        <v>5042.46611932052</v>
      </c>
      <c r="H7" s="161"/>
    </row>
    <row r="8" customFormat="false" ht="23.45" hidden="false" customHeight="false" outlineLevel="0" collapsed="false">
      <c r="B8" s="158" t="n">
        <v>5</v>
      </c>
      <c r="C8" s="158" t="s">
        <v>23</v>
      </c>
      <c r="D8" s="158" t="s">
        <v>240</v>
      </c>
      <c r="E8" s="158" t="s">
        <v>241</v>
      </c>
      <c r="F8" s="158" t="s">
        <v>242</v>
      </c>
      <c r="G8" s="159" t="n">
        <v>76.9871875135634</v>
      </c>
      <c r="H8" s="158" t="n">
        <v>120</v>
      </c>
    </row>
    <row r="9" customFormat="false" ht="13.8" hidden="false" customHeight="false" outlineLevel="0" collapsed="false">
      <c r="B9" s="158" t="n">
        <v>6</v>
      </c>
      <c r="C9" s="158" t="s">
        <v>205</v>
      </c>
      <c r="D9" s="158" t="s">
        <v>243</v>
      </c>
      <c r="E9" s="158" t="s">
        <v>244</v>
      </c>
      <c r="F9" s="158" t="s">
        <v>242</v>
      </c>
      <c r="G9" s="159" t="n">
        <v>81.0391447511193</v>
      </c>
      <c r="H9" s="158" t="s">
        <v>29</v>
      </c>
    </row>
    <row r="10" customFormat="false" ht="13.8" hidden="false" customHeight="false" outlineLevel="0" collapsed="false">
      <c r="B10" s="22"/>
      <c r="C10" s="22"/>
      <c r="D10" s="22"/>
      <c r="E10" s="22"/>
      <c r="F10" s="22"/>
      <c r="G10" s="164"/>
      <c r="H10" s="22"/>
    </row>
    <row r="11" customFormat="false" ht="13.8" hidden="false" customHeight="false" outlineLevel="0" collapsed="false">
      <c r="B11" s="165" t="n">
        <v>7</v>
      </c>
      <c r="C11" s="165" t="s">
        <v>36</v>
      </c>
      <c r="D11" s="165" t="s">
        <v>18</v>
      </c>
      <c r="E11" s="165" t="s">
        <v>245</v>
      </c>
      <c r="F11" s="165" t="s">
        <v>246</v>
      </c>
      <c r="G11" s="166" t="n">
        <v>35.8618516639513</v>
      </c>
      <c r="H11" s="166" t="n">
        <v>42</v>
      </c>
    </row>
    <row r="12" customFormat="false" ht="13.8" hidden="false" customHeight="false" outlineLevel="0" collapsed="false">
      <c r="B12" s="167" t="n">
        <v>8</v>
      </c>
      <c r="C12" s="165" t="s">
        <v>247</v>
      </c>
      <c r="D12" s="165" t="s">
        <v>18</v>
      </c>
      <c r="E12" s="165" t="s">
        <v>248</v>
      </c>
      <c r="F12" s="165" t="s">
        <v>246</v>
      </c>
      <c r="G12" s="166" t="n">
        <v>71.7237033279027</v>
      </c>
      <c r="H12" s="166"/>
    </row>
    <row r="13" customFormat="false" ht="23.45" hidden="false" customHeight="false" outlineLevel="0" collapsed="false">
      <c r="B13" s="165" t="n">
        <v>9</v>
      </c>
      <c r="C13" s="165" t="s">
        <v>41</v>
      </c>
      <c r="D13" s="165" t="s">
        <v>249</v>
      </c>
      <c r="E13" s="165" t="s">
        <v>250</v>
      </c>
      <c r="F13" s="165" t="s">
        <v>246</v>
      </c>
      <c r="G13" s="166" t="n">
        <v>84.3557843755732</v>
      </c>
      <c r="H13" s="166" t="n">
        <v>50</v>
      </c>
    </row>
    <row r="14" customFormat="false" ht="23.45" hidden="false" customHeight="false" outlineLevel="0" collapsed="false">
      <c r="B14" s="165" t="n">
        <v>10</v>
      </c>
      <c r="C14" s="165" t="s">
        <v>45</v>
      </c>
      <c r="D14" s="165" t="s">
        <v>251</v>
      </c>
      <c r="E14" s="165" t="s">
        <v>252</v>
      </c>
      <c r="F14" s="165" t="s">
        <v>246</v>
      </c>
      <c r="G14" s="166" t="n">
        <v>127.192246169593</v>
      </c>
      <c r="H14" s="166" t="n">
        <v>50</v>
      </c>
    </row>
    <row r="15" customFormat="false" ht="13.8" hidden="false" customHeight="false" outlineLevel="0" collapsed="false">
      <c r="B15" s="168" t="n">
        <v>11</v>
      </c>
      <c r="C15" s="168" t="s">
        <v>49</v>
      </c>
      <c r="D15" s="168" t="s">
        <v>18</v>
      </c>
      <c r="E15" s="168" t="s">
        <v>253</v>
      </c>
      <c r="F15" s="168" t="s">
        <v>246</v>
      </c>
      <c r="G15" s="169" t="n">
        <v>67.4861978796458</v>
      </c>
      <c r="H15" s="169" t="n">
        <v>68</v>
      </c>
    </row>
    <row r="16" customFormat="false" ht="23.85" hidden="false" customHeight="false" outlineLevel="0" collapsed="false">
      <c r="B16" s="165" t="n">
        <v>12</v>
      </c>
      <c r="C16" s="167" t="s">
        <v>254</v>
      </c>
      <c r="D16" s="165" t="s">
        <v>18</v>
      </c>
      <c r="E16" s="165" t="s">
        <v>255</v>
      </c>
      <c r="F16" s="165" t="s">
        <v>246</v>
      </c>
      <c r="G16" s="166" t="n">
        <v>63.1344778526063</v>
      </c>
      <c r="H16" s="166" t="n">
        <v>47</v>
      </c>
    </row>
    <row r="17" customFormat="false" ht="23.85" hidden="false" customHeight="false" outlineLevel="0" collapsed="false">
      <c r="B17" s="165" t="n">
        <v>13</v>
      </c>
      <c r="C17" s="165" t="s">
        <v>58</v>
      </c>
      <c r="D17" s="165" t="s">
        <v>256</v>
      </c>
      <c r="E17" s="165" t="s">
        <v>257</v>
      </c>
      <c r="F17" s="165" t="s">
        <v>246</v>
      </c>
      <c r="G17" s="166" t="n">
        <v>65.0007836426781</v>
      </c>
      <c r="H17" s="166" t="n">
        <v>63</v>
      </c>
    </row>
    <row r="18" customFormat="false" ht="23.85" hidden="false" customHeight="false" outlineLevel="0" collapsed="false">
      <c r="B18" s="165" t="n">
        <v>14</v>
      </c>
      <c r="C18" s="165" t="s">
        <v>62</v>
      </c>
      <c r="D18" s="165" t="s">
        <v>258</v>
      </c>
      <c r="E18" s="165" t="s">
        <v>259</v>
      </c>
      <c r="F18" s="165" t="s">
        <v>246</v>
      </c>
      <c r="G18" s="166" t="n">
        <v>64.6697257278067</v>
      </c>
      <c r="H18" s="166" t="n">
        <v>32</v>
      </c>
    </row>
    <row r="19" customFormat="false" ht="23.85" hidden="false" customHeight="false" outlineLevel="0" collapsed="false">
      <c r="B19" s="165" t="n">
        <v>15</v>
      </c>
      <c r="C19" s="165" t="s">
        <v>66</v>
      </c>
      <c r="D19" s="165" t="s">
        <v>18</v>
      </c>
      <c r="E19" s="165" t="s">
        <v>260</v>
      </c>
      <c r="F19" s="165" t="s">
        <v>246</v>
      </c>
      <c r="G19" s="166" t="n">
        <v>113.826727188076</v>
      </c>
      <c r="H19" s="166" t="n">
        <v>50</v>
      </c>
    </row>
    <row r="20" customFormat="false" ht="13.8" hidden="false" customHeight="false" outlineLevel="0" collapsed="false">
      <c r="B20" s="168" t="n">
        <v>16</v>
      </c>
      <c r="C20" s="168" t="s">
        <v>114</v>
      </c>
      <c r="D20" s="168" t="s">
        <v>261</v>
      </c>
      <c r="E20" s="168" t="s">
        <v>262</v>
      </c>
      <c r="F20" s="168" t="s">
        <v>246</v>
      </c>
      <c r="G20" s="169" t="n">
        <v>31.3791202059574</v>
      </c>
      <c r="H20" s="168"/>
    </row>
    <row r="21" customFormat="false" ht="70.35" hidden="false" customHeight="false" outlineLevel="0" collapsed="false">
      <c r="B21" s="165" t="n">
        <v>17</v>
      </c>
      <c r="C21" s="165" t="s">
        <v>117</v>
      </c>
      <c r="D21" s="165" t="s">
        <v>263</v>
      </c>
      <c r="E21" s="165" t="s">
        <v>264</v>
      </c>
      <c r="F21" s="165" t="s">
        <v>246</v>
      </c>
      <c r="G21" s="166" t="n">
        <v>35.4845465464503</v>
      </c>
      <c r="H21" s="165" t="s">
        <v>119</v>
      </c>
    </row>
    <row r="22" customFormat="false" ht="23.45" hidden="false" customHeight="false" outlineLevel="0" collapsed="false">
      <c r="B22" s="165" t="n">
        <v>18</v>
      </c>
      <c r="C22" s="165" t="s">
        <v>66</v>
      </c>
      <c r="D22" s="165" t="s">
        <v>265</v>
      </c>
      <c r="E22" s="165" t="s">
        <v>266</v>
      </c>
      <c r="F22" s="165" t="s">
        <v>246</v>
      </c>
      <c r="G22" s="166" t="n">
        <v>37.6047567288924</v>
      </c>
      <c r="H22" s="165"/>
    </row>
    <row r="23" customFormat="false" ht="23.45" hidden="false" customHeight="false" outlineLevel="0" collapsed="false">
      <c r="B23" s="165" t="n">
        <v>19</v>
      </c>
      <c r="C23" s="165" t="s">
        <v>123</v>
      </c>
      <c r="D23" s="165" t="s">
        <v>267</v>
      </c>
      <c r="E23" s="165" t="s">
        <v>268</v>
      </c>
      <c r="F23" s="165" t="s">
        <v>246</v>
      </c>
      <c r="G23" s="166" t="n">
        <v>48.5247479584105</v>
      </c>
      <c r="H23" s="165"/>
    </row>
    <row r="24" customFormat="false" ht="13.8" hidden="false" customHeight="false" outlineLevel="0" collapsed="false">
      <c r="B24" s="22"/>
      <c r="C24" s="22"/>
      <c r="D24" s="22"/>
      <c r="E24" s="22"/>
      <c r="F24" s="22"/>
      <c r="G24" s="164"/>
      <c r="H24" s="22"/>
    </row>
    <row r="25" customFormat="false" ht="23.45" hidden="false" customHeight="false" outlineLevel="0" collapsed="false">
      <c r="B25" s="170" t="n">
        <v>20</v>
      </c>
      <c r="C25" s="170" t="s">
        <v>76</v>
      </c>
      <c r="D25" s="170" t="s">
        <v>269</v>
      </c>
      <c r="E25" s="170" t="s">
        <v>270</v>
      </c>
      <c r="F25" s="170" t="s">
        <v>246</v>
      </c>
      <c r="G25" s="171" t="n">
        <v>85.0252343201157</v>
      </c>
      <c r="H25" s="170"/>
    </row>
    <row r="26" customFormat="false" ht="13.8" hidden="false" customHeight="false" outlineLevel="0" collapsed="false">
      <c r="B26" s="170" t="n">
        <v>21</v>
      </c>
      <c r="C26" s="170" t="s">
        <v>79</v>
      </c>
      <c r="D26" s="170" t="s">
        <v>271</v>
      </c>
      <c r="E26" s="170" t="s">
        <v>272</v>
      </c>
      <c r="F26" s="170" t="s">
        <v>246</v>
      </c>
      <c r="G26" s="171" t="n">
        <v>56.3899966294086</v>
      </c>
      <c r="H26" s="170"/>
    </row>
    <row r="27" customFormat="false" ht="13.8" hidden="false" customHeight="false" outlineLevel="0" collapsed="false">
      <c r="B27" s="170" t="n">
        <v>22</v>
      </c>
      <c r="C27" s="170" t="s">
        <v>83</v>
      </c>
      <c r="D27" s="170" t="s">
        <v>273</v>
      </c>
      <c r="E27" s="170" t="s">
        <v>274</v>
      </c>
      <c r="F27" s="170" t="s">
        <v>246</v>
      </c>
      <c r="G27" s="171" t="n">
        <v>66.3214833576384</v>
      </c>
      <c r="H27" s="170"/>
    </row>
    <row r="28" customFormat="false" ht="23.85" hidden="false" customHeight="false" outlineLevel="0" collapsed="false">
      <c r="B28" s="170" t="n">
        <v>23</v>
      </c>
      <c r="C28" s="170" t="s">
        <v>87</v>
      </c>
      <c r="D28" s="170" t="s">
        <v>275</v>
      </c>
      <c r="E28" s="170" t="s">
        <v>276</v>
      </c>
      <c r="F28" s="170" t="s">
        <v>277</v>
      </c>
      <c r="G28" s="171" t="n">
        <v>16.1213276806651</v>
      </c>
      <c r="H28" s="170"/>
    </row>
    <row r="29" customFormat="false" ht="13.8" hidden="false" customHeight="false" outlineLevel="0" collapsed="false">
      <c r="B29" s="22"/>
      <c r="C29" s="22"/>
      <c r="D29" s="22"/>
      <c r="E29" s="22"/>
      <c r="F29" s="22"/>
      <c r="G29" s="164"/>
      <c r="H29" s="22"/>
    </row>
    <row r="30" customFormat="false" ht="70.35" hidden="false" customHeight="false" outlineLevel="0" collapsed="false">
      <c r="B30" s="172" t="n">
        <v>24</v>
      </c>
      <c r="C30" s="172" t="s">
        <v>93</v>
      </c>
      <c r="D30" s="172" t="s">
        <v>278</v>
      </c>
      <c r="E30" s="172" t="s">
        <v>279</v>
      </c>
      <c r="F30" s="172" t="s">
        <v>280</v>
      </c>
      <c r="G30" s="173" t="n">
        <v>40.9385382059801</v>
      </c>
      <c r="H30" s="172" t="s">
        <v>95</v>
      </c>
    </row>
    <row r="31" customFormat="false" ht="23.45" hidden="false" customHeight="false" outlineLevel="0" collapsed="false">
      <c r="B31" s="172" t="n">
        <v>25</v>
      </c>
      <c r="C31" s="172" t="s">
        <v>83</v>
      </c>
      <c r="D31" s="172" t="s">
        <v>18</v>
      </c>
      <c r="E31" s="172" t="s">
        <v>281</v>
      </c>
      <c r="F31" s="172" t="s">
        <v>280</v>
      </c>
      <c r="G31" s="173" t="n">
        <v>101.451910299003</v>
      </c>
      <c r="H31" s="172"/>
    </row>
    <row r="32" customFormat="false" ht="58.6" hidden="false" customHeight="false" outlineLevel="0" collapsed="false">
      <c r="B32" s="174" t="n">
        <v>26</v>
      </c>
      <c r="C32" s="174" t="s">
        <v>125</v>
      </c>
      <c r="D32" s="174" t="s">
        <v>282</v>
      </c>
      <c r="E32" s="174" t="s">
        <v>283</v>
      </c>
      <c r="F32" s="174" t="s">
        <v>284</v>
      </c>
      <c r="G32" s="175" t="n">
        <v>10.234634551495</v>
      </c>
      <c r="H32" s="174" t="s">
        <v>127</v>
      </c>
    </row>
    <row r="33" customFormat="false" ht="23.45" hidden="false" customHeight="false" outlineLevel="0" collapsed="false">
      <c r="B33" s="172" t="n">
        <v>27</v>
      </c>
      <c r="C33" s="172" t="s">
        <v>131</v>
      </c>
      <c r="D33" s="172" t="s">
        <v>285</v>
      </c>
      <c r="E33" s="172" t="s">
        <v>286</v>
      </c>
      <c r="F33" s="172" t="s">
        <v>284</v>
      </c>
      <c r="G33" s="173" t="n">
        <v>12.0127906976744</v>
      </c>
      <c r="H33" s="172"/>
    </row>
    <row r="34" customFormat="false" ht="13.8" hidden="false" customHeight="false" outlineLevel="0" collapsed="false">
      <c r="B34" s="22"/>
      <c r="C34" s="22"/>
      <c r="D34" s="22"/>
      <c r="E34" s="22"/>
      <c r="F34" s="22"/>
      <c r="G34" s="164"/>
      <c r="H34" s="22"/>
    </row>
    <row r="35" customFormat="false" ht="23.45" hidden="false" customHeight="false" outlineLevel="0" collapsed="false">
      <c r="B35" s="176" t="n">
        <v>28</v>
      </c>
      <c r="C35" s="176" t="s">
        <v>101</v>
      </c>
      <c r="D35" s="176" t="s">
        <v>287</v>
      </c>
      <c r="E35" s="176" t="s">
        <v>288</v>
      </c>
      <c r="F35" s="176" t="s">
        <v>289</v>
      </c>
      <c r="G35" s="177" t="n">
        <v>57.0781154715609</v>
      </c>
      <c r="H35" s="176"/>
    </row>
    <row r="36" customFormat="false" ht="23.45" hidden="false" customHeight="false" outlineLevel="0" collapsed="false">
      <c r="B36" s="176" t="n">
        <v>29</v>
      </c>
      <c r="C36" s="176" t="s">
        <v>41</v>
      </c>
      <c r="D36" s="176" t="s">
        <v>290</v>
      </c>
      <c r="E36" s="176" t="s">
        <v>291</v>
      </c>
      <c r="F36" s="176" t="s">
        <v>289</v>
      </c>
      <c r="G36" s="177" t="n">
        <v>48.5308014252009</v>
      </c>
      <c r="H36" s="176"/>
    </row>
    <row r="37" customFormat="false" ht="23.45" hidden="false" customHeight="false" outlineLevel="0" collapsed="false">
      <c r="B37" s="176" t="n">
        <v>30</v>
      </c>
      <c r="C37" s="176" t="s">
        <v>45</v>
      </c>
      <c r="D37" s="176" t="s">
        <v>292</v>
      </c>
      <c r="E37" s="176" t="s">
        <v>293</v>
      </c>
      <c r="F37" s="176" t="s">
        <v>289</v>
      </c>
      <c r="G37" s="177" t="n">
        <v>32.1863473905432</v>
      </c>
      <c r="H37" s="176"/>
    </row>
    <row r="38" customFormat="false" ht="23.45" hidden="false" customHeight="false" outlineLevel="0" collapsed="false">
      <c r="B38" s="176" t="n">
        <v>31</v>
      </c>
      <c r="C38" s="176" t="s">
        <v>108</v>
      </c>
      <c r="D38" s="176" t="s">
        <v>18</v>
      </c>
      <c r="E38" s="176" t="s">
        <v>294</v>
      </c>
      <c r="F38" s="176" t="s">
        <v>289</v>
      </c>
      <c r="G38" s="177" t="n">
        <v>69.6100452416368</v>
      </c>
      <c r="H38" s="176"/>
    </row>
    <row r="39" customFormat="false" ht="23.45" hidden="false" customHeight="false" outlineLevel="0" collapsed="false">
      <c r="B39" s="176" t="n">
        <v>32</v>
      </c>
      <c r="C39" s="176" t="s">
        <v>83</v>
      </c>
      <c r="D39" s="176" t="s">
        <v>292</v>
      </c>
      <c r="E39" s="176" t="s">
        <v>295</v>
      </c>
      <c r="F39" s="176" t="s">
        <v>289</v>
      </c>
      <c r="G39" s="177" t="n">
        <v>79.7626532703348</v>
      </c>
      <c r="H39" s="176"/>
    </row>
    <row r="40" customFormat="false" ht="46.9" hidden="false" customHeight="false" outlineLevel="0" collapsed="false">
      <c r="B40" s="178" t="n">
        <v>33</v>
      </c>
      <c r="C40" s="178" t="s">
        <v>133</v>
      </c>
      <c r="D40" s="178" t="s">
        <v>296</v>
      </c>
      <c r="E40" s="178" t="s">
        <v>297</v>
      </c>
      <c r="F40" s="178" t="s">
        <v>298</v>
      </c>
      <c r="G40" s="179" t="n">
        <v>28.8425118751273</v>
      </c>
      <c r="H40" s="178" t="n">
        <v>63</v>
      </c>
    </row>
    <row r="41" customFormat="false" ht="23.45" hidden="false" customHeight="false" outlineLevel="0" collapsed="false">
      <c r="B41" s="176" t="n">
        <v>34</v>
      </c>
      <c r="C41" s="176" t="s">
        <v>123</v>
      </c>
      <c r="D41" s="176" t="s">
        <v>299</v>
      </c>
      <c r="E41" s="176" t="s">
        <v>300</v>
      </c>
      <c r="F41" s="176" t="s">
        <v>298</v>
      </c>
      <c r="G41" s="177" t="n">
        <v>21.0915769418667</v>
      </c>
      <c r="H41" s="176"/>
    </row>
    <row r="42" customFormat="false" ht="35.05" hidden="false" customHeight="false" outlineLevel="0" collapsed="false">
      <c r="B42" s="176" t="n">
        <v>35</v>
      </c>
      <c r="C42" s="176" t="s">
        <v>131</v>
      </c>
      <c r="D42" s="176" t="s">
        <v>301</v>
      </c>
      <c r="E42" s="176" t="s">
        <v>302</v>
      </c>
      <c r="F42" s="176" t="s">
        <v>298</v>
      </c>
      <c r="G42" s="177" t="n">
        <v>33.8535837901981</v>
      </c>
      <c r="H42" s="176" t="n">
        <v>146</v>
      </c>
    </row>
  </sheetData>
  <mergeCells count="7">
    <mergeCell ref="B2:B3"/>
    <mergeCell ref="C2:C3"/>
    <mergeCell ref="D2:D3"/>
    <mergeCell ref="E2:E3"/>
    <mergeCell ref="F2:F3"/>
    <mergeCell ref="G2:G3"/>
    <mergeCell ref="H2:H3"/>
  </mergeCell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6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20" activeCellId="0" sqref="A20"/>
    </sheetView>
  </sheetViews>
  <sheetFormatPr defaultColWidth="10.6796875" defaultRowHeight="14.25" zeroHeight="false" outlineLevelRow="0" outlineLevelCol="0"/>
  <cols>
    <col collapsed="false" customWidth="true" hidden="false" outlineLevel="0" max="2" min="2" style="0" width="17.63"/>
    <col collapsed="false" customWidth="true" hidden="false" outlineLevel="0" max="3" min="3" style="0" width="58.82"/>
    <col collapsed="false" customWidth="true" hidden="false" outlineLevel="0" max="4" min="4" style="0" width="34.18"/>
    <col collapsed="false" customWidth="true" hidden="false" outlineLevel="0" max="5" min="5" style="0" width="105"/>
    <col collapsed="false" customWidth="true" hidden="false" outlineLevel="0" max="6" min="6" style="0" width="33.18"/>
  </cols>
  <sheetData>
    <row r="2" customFormat="false" ht="13.5" hidden="false" customHeight="true" outlineLevel="0" collapsed="false">
      <c r="A2" s="180" t="s">
        <v>303</v>
      </c>
    </row>
    <row r="3" customFormat="false" ht="14.25" hidden="false" customHeight="true" outlineLevel="0" collapsed="false">
      <c r="A3" s="180"/>
      <c r="B3" s="96" t="s">
        <v>304</v>
      </c>
      <c r="C3" s="96" t="s">
        <v>305</v>
      </c>
      <c r="D3" s="96" t="s">
        <v>306</v>
      </c>
      <c r="E3" s="96" t="s">
        <v>307</v>
      </c>
      <c r="F3" s="96" t="s">
        <v>308</v>
      </c>
    </row>
    <row r="4" customFormat="false" ht="14.25" hidden="false" customHeight="false" outlineLevel="0" collapsed="false">
      <c r="A4" s="180"/>
      <c r="B4" s="96"/>
      <c r="C4" s="96"/>
      <c r="D4" s="96"/>
      <c r="E4" s="96"/>
      <c r="F4" s="96"/>
    </row>
    <row r="5" customFormat="false" ht="14.25" hidden="false" customHeight="false" outlineLevel="0" collapsed="false">
      <c r="B5" s="158" t="n">
        <v>1</v>
      </c>
      <c r="C5" s="181" t="s">
        <v>6</v>
      </c>
      <c r="D5" s="181" t="s">
        <v>232</v>
      </c>
      <c r="E5" s="181" t="s">
        <v>233</v>
      </c>
      <c r="F5" s="158" t="s">
        <v>234</v>
      </c>
    </row>
    <row r="6" customFormat="false" ht="14.25" hidden="false" customHeight="false" outlineLevel="0" collapsed="false">
      <c r="B6" s="158" t="n">
        <v>2</v>
      </c>
      <c r="C6" s="181" t="s">
        <v>9</v>
      </c>
      <c r="D6" s="181" t="s">
        <v>232</v>
      </c>
      <c r="E6" s="182" t="s">
        <v>235</v>
      </c>
      <c r="F6" s="158" t="s">
        <v>234</v>
      </c>
    </row>
    <row r="7" customFormat="false" ht="14.25" hidden="false" customHeight="false" outlineLevel="0" collapsed="false">
      <c r="B7" s="158" t="n">
        <v>3</v>
      </c>
      <c r="C7" s="181" t="s">
        <v>11</v>
      </c>
      <c r="D7" s="181" t="s">
        <v>232</v>
      </c>
      <c r="E7" s="182" t="s">
        <v>236</v>
      </c>
      <c r="F7" s="158" t="s">
        <v>234</v>
      </c>
    </row>
    <row r="8" customFormat="false" ht="14.25" hidden="false" customHeight="false" outlineLevel="0" collapsed="false">
      <c r="B8" s="161" t="n">
        <v>4</v>
      </c>
      <c r="C8" s="183" t="s">
        <v>15</v>
      </c>
      <c r="D8" s="183" t="s">
        <v>238</v>
      </c>
      <c r="E8" s="183" t="s">
        <v>239</v>
      </c>
      <c r="F8" s="161" t="s">
        <v>234</v>
      </c>
    </row>
    <row r="9" customFormat="false" ht="14.25" hidden="false" customHeight="false" outlineLevel="0" collapsed="false">
      <c r="B9" s="158" t="n">
        <v>5</v>
      </c>
      <c r="C9" s="181" t="s">
        <v>23</v>
      </c>
      <c r="D9" s="181" t="s">
        <v>240</v>
      </c>
      <c r="E9" s="181" t="s">
        <v>241</v>
      </c>
      <c r="F9" s="158" t="s">
        <v>242</v>
      </c>
    </row>
    <row r="10" customFormat="false" ht="14.25" hidden="false" customHeight="false" outlineLevel="0" collapsed="false">
      <c r="B10" s="158" t="n">
        <v>6</v>
      </c>
      <c r="C10" s="181" t="s">
        <v>205</v>
      </c>
      <c r="D10" s="181" t="s">
        <v>243</v>
      </c>
      <c r="E10" s="181" t="s">
        <v>244</v>
      </c>
      <c r="F10" s="158" t="s">
        <v>242</v>
      </c>
    </row>
    <row r="11" customFormat="false" ht="14.25" hidden="false" customHeight="false" outlineLevel="0" collapsed="false">
      <c r="B11" s="22"/>
      <c r="C11" s="184"/>
      <c r="D11" s="184"/>
      <c r="E11" s="184"/>
      <c r="F11" s="22"/>
    </row>
    <row r="12" customFormat="false" ht="14.25" hidden="false" customHeight="false" outlineLevel="0" collapsed="false">
      <c r="B12" s="165" t="n">
        <v>7</v>
      </c>
      <c r="C12" s="185" t="s">
        <v>36</v>
      </c>
      <c r="D12" s="185" t="s">
        <v>18</v>
      </c>
      <c r="E12" s="185" t="s">
        <v>245</v>
      </c>
      <c r="F12" s="165" t="s">
        <v>246</v>
      </c>
    </row>
    <row r="13" customFormat="false" ht="14.25" hidden="false" customHeight="false" outlineLevel="0" collapsed="false">
      <c r="B13" s="165" t="n">
        <v>8</v>
      </c>
      <c r="C13" s="185" t="s">
        <v>247</v>
      </c>
      <c r="D13" s="185" t="s">
        <v>18</v>
      </c>
      <c r="E13" s="185" t="s">
        <v>248</v>
      </c>
      <c r="F13" s="165" t="s">
        <v>246</v>
      </c>
    </row>
    <row r="14" customFormat="false" ht="14.25" hidden="false" customHeight="false" outlineLevel="0" collapsed="false">
      <c r="B14" s="165" t="n">
        <v>9</v>
      </c>
      <c r="C14" s="185" t="s">
        <v>41</v>
      </c>
      <c r="D14" s="185" t="s">
        <v>249</v>
      </c>
      <c r="E14" s="185" t="s">
        <v>250</v>
      </c>
      <c r="F14" s="165" t="s">
        <v>246</v>
      </c>
    </row>
    <row r="15" customFormat="false" ht="28.5" hidden="false" customHeight="false" outlineLevel="0" collapsed="false">
      <c r="B15" s="165" t="n">
        <v>10</v>
      </c>
      <c r="C15" s="185" t="s">
        <v>45</v>
      </c>
      <c r="D15" s="185" t="s">
        <v>251</v>
      </c>
      <c r="E15" s="185" t="s">
        <v>252</v>
      </c>
      <c r="F15" s="165" t="s">
        <v>246</v>
      </c>
    </row>
    <row r="16" customFormat="false" ht="14.25" hidden="false" customHeight="false" outlineLevel="0" collapsed="false">
      <c r="B16" s="168" t="n">
        <v>11</v>
      </c>
      <c r="C16" s="186" t="s">
        <v>49</v>
      </c>
      <c r="D16" s="186" t="s">
        <v>18</v>
      </c>
      <c r="E16" s="186" t="s">
        <v>253</v>
      </c>
      <c r="F16" s="168" t="s">
        <v>246</v>
      </c>
    </row>
    <row r="17" customFormat="false" ht="14.25" hidden="false" customHeight="false" outlineLevel="0" collapsed="false">
      <c r="B17" s="165" t="n">
        <v>12</v>
      </c>
      <c r="C17" s="185" t="s">
        <v>54</v>
      </c>
      <c r="D17" s="185" t="s">
        <v>18</v>
      </c>
      <c r="E17" s="185" t="s">
        <v>255</v>
      </c>
      <c r="F17" s="165" t="s">
        <v>246</v>
      </c>
    </row>
    <row r="18" customFormat="false" ht="14.25" hidden="false" customHeight="false" outlineLevel="0" collapsed="false">
      <c r="B18" s="165" t="n">
        <v>13</v>
      </c>
      <c r="C18" s="185" t="s">
        <v>58</v>
      </c>
      <c r="D18" s="185" t="s">
        <v>256</v>
      </c>
      <c r="E18" s="185" t="s">
        <v>257</v>
      </c>
      <c r="F18" s="165" t="s">
        <v>246</v>
      </c>
    </row>
    <row r="19" customFormat="false" ht="14.25" hidden="false" customHeight="false" outlineLevel="0" collapsed="false">
      <c r="B19" s="165" t="n">
        <v>14</v>
      </c>
      <c r="C19" s="185" t="s">
        <v>62</v>
      </c>
      <c r="D19" s="185" t="s">
        <v>258</v>
      </c>
      <c r="E19" s="185" t="s">
        <v>259</v>
      </c>
      <c r="F19" s="165" t="s">
        <v>246</v>
      </c>
    </row>
    <row r="20" customFormat="false" ht="14.25" hidden="false" customHeight="false" outlineLevel="0" collapsed="false">
      <c r="B20" s="165" t="n">
        <v>15</v>
      </c>
      <c r="C20" s="185" t="s">
        <v>66</v>
      </c>
      <c r="D20" s="185" t="s">
        <v>18</v>
      </c>
      <c r="E20" s="185" t="s">
        <v>260</v>
      </c>
      <c r="F20" s="165" t="s">
        <v>246</v>
      </c>
    </row>
    <row r="21" customFormat="false" ht="14.25" hidden="false" customHeight="false" outlineLevel="0" collapsed="false">
      <c r="B21" s="168" t="n">
        <v>16</v>
      </c>
      <c r="C21" s="186" t="s">
        <v>114</v>
      </c>
      <c r="D21" s="186" t="s">
        <v>261</v>
      </c>
      <c r="E21" s="186" t="s">
        <v>262</v>
      </c>
      <c r="F21" s="168" t="s">
        <v>246</v>
      </c>
    </row>
    <row r="22" customFormat="false" ht="28.5" hidden="false" customHeight="false" outlineLevel="0" collapsed="false">
      <c r="B22" s="165" t="n">
        <v>17</v>
      </c>
      <c r="C22" s="185" t="s">
        <v>117</v>
      </c>
      <c r="D22" s="185" t="s">
        <v>263</v>
      </c>
      <c r="E22" s="185" t="s">
        <v>264</v>
      </c>
      <c r="F22" s="165" t="s">
        <v>246</v>
      </c>
    </row>
    <row r="23" customFormat="false" ht="14.25" hidden="false" customHeight="false" outlineLevel="0" collapsed="false">
      <c r="B23" s="165" t="n">
        <v>18</v>
      </c>
      <c r="C23" s="185" t="s">
        <v>66</v>
      </c>
      <c r="D23" s="185" t="s">
        <v>265</v>
      </c>
      <c r="E23" s="185" t="s">
        <v>266</v>
      </c>
      <c r="F23" s="165" t="s">
        <v>246</v>
      </c>
    </row>
    <row r="24" customFormat="false" ht="14.25" hidden="false" customHeight="false" outlineLevel="0" collapsed="false">
      <c r="B24" s="165" t="n">
        <v>19</v>
      </c>
      <c r="C24" s="185" t="s">
        <v>123</v>
      </c>
      <c r="D24" s="185" t="s">
        <v>267</v>
      </c>
      <c r="E24" s="185" t="s">
        <v>268</v>
      </c>
      <c r="F24" s="165" t="s">
        <v>246</v>
      </c>
    </row>
    <row r="25" customFormat="false" ht="14.25" hidden="false" customHeight="false" outlineLevel="0" collapsed="false">
      <c r="B25" s="22"/>
      <c r="C25" s="184"/>
      <c r="D25" s="184"/>
      <c r="E25" s="184"/>
      <c r="F25" s="22"/>
    </row>
    <row r="26" customFormat="false" ht="14.25" hidden="false" customHeight="false" outlineLevel="0" collapsed="false">
      <c r="B26" s="170" t="n">
        <v>20</v>
      </c>
      <c r="C26" s="187" t="s">
        <v>76</v>
      </c>
      <c r="D26" s="187" t="s">
        <v>269</v>
      </c>
      <c r="E26" s="187" t="s">
        <v>270</v>
      </c>
      <c r="F26" s="170" t="s">
        <v>246</v>
      </c>
    </row>
    <row r="27" customFormat="false" ht="14.25" hidden="false" customHeight="false" outlineLevel="0" collapsed="false">
      <c r="B27" s="170" t="n">
        <v>21</v>
      </c>
      <c r="C27" s="187" t="s">
        <v>79</v>
      </c>
      <c r="D27" s="187" t="s">
        <v>271</v>
      </c>
      <c r="E27" s="187" t="s">
        <v>272</v>
      </c>
      <c r="F27" s="170" t="s">
        <v>246</v>
      </c>
    </row>
    <row r="28" customFormat="false" ht="14.25" hidden="false" customHeight="false" outlineLevel="0" collapsed="false">
      <c r="B28" s="170" t="n">
        <v>22</v>
      </c>
      <c r="C28" s="187" t="s">
        <v>83</v>
      </c>
      <c r="D28" s="187" t="s">
        <v>273</v>
      </c>
      <c r="E28" s="187" t="s">
        <v>274</v>
      </c>
      <c r="F28" s="170" t="s">
        <v>246</v>
      </c>
    </row>
    <row r="29" customFormat="false" ht="14.25" hidden="false" customHeight="false" outlineLevel="0" collapsed="false">
      <c r="B29" s="170" t="n">
        <v>23</v>
      </c>
      <c r="C29" s="187" t="s">
        <v>87</v>
      </c>
      <c r="D29" s="187" t="s">
        <v>275</v>
      </c>
      <c r="E29" s="187" t="s">
        <v>276</v>
      </c>
      <c r="F29" s="170" t="s">
        <v>277</v>
      </c>
    </row>
    <row r="30" customFormat="false" ht="14.25" hidden="false" customHeight="false" outlineLevel="0" collapsed="false">
      <c r="B30" s="22"/>
      <c r="C30" s="184"/>
      <c r="D30" s="184"/>
      <c r="E30" s="184"/>
      <c r="F30" s="22"/>
    </row>
    <row r="31" customFormat="false" ht="43.5" hidden="false" customHeight="false" outlineLevel="0" collapsed="false">
      <c r="B31" s="172" t="n">
        <v>24</v>
      </c>
      <c r="C31" s="188" t="s">
        <v>93</v>
      </c>
      <c r="D31" s="188" t="s">
        <v>278</v>
      </c>
      <c r="E31" s="188" t="s">
        <v>279</v>
      </c>
      <c r="F31" s="172" t="s">
        <v>280</v>
      </c>
    </row>
    <row r="32" customFormat="false" ht="28.5" hidden="false" customHeight="false" outlineLevel="0" collapsed="false">
      <c r="B32" s="172" t="n">
        <v>25</v>
      </c>
      <c r="C32" s="188" t="s">
        <v>83</v>
      </c>
      <c r="D32" s="188" t="s">
        <v>18</v>
      </c>
      <c r="E32" s="188" t="s">
        <v>281</v>
      </c>
      <c r="F32" s="172" t="s">
        <v>280</v>
      </c>
    </row>
    <row r="33" customFormat="false" ht="43.5" hidden="false" customHeight="false" outlineLevel="0" collapsed="false">
      <c r="B33" s="174" t="n">
        <v>26</v>
      </c>
      <c r="C33" s="189" t="s">
        <v>125</v>
      </c>
      <c r="D33" s="189" t="s">
        <v>282</v>
      </c>
      <c r="E33" s="189" t="s">
        <v>283</v>
      </c>
      <c r="F33" s="174" t="s">
        <v>284</v>
      </c>
    </row>
    <row r="34" customFormat="false" ht="28.5" hidden="false" customHeight="false" outlineLevel="0" collapsed="false">
      <c r="B34" s="172" t="n">
        <v>27</v>
      </c>
      <c r="C34" s="188" t="s">
        <v>131</v>
      </c>
      <c r="D34" s="188" t="s">
        <v>285</v>
      </c>
      <c r="E34" s="188" t="s">
        <v>286</v>
      </c>
      <c r="F34" s="172" t="s">
        <v>284</v>
      </c>
    </row>
    <row r="35" customFormat="false" ht="14.25" hidden="false" customHeight="false" outlineLevel="0" collapsed="false">
      <c r="B35" s="22"/>
      <c r="C35" s="184"/>
      <c r="D35" s="184"/>
      <c r="E35" s="184"/>
      <c r="F35" s="22"/>
    </row>
    <row r="36" customFormat="false" ht="28.5" hidden="false" customHeight="false" outlineLevel="0" collapsed="false">
      <c r="B36" s="176" t="n">
        <v>28</v>
      </c>
      <c r="C36" s="190" t="s">
        <v>101</v>
      </c>
      <c r="D36" s="190" t="s">
        <v>287</v>
      </c>
      <c r="E36" s="190" t="s">
        <v>288</v>
      </c>
      <c r="F36" s="176" t="s">
        <v>289</v>
      </c>
    </row>
    <row r="37" customFormat="false" ht="28.5" hidden="false" customHeight="false" outlineLevel="0" collapsed="false">
      <c r="B37" s="176" t="n">
        <v>29</v>
      </c>
      <c r="C37" s="190" t="s">
        <v>41</v>
      </c>
      <c r="D37" s="190" t="s">
        <v>290</v>
      </c>
      <c r="E37" s="190" t="s">
        <v>291</v>
      </c>
      <c r="F37" s="176" t="s">
        <v>289</v>
      </c>
    </row>
    <row r="38" customFormat="false" ht="28.5" hidden="false" customHeight="false" outlineLevel="0" collapsed="false">
      <c r="B38" s="176" t="n">
        <v>30</v>
      </c>
      <c r="C38" s="190" t="s">
        <v>45</v>
      </c>
      <c r="D38" s="190" t="s">
        <v>292</v>
      </c>
      <c r="E38" s="190" t="s">
        <v>293</v>
      </c>
      <c r="F38" s="176" t="s">
        <v>289</v>
      </c>
    </row>
    <row r="39" customFormat="false" ht="28.5" hidden="false" customHeight="false" outlineLevel="0" collapsed="false">
      <c r="B39" s="176" t="n">
        <v>31</v>
      </c>
      <c r="C39" s="190" t="s">
        <v>108</v>
      </c>
      <c r="D39" s="190" t="s">
        <v>18</v>
      </c>
      <c r="E39" s="190" t="s">
        <v>294</v>
      </c>
      <c r="F39" s="176" t="s">
        <v>289</v>
      </c>
    </row>
    <row r="40" customFormat="false" ht="28.5" hidden="false" customHeight="false" outlineLevel="0" collapsed="false">
      <c r="B40" s="176" t="n">
        <v>32</v>
      </c>
      <c r="C40" s="190" t="s">
        <v>83</v>
      </c>
      <c r="D40" s="190" t="s">
        <v>292</v>
      </c>
      <c r="E40" s="190" t="s">
        <v>309</v>
      </c>
      <c r="F40" s="176" t="s">
        <v>289</v>
      </c>
    </row>
    <row r="41" customFormat="false" ht="28.5" hidden="false" customHeight="false" outlineLevel="0" collapsed="false">
      <c r="B41" s="178" t="n">
        <v>33</v>
      </c>
      <c r="C41" s="191" t="s">
        <v>133</v>
      </c>
      <c r="D41" s="191" t="s">
        <v>296</v>
      </c>
      <c r="E41" s="191" t="s">
        <v>297</v>
      </c>
      <c r="F41" s="178" t="s">
        <v>298</v>
      </c>
    </row>
    <row r="42" customFormat="false" ht="28.5" hidden="false" customHeight="false" outlineLevel="0" collapsed="false">
      <c r="B42" s="176" t="n">
        <v>34</v>
      </c>
      <c r="C42" s="190" t="s">
        <v>123</v>
      </c>
      <c r="D42" s="190" t="s">
        <v>299</v>
      </c>
      <c r="E42" s="190" t="s">
        <v>300</v>
      </c>
      <c r="F42" s="176" t="s">
        <v>298</v>
      </c>
    </row>
    <row r="43" customFormat="false" ht="28.5" hidden="false" customHeight="false" outlineLevel="0" collapsed="false">
      <c r="B43" s="176" t="n">
        <v>35</v>
      </c>
      <c r="C43" s="190" t="s">
        <v>131</v>
      </c>
      <c r="D43" s="190" t="s">
        <v>301</v>
      </c>
      <c r="E43" s="190" t="s">
        <v>302</v>
      </c>
      <c r="F43" s="176" t="s">
        <v>298</v>
      </c>
    </row>
    <row r="45" customFormat="false" ht="14.25" hidden="false" customHeight="false" outlineLevel="0" collapsed="false">
      <c r="B45" s="92" t="s">
        <v>310</v>
      </c>
    </row>
    <row r="46" customFormat="false" ht="14.25" hidden="false" customHeight="false" outlineLevel="0" collapsed="false">
      <c r="B46" s="0" t="s">
        <v>311</v>
      </c>
      <c r="C46" s="0" t="s">
        <v>312</v>
      </c>
    </row>
    <row r="47" customFormat="false" ht="14.25" hidden="false" customHeight="false" outlineLevel="0" collapsed="false">
      <c r="B47" s="0" t="s">
        <v>313</v>
      </c>
      <c r="C47" s="0" t="s">
        <v>314</v>
      </c>
    </row>
    <row r="48" customFormat="false" ht="14.25" hidden="false" customHeight="false" outlineLevel="0" collapsed="false">
      <c r="B48" s="0" t="s">
        <v>315</v>
      </c>
      <c r="C48" s="0" t="s">
        <v>316</v>
      </c>
    </row>
    <row r="49" customFormat="false" ht="14.25" hidden="false" customHeight="false" outlineLevel="0" collapsed="false">
      <c r="B49" s="0" t="s">
        <v>317</v>
      </c>
      <c r="C49" s="0" t="s">
        <v>318</v>
      </c>
    </row>
    <row r="50" customFormat="false" ht="14.25" hidden="false" customHeight="false" outlineLevel="0" collapsed="false">
      <c r="B50" s="0" t="s">
        <v>319</v>
      </c>
      <c r="C50" s="0" t="s">
        <v>320</v>
      </c>
    </row>
    <row r="51" customFormat="false" ht="14.25" hidden="false" customHeight="false" outlineLevel="0" collapsed="false">
      <c r="B51" s="0" t="s">
        <v>321</v>
      </c>
      <c r="C51" s="0" t="s">
        <v>322</v>
      </c>
    </row>
    <row r="52" customFormat="false" ht="14.25" hidden="false" customHeight="false" outlineLevel="0" collapsed="false">
      <c r="B52" s="0" t="s">
        <v>323</v>
      </c>
      <c r="C52" s="0" t="s">
        <v>324</v>
      </c>
    </row>
    <row r="53" customFormat="false" ht="14.25" hidden="false" customHeight="false" outlineLevel="0" collapsed="false">
      <c r="B53" s="0" t="s">
        <v>325</v>
      </c>
      <c r="C53" s="0" t="s">
        <v>326</v>
      </c>
    </row>
    <row r="54" customFormat="false" ht="14.25" hidden="false" customHeight="false" outlineLevel="0" collapsed="false">
      <c r="B54" s="0" t="s">
        <v>327</v>
      </c>
      <c r="C54" s="0" t="s">
        <v>328</v>
      </c>
    </row>
    <row r="55" customFormat="false" ht="14.25" hidden="false" customHeight="false" outlineLevel="0" collapsed="false">
      <c r="B55" s="0" t="s">
        <v>329</v>
      </c>
      <c r="C55" s="0" t="s">
        <v>330</v>
      </c>
    </row>
    <row r="56" customFormat="false" ht="14.25" hidden="false" customHeight="false" outlineLevel="0" collapsed="false">
      <c r="B56" s="0" t="s">
        <v>331</v>
      </c>
      <c r="C56" s="0" t="s">
        <v>332</v>
      </c>
    </row>
    <row r="57" customFormat="false" ht="14.25" hidden="false" customHeight="false" outlineLevel="0" collapsed="false">
      <c r="B57" s="0" t="s">
        <v>333</v>
      </c>
      <c r="C57" s="0" t="s">
        <v>334</v>
      </c>
    </row>
    <row r="58" customFormat="false" ht="14.25" hidden="false" customHeight="false" outlineLevel="0" collapsed="false">
      <c r="B58" s="0" t="s">
        <v>335</v>
      </c>
      <c r="C58" s="0" t="s">
        <v>336</v>
      </c>
    </row>
    <row r="59" customFormat="false" ht="14.25" hidden="false" customHeight="false" outlineLevel="0" collapsed="false">
      <c r="B59" s="0" t="s">
        <v>337</v>
      </c>
      <c r="C59" s="0" t="s">
        <v>338</v>
      </c>
    </row>
    <row r="60" customFormat="false" ht="14.25" hidden="false" customHeight="false" outlineLevel="0" collapsed="false">
      <c r="B60" s="0" t="s">
        <v>339</v>
      </c>
      <c r="C60" s="0" t="s">
        <v>340</v>
      </c>
    </row>
    <row r="61" customFormat="false" ht="14.25" hidden="false" customHeight="false" outlineLevel="0" collapsed="false">
      <c r="B61" s="0" t="s">
        <v>341</v>
      </c>
      <c r="C61" s="0" t="s">
        <v>342</v>
      </c>
    </row>
    <row r="62" customFormat="false" ht="14.25" hidden="false" customHeight="false" outlineLevel="0" collapsed="false">
      <c r="B62" s="0" t="s">
        <v>343</v>
      </c>
      <c r="C62" s="0" t="s">
        <v>344</v>
      </c>
    </row>
    <row r="63" customFormat="false" ht="14.25" hidden="false" customHeight="false" outlineLevel="0" collapsed="false">
      <c r="B63" s="0" t="s">
        <v>345</v>
      </c>
      <c r="C63" s="0" t="s">
        <v>346</v>
      </c>
    </row>
    <row r="64" customFormat="false" ht="14.25" hidden="false" customHeight="false" outlineLevel="0" collapsed="false">
      <c r="B64" s="0" t="s">
        <v>347</v>
      </c>
      <c r="C64" s="0" t="s">
        <v>348</v>
      </c>
    </row>
    <row r="65" customFormat="false" ht="14.25" hidden="false" customHeight="false" outlineLevel="0" collapsed="false">
      <c r="B65" s="0" t="s">
        <v>349</v>
      </c>
      <c r="C65" s="0" t="s">
        <v>350</v>
      </c>
    </row>
    <row r="66" customFormat="false" ht="14.25" hidden="false" customHeight="false" outlineLevel="0" collapsed="false">
      <c r="B66" s="0" t="s">
        <v>351</v>
      </c>
      <c r="C66" s="0" t="s">
        <v>352</v>
      </c>
    </row>
  </sheetData>
  <mergeCells count="6">
    <mergeCell ref="A2:A4"/>
    <mergeCell ref="B3:B4"/>
    <mergeCell ref="C3:C4"/>
    <mergeCell ref="D3:D4"/>
    <mergeCell ref="E3:E4"/>
    <mergeCell ref="F3:F4"/>
  </mergeCell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S63"/>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N34" activeCellId="0" sqref="N34"/>
    </sheetView>
  </sheetViews>
  <sheetFormatPr defaultColWidth="10.6796875" defaultRowHeight="14.25" zeroHeight="false" outlineLevelRow="0" outlineLevelCol="0"/>
  <cols>
    <col collapsed="false" customWidth="true" hidden="false" outlineLevel="0" max="1" min="1" style="0" width="12.36"/>
    <col collapsed="false" customWidth="true" hidden="false" outlineLevel="0" max="2" min="2" style="0" width="23.63"/>
    <col collapsed="false" customWidth="true" hidden="false" outlineLevel="0" max="10" min="3" style="0" width="13.36"/>
  </cols>
  <sheetData>
    <row r="2" customFormat="false" ht="43.5" hidden="false" customHeight="false" outlineLevel="0" collapsed="false">
      <c r="A2" s="192" t="s">
        <v>353</v>
      </c>
      <c r="C2" s="193" t="s">
        <v>354</v>
      </c>
      <c r="D2" s="194" t="s">
        <v>355</v>
      </c>
      <c r="E2" s="194" t="s">
        <v>356</v>
      </c>
      <c r="F2" s="194" t="s">
        <v>357</v>
      </c>
      <c r="G2" s="194" t="s">
        <v>358</v>
      </c>
      <c r="H2" s="194" t="s">
        <v>359</v>
      </c>
      <c r="I2" s="194" t="s">
        <v>360</v>
      </c>
      <c r="J2" s="195" t="s">
        <v>361</v>
      </c>
    </row>
    <row r="3" customFormat="false" ht="14.25" hidden="false" customHeight="false" outlineLevel="0" collapsed="false">
      <c r="B3" s="3"/>
      <c r="C3" s="196" t="s">
        <v>155</v>
      </c>
      <c r="D3" s="112" t="s">
        <v>362</v>
      </c>
      <c r="E3" s="112" t="s">
        <v>363</v>
      </c>
      <c r="F3" s="197" t="s">
        <v>364</v>
      </c>
      <c r="G3" s="112" t="s">
        <v>363</v>
      </c>
      <c r="H3" s="197" t="s">
        <v>364</v>
      </c>
      <c r="I3" s="112" t="s">
        <v>363</v>
      </c>
      <c r="J3" s="198" t="s">
        <v>365</v>
      </c>
    </row>
    <row r="4" customFormat="false" ht="16.5" hidden="false" customHeight="false" outlineLevel="0" collapsed="false">
      <c r="B4" s="199" t="s">
        <v>366</v>
      </c>
      <c r="C4" s="200" t="n">
        <v>12</v>
      </c>
      <c r="D4" s="194" t="s">
        <v>367</v>
      </c>
      <c r="E4" s="194" t="s">
        <v>368</v>
      </c>
      <c r="F4" s="194" t="s">
        <v>369</v>
      </c>
      <c r="G4" s="194" t="s">
        <v>370</v>
      </c>
      <c r="H4" s="194" t="s">
        <v>371</v>
      </c>
      <c r="I4" s="194" t="s">
        <v>372</v>
      </c>
      <c r="J4" s="201" t="n">
        <v>230</v>
      </c>
    </row>
    <row r="5" customFormat="false" ht="16.5" hidden="false" customHeight="false" outlineLevel="0" collapsed="false">
      <c r="B5" s="202" t="s">
        <v>373</v>
      </c>
      <c r="C5" s="203" t="n">
        <v>2</v>
      </c>
      <c r="D5" s="22" t="s">
        <v>374</v>
      </c>
      <c r="E5" s="22" t="s">
        <v>375</v>
      </c>
      <c r="F5" s="22" t="s">
        <v>376</v>
      </c>
      <c r="G5" s="22" t="s">
        <v>370</v>
      </c>
      <c r="H5" s="22" t="s">
        <v>371</v>
      </c>
      <c r="I5" s="22" t="s">
        <v>372</v>
      </c>
      <c r="J5" s="204" t="n">
        <v>170</v>
      </c>
    </row>
    <row r="6" customFormat="false" ht="16.5" hidden="false" customHeight="false" outlineLevel="0" collapsed="false">
      <c r="B6" s="202" t="s">
        <v>377</v>
      </c>
      <c r="C6" s="203" t="n">
        <v>5</v>
      </c>
      <c r="D6" s="22" t="s">
        <v>374</v>
      </c>
      <c r="E6" s="22" t="s">
        <v>378</v>
      </c>
      <c r="F6" s="22" t="s">
        <v>379</v>
      </c>
      <c r="G6" s="22" t="s">
        <v>370</v>
      </c>
      <c r="H6" s="22" t="s">
        <v>371</v>
      </c>
      <c r="I6" s="22" t="s">
        <v>372</v>
      </c>
      <c r="J6" s="204" t="n">
        <v>180</v>
      </c>
    </row>
    <row r="7" customFormat="false" ht="16.5" hidden="false" customHeight="false" outlineLevel="0" collapsed="false">
      <c r="B7" s="202" t="s">
        <v>380</v>
      </c>
      <c r="C7" s="203" t="n">
        <v>2</v>
      </c>
      <c r="D7" s="22" t="s">
        <v>381</v>
      </c>
      <c r="E7" s="22" t="s">
        <v>382</v>
      </c>
      <c r="F7" s="22" t="s">
        <v>369</v>
      </c>
      <c r="G7" s="22" t="s">
        <v>370</v>
      </c>
      <c r="H7" s="22" t="s">
        <v>371</v>
      </c>
      <c r="I7" s="22" t="s">
        <v>372</v>
      </c>
      <c r="J7" s="204" t="n">
        <v>140</v>
      </c>
    </row>
    <row r="8" customFormat="false" ht="16.5" hidden="false" customHeight="false" outlineLevel="0" collapsed="false">
      <c r="B8" s="202" t="s">
        <v>383</v>
      </c>
      <c r="C8" s="203" t="n">
        <v>1</v>
      </c>
      <c r="D8" s="22" t="s">
        <v>384</v>
      </c>
      <c r="E8" s="22" t="s">
        <v>375</v>
      </c>
      <c r="F8" s="22" t="s">
        <v>385</v>
      </c>
      <c r="G8" s="22" t="s">
        <v>370</v>
      </c>
      <c r="H8" s="22" t="s">
        <v>371</v>
      </c>
      <c r="I8" s="22" t="s">
        <v>372</v>
      </c>
      <c r="J8" s="204" t="n">
        <v>130</v>
      </c>
    </row>
    <row r="9" customFormat="false" ht="16.5" hidden="false" customHeight="false" outlineLevel="0" collapsed="false">
      <c r="B9" s="202" t="s">
        <v>386</v>
      </c>
      <c r="C9" s="203" t="n">
        <v>1</v>
      </c>
      <c r="D9" s="22" t="s">
        <v>374</v>
      </c>
      <c r="E9" s="22" t="s">
        <v>378</v>
      </c>
      <c r="F9" s="22" t="s">
        <v>376</v>
      </c>
      <c r="G9" s="22" t="s">
        <v>370</v>
      </c>
      <c r="H9" s="22" t="s">
        <v>371</v>
      </c>
      <c r="I9" s="22" t="s">
        <v>372</v>
      </c>
      <c r="J9" s="204" t="n">
        <v>190</v>
      </c>
    </row>
    <row r="10" customFormat="false" ht="16.5" hidden="false" customHeight="false" outlineLevel="0" collapsed="false">
      <c r="B10" s="202" t="s">
        <v>387</v>
      </c>
      <c r="C10" s="203" t="n">
        <v>2</v>
      </c>
      <c r="D10" s="22" t="s">
        <v>388</v>
      </c>
      <c r="E10" s="22" t="s">
        <v>382</v>
      </c>
      <c r="F10" s="22" t="s">
        <v>389</v>
      </c>
      <c r="G10" s="22" t="s">
        <v>390</v>
      </c>
      <c r="H10" s="22" t="s">
        <v>391</v>
      </c>
      <c r="I10" s="22" t="s">
        <v>372</v>
      </c>
      <c r="J10" s="204" t="n">
        <v>200</v>
      </c>
    </row>
    <row r="11" customFormat="false" ht="16.5" hidden="false" customHeight="false" outlineLevel="0" collapsed="false">
      <c r="B11" s="202" t="s">
        <v>392</v>
      </c>
      <c r="C11" s="203" t="n">
        <v>1</v>
      </c>
      <c r="D11" s="22" t="s">
        <v>393</v>
      </c>
      <c r="E11" s="22" t="s">
        <v>394</v>
      </c>
      <c r="F11" s="22" t="s">
        <v>395</v>
      </c>
      <c r="G11" s="22" t="s">
        <v>396</v>
      </c>
      <c r="H11" s="22" t="s">
        <v>397</v>
      </c>
      <c r="I11" s="22" t="s">
        <v>372</v>
      </c>
      <c r="J11" s="204" t="n">
        <v>180</v>
      </c>
    </row>
    <row r="12" customFormat="false" ht="16.5" hidden="false" customHeight="false" outlineLevel="0" collapsed="false">
      <c r="B12" s="202" t="s">
        <v>398</v>
      </c>
      <c r="C12" s="203" t="n">
        <v>2</v>
      </c>
      <c r="D12" s="22" t="s">
        <v>399</v>
      </c>
      <c r="E12" s="22" t="s">
        <v>400</v>
      </c>
      <c r="F12" s="22" t="s">
        <v>379</v>
      </c>
      <c r="G12" s="22" t="s">
        <v>401</v>
      </c>
      <c r="H12" s="22" t="s">
        <v>402</v>
      </c>
      <c r="I12" s="22" t="s">
        <v>372</v>
      </c>
      <c r="J12" s="204" t="n">
        <v>170</v>
      </c>
    </row>
    <row r="13" customFormat="false" ht="16.5" hidden="false" customHeight="false" outlineLevel="0" collapsed="false">
      <c r="B13" s="202" t="s">
        <v>403</v>
      </c>
      <c r="C13" s="203" t="n">
        <v>9</v>
      </c>
      <c r="D13" s="22" t="s">
        <v>404</v>
      </c>
      <c r="E13" s="22" t="s">
        <v>405</v>
      </c>
      <c r="F13" s="22" t="s">
        <v>406</v>
      </c>
      <c r="G13" s="22" t="s">
        <v>407</v>
      </c>
      <c r="H13" s="22" t="s">
        <v>391</v>
      </c>
      <c r="I13" s="22" t="s">
        <v>372</v>
      </c>
      <c r="J13" s="204" t="n">
        <v>200</v>
      </c>
    </row>
    <row r="14" customFormat="false" ht="16.5" hidden="false" customHeight="false" outlineLevel="0" collapsed="false">
      <c r="B14" s="202" t="s">
        <v>408</v>
      </c>
      <c r="C14" s="203" t="n">
        <v>4</v>
      </c>
      <c r="D14" s="22" t="s">
        <v>409</v>
      </c>
      <c r="E14" s="22" t="s">
        <v>410</v>
      </c>
      <c r="F14" s="22" t="s">
        <v>411</v>
      </c>
      <c r="G14" s="22" t="s">
        <v>412</v>
      </c>
      <c r="H14" s="22" t="s">
        <v>413</v>
      </c>
      <c r="I14" s="22" t="s">
        <v>372</v>
      </c>
      <c r="J14" s="204" t="n">
        <v>200</v>
      </c>
    </row>
    <row r="15" customFormat="false" ht="16.5" hidden="false" customHeight="false" outlineLevel="0" collapsed="false">
      <c r="B15" s="202" t="s">
        <v>414</v>
      </c>
      <c r="C15" s="203" t="n">
        <v>1</v>
      </c>
      <c r="D15" s="22" t="s">
        <v>415</v>
      </c>
      <c r="E15" s="22" t="s">
        <v>416</v>
      </c>
      <c r="F15" s="22" t="s">
        <v>417</v>
      </c>
      <c r="G15" s="22" t="s">
        <v>418</v>
      </c>
      <c r="H15" s="22" t="s">
        <v>419</v>
      </c>
      <c r="I15" s="22" t="s">
        <v>372</v>
      </c>
      <c r="J15" s="204" t="n">
        <v>120</v>
      </c>
    </row>
    <row r="16" customFormat="false" ht="16.5" hidden="false" customHeight="false" outlineLevel="0" collapsed="false">
      <c r="B16" s="202" t="s">
        <v>420</v>
      </c>
      <c r="C16" s="203" t="n">
        <v>1</v>
      </c>
      <c r="D16" s="22" t="s">
        <v>421</v>
      </c>
      <c r="E16" s="22" t="s">
        <v>422</v>
      </c>
      <c r="F16" s="22" t="s">
        <v>389</v>
      </c>
      <c r="G16" s="22" t="s">
        <v>423</v>
      </c>
      <c r="H16" s="22" t="s">
        <v>424</v>
      </c>
      <c r="I16" s="22" t="s">
        <v>425</v>
      </c>
      <c r="J16" s="204" t="n">
        <v>0</v>
      </c>
    </row>
    <row r="17" customFormat="false" ht="16.5" hidden="false" customHeight="false" outlineLevel="0" collapsed="false">
      <c r="B17" s="202" t="s">
        <v>426</v>
      </c>
      <c r="C17" s="205" t="n">
        <v>20</v>
      </c>
      <c r="D17" s="112" t="s">
        <v>427</v>
      </c>
      <c r="E17" s="112" t="s">
        <v>428</v>
      </c>
      <c r="F17" s="112" t="s">
        <v>406</v>
      </c>
      <c r="G17" s="112" t="s">
        <v>428</v>
      </c>
      <c r="H17" s="112" t="s">
        <v>429</v>
      </c>
      <c r="I17" s="112" t="s">
        <v>372</v>
      </c>
      <c r="J17" s="206" t="n">
        <v>190</v>
      </c>
    </row>
    <row r="18" customFormat="false" ht="14.25" hidden="false" customHeight="false" outlineLevel="0" collapsed="false">
      <c r="B18" s="207" t="s">
        <v>430</v>
      </c>
      <c r="C18" s="208" t="n">
        <f aca="false">SUM(C4:C17)</f>
        <v>63</v>
      </c>
    </row>
    <row r="21" customFormat="false" ht="14.25" hidden="false" customHeight="false" outlineLevel="0" collapsed="false">
      <c r="B21" s="209" t="s">
        <v>431</v>
      </c>
    </row>
    <row r="22" customFormat="false" ht="14.25" hidden="false" customHeight="false" outlineLevel="0" collapsed="false">
      <c r="B22" s="0" t="s">
        <v>432</v>
      </c>
      <c r="C22" s="94" t="s">
        <v>433</v>
      </c>
      <c r="S22" s="0" t="s">
        <v>434</v>
      </c>
    </row>
    <row r="23" customFormat="false" ht="14.25" hidden="false" customHeight="false" outlineLevel="0" collapsed="false">
      <c r="B23" s="0" t="s">
        <v>435</v>
      </c>
      <c r="C23" s="94" t="s">
        <v>159</v>
      </c>
      <c r="S23" s="0" t="s">
        <v>434</v>
      </c>
    </row>
    <row r="24" customFormat="false" ht="14.25" hidden="false" customHeight="false" outlineLevel="0" collapsed="false">
      <c r="C24" s="94" t="s">
        <v>162</v>
      </c>
      <c r="S24" s="0" t="s">
        <v>434</v>
      </c>
    </row>
    <row r="25" customFormat="false" ht="14.25" hidden="false" customHeight="false" outlineLevel="0" collapsed="false">
      <c r="B25" s="0" t="s">
        <v>436</v>
      </c>
      <c r="C25" s="94" t="s">
        <v>437</v>
      </c>
      <c r="S25" s="0" t="s">
        <v>434</v>
      </c>
    </row>
    <row r="26" customFormat="false" ht="14.25" hidden="false" customHeight="false" outlineLevel="0" collapsed="false">
      <c r="B26" s="0" t="s">
        <v>438</v>
      </c>
      <c r="C26" s="0" t="s">
        <v>439</v>
      </c>
    </row>
    <row r="28" customFormat="false" ht="14.25" hidden="false" customHeight="false" outlineLevel="0" collapsed="false">
      <c r="B28" s="210" t="s">
        <v>440</v>
      </c>
      <c r="C28" s="0" t="s">
        <v>441</v>
      </c>
    </row>
    <row r="29" customFormat="false" ht="14.25" hidden="false" customHeight="false" outlineLevel="0" collapsed="false">
      <c r="B29" s="210" t="s">
        <v>442</v>
      </c>
    </row>
    <row r="30" customFormat="false" ht="14.25" hidden="false" customHeight="false" outlineLevel="0" collapsed="false">
      <c r="B30" s="210" t="s">
        <v>443</v>
      </c>
    </row>
    <row r="31" customFormat="false" ht="14.25" hidden="false" customHeight="false" outlineLevel="0" collapsed="false">
      <c r="B31" s="210" t="s">
        <v>444</v>
      </c>
    </row>
    <row r="32" customFormat="false" ht="14.25" hidden="false" customHeight="false" outlineLevel="0" collapsed="false">
      <c r="B32" s="210" t="s">
        <v>445</v>
      </c>
    </row>
    <row r="33" customFormat="false" ht="14.25" hidden="false" customHeight="false" outlineLevel="0" collapsed="false">
      <c r="B33" s="210" t="s">
        <v>446</v>
      </c>
    </row>
    <row r="34" customFormat="false" ht="14.25" hidden="false" customHeight="false" outlineLevel="0" collapsed="false">
      <c r="B34" s="210" t="s">
        <v>447</v>
      </c>
    </row>
    <row r="35" customFormat="false" ht="14.25" hidden="false" customHeight="false" outlineLevel="0" collapsed="false">
      <c r="B35" s="210" t="s">
        <v>448</v>
      </c>
    </row>
    <row r="36" customFormat="false" ht="14.25" hidden="false" customHeight="false" outlineLevel="0" collapsed="false">
      <c r="B36" s="210"/>
    </row>
    <row r="38" customFormat="false" ht="14.25" hidden="false" customHeight="true" outlineLevel="0" collapsed="false">
      <c r="A38" s="180" t="s">
        <v>449</v>
      </c>
      <c r="C38" s="211" t="s">
        <v>450</v>
      </c>
      <c r="D38" s="211"/>
    </row>
    <row r="39" customFormat="false" ht="14.25" hidden="false" customHeight="false" outlineLevel="0" collapsed="false">
      <c r="A39" s="180"/>
      <c r="C39" s="212" t="s">
        <v>21</v>
      </c>
      <c r="D39" s="212" t="s">
        <v>451</v>
      </c>
    </row>
    <row r="40" customFormat="false" ht="14.25" hidden="false" customHeight="false" outlineLevel="0" collapsed="false">
      <c r="A40" s="180"/>
      <c r="B40" s="0" t="s">
        <v>312</v>
      </c>
      <c r="C40" s="45" t="n">
        <f aca="false">example!F9</f>
        <v>6622</v>
      </c>
      <c r="D40" s="45" t="n">
        <f aca="false">example!G9</f>
        <v>105.111111111111</v>
      </c>
    </row>
    <row r="41" customFormat="false" ht="14.25" hidden="false" customHeight="false" outlineLevel="0" collapsed="false">
      <c r="B41" s="0" t="s">
        <v>452</v>
      </c>
      <c r="C41" s="45" t="n">
        <f aca="false">example!F10</f>
        <v>5418</v>
      </c>
      <c r="D41" s="45" t="n">
        <f aca="false">example!G10</f>
        <v>86</v>
      </c>
    </row>
    <row r="42" customFormat="false" ht="14.25" hidden="false" customHeight="false" outlineLevel="0" collapsed="false">
      <c r="B42" s="15" t="s">
        <v>316</v>
      </c>
      <c r="C42" s="45" t="n">
        <f aca="false">example!F11</f>
        <v>882</v>
      </c>
      <c r="D42" s="45" t="n">
        <f aca="false">example!G11</f>
        <v>14</v>
      </c>
    </row>
    <row r="43" customFormat="false" ht="14.25" hidden="false" customHeight="false" outlineLevel="0" collapsed="false">
      <c r="B43" s="15" t="s">
        <v>317</v>
      </c>
      <c r="C43" s="45" t="n">
        <f aca="false">example!F12</f>
        <v>756</v>
      </c>
      <c r="D43" s="45" t="n">
        <f aca="false">example!G12</f>
        <v>12</v>
      </c>
      <c r="E43" s="38"/>
      <c r="F43" s="38"/>
    </row>
    <row r="44" customFormat="false" ht="14.25" hidden="false" customHeight="false" outlineLevel="0" collapsed="false">
      <c r="B44" s="15" t="s">
        <v>453</v>
      </c>
      <c r="C44" s="45" t="n">
        <f aca="false">example!F13</f>
        <v>63</v>
      </c>
      <c r="D44" s="45" t="n">
        <f aca="false">example!G13</f>
        <v>1</v>
      </c>
      <c r="E44" s="38"/>
      <c r="F44" s="38"/>
    </row>
    <row r="45" customFormat="false" ht="14.25" hidden="false" customHeight="false" outlineLevel="0" collapsed="false">
      <c r="E45" s="38"/>
      <c r="F45" s="38"/>
    </row>
    <row r="46" customFormat="false" ht="14.25" hidden="false" customHeight="false" outlineLevel="0" collapsed="false">
      <c r="B46" s="64"/>
      <c r="C46" s="213" t="s">
        <v>454</v>
      </c>
      <c r="D46" s="213"/>
    </row>
    <row r="47" customFormat="false" ht="14.25" hidden="false" customHeight="false" outlineLevel="0" collapsed="false">
      <c r="B47" s="64"/>
      <c r="C47" s="38" t="s">
        <v>455</v>
      </c>
      <c r="D47" s="38" t="s">
        <v>456</v>
      </c>
    </row>
    <row r="48" customFormat="false" ht="14.25" hidden="false" customHeight="false" outlineLevel="0" collapsed="false">
      <c r="B48" s="214" t="s">
        <v>457</v>
      </c>
      <c r="C48" s="215" t="n">
        <f aca="false">example!F46</f>
        <v>492900</v>
      </c>
      <c r="D48" s="215" t="n">
        <f aca="false">example!F49</f>
        <v>369675</v>
      </c>
    </row>
    <row r="49" customFormat="false" ht="14.25" hidden="false" customHeight="false" outlineLevel="0" collapsed="false">
      <c r="B49" s="214" t="s">
        <v>458</v>
      </c>
      <c r="C49" s="215" t="n">
        <f aca="false">example!F47</f>
        <v>214090</v>
      </c>
      <c r="D49" s="215" t="n">
        <f aca="false">example!F50</f>
        <v>192681</v>
      </c>
    </row>
    <row r="50" customFormat="false" ht="14.25" hidden="false" customHeight="false" outlineLevel="0" collapsed="false">
      <c r="B50" s="64" t="s">
        <v>91</v>
      </c>
      <c r="C50" s="215" t="n">
        <f aca="false">example!F48</f>
        <v>514491</v>
      </c>
      <c r="D50" s="215" t="n">
        <f aca="false">example!F51</f>
        <v>477081.9</v>
      </c>
    </row>
    <row r="51" customFormat="false" ht="14.25" hidden="false" customHeight="false" outlineLevel="0" collapsed="false">
      <c r="B51" s="64"/>
      <c r="C51" s="38"/>
      <c r="D51" s="38"/>
    </row>
    <row r="52" customFormat="false" ht="14.25" hidden="false" customHeight="false" outlineLevel="0" collapsed="false">
      <c r="C52" s="213" t="s">
        <v>459</v>
      </c>
      <c r="D52" s="213"/>
    </row>
    <row r="53" customFormat="false" ht="14.25" hidden="false" customHeight="false" outlineLevel="0" collapsed="false">
      <c r="C53" s="38" t="s">
        <v>455</v>
      </c>
      <c r="D53" s="38" t="s">
        <v>456</v>
      </c>
    </row>
    <row r="54" customFormat="false" ht="14.25" hidden="false" customHeight="false" outlineLevel="0" collapsed="false">
      <c r="B54" s="214" t="s">
        <v>457</v>
      </c>
      <c r="C54" s="215" t="n">
        <f aca="false">example!F26</f>
        <v>8635.53388067948</v>
      </c>
      <c r="D54" s="215" t="n">
        <f aca="false">example!F29</f>
        <v>4857.48780788221</v>
      </c>
    </row>
    <row r="55" customFormat="false" ht="14.25" hidden="false" customHeight="false" outlineLevel="0" collapsed="false">
      <c r="B55" s="214" t="s">
        <v>458</v>
      </c>
      <c r="C55" s="215" t="n">
        <f aca="false">example!F27</f>
        <v>1520.90255813954</v>
      </c>
      <c r="D55" s="215" t="n">
        <f aca="false">example!F30</f>
        <v>1026.60922674419</v>
      </c>
    </row>
    <row r="56" customFormat="false" ht="14.25" hidden="false" customHeight="false" outlineLevel="0" collapsed="false">
      <c r="B56" s="64" t="s">
        <v>91</v>
      </c>
      <c r="C56" s="215" t="n">
        <f aca="false">example!F28</f>
        <v>5157.51</v>
      </c>
      <c r="D56" s="215" t="n">
        <f aca="false">example!F31</f>
        <v>3587.46975</v>
      </c>
    </row>
    <row r="57" customFormat="false" ht="14.25" hidden="false" customHeight="false" outlineLevel="0" collapsed="false">
      <c r="D57" s="38"/>
    </row>
    <row r="58" customFormat="false" ht="14.25" hidden="false" customHeight="false" outlineLevel="0" collapsed="false">
      <c r="B58" s="216"/>
      <c r="C58" s="38" t="s">
        <v>460</v>
      </c>
    </row>
    <row r="59" customFormat="false" ht="14.25" hidden="false" customHeight="false" outlineLevel="0" collapsed="false">
      <c r="B59" s="217" t="s">
        <v>99</v>
      </c>
      <c r="C59" s="47" t="n">
        <f aca="false">example!F32</f>
        <v>1021.0932238641</v>
      </c>
    </row>
    <row r="60" customFormat="false" ht="14.25" hidden="false" customHeight="false" outlineLevel="0" collapsed="false">
      <c r="B60" s="217" t="s">
        <v>461</v>
      </c>
      <c r="C60" s="47" t="n">
        <f aca="false">example!F33</f>
        <v>2042.18644772821</v>
      </c>
    </row>
    <row r="61" customFormat="false" ht="14.25" hidden="false" customHeight="false" outlineLevel="0" collapsed="false">
      <c r="B61" s="216" t="s">
        <v>462</v>
      </c>
      <c r="C61" s="47" t="n">
        <f aca="false">example!F34</f>
        <v>1786.91314176218</v>
      </c>
    </row>
    <row r="62" customFormat="false" ht="14.25" hidden="false" customHeight="false" outlineLevel="0" collapsed="false">
      <c r="B62" s="64"/>
      <c r="C62" s="38"/>
    </row>
    <row r="63" customFormat="false" ht="14.25" hidden="false" customHeight="false" outlineLevel="0" collapsed="false">
      <c r="B63" s="64" t="s">
        <v>463</v>
      </c>
      <c r="C63" s="215" t="n">
        <f aca="false">example!F43</f>
        <v>255.273305966026</v>
      </c>
    </row>
  </sheetData>
  <mergeCells count="4">
    <mergeCell ref="A38:A40"/>
    <mergeCell ref="C38:D38"/>
    <mergeCell ref="C46:D46"/>
    <mergeCell ref="C52:D52"/>
  </mergeCells>
  <hyperlinks>
    <hyperlink ref="C22" r:id="rId1" location=":~:text=Die%20landwirtschaftlich%20genutzte%20Fläche%20blieb,Betrieb%20durchschnittlich%2056%20Hektar%20bewirtschaftete." display="https://www.destatis.de/DE/Presse/Pressemitteilungen/2021/01/PD21_028_412.html#:~:text=Die%20landwirtschaftlich%20genutzte%20Fl%C3%A4che%20blieb,Betrieb%20durchschnittlich%2056%20Hektar%20bewirtschaftete."/>
    <hyperlink ref="C23" r:id="rId2" location="123340" display="https://www.destatis.de/DE/Themen/Branchen-Unternehmen/Landwirtschaft-Forstwirtschaft-Fischerei/Feldfruechte-Gruenland/Tabellen/liste-feldfruechte-zeitreihe.html#123340"/>
    <hyperlink ref="C24" r:id="rId3" display="https://www.destatis.de/DE/Themen/Branchen-Unternehmen/Landwirtschaft-Forstwirtschaft-Fischerei/Feldfruechte-Gruenland/_inhalt.html"/>
    <hyperlink ref="C25" r:id="rId4" location=":~:text=Der%20Rest%20ist%20Futtergerste.,fast%20ausschließlich%20als%20Futtergerste%20Verwendung" display="https://www.agrarheute.com/markt/marktfruechte/hohe-getreidepreise-puschen-anbau-sommergetreide-593820#:~:text=Der%20Rest%20ist%20Futtergerste.,fast%20ausschlie%C3%9Flich%20als%20Futtergerste%20Verwendung"/>
  </hyperlink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TotalTime>
  <Application>LibreOffice/7.5.5.2$Linux_X86_64 LibreOffice_project/50$Build-2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2023-04-22T13:29:32Z</dcterms:created>
  <dc:creator>Wilhelm van Husen</dc:creator>
  <dc:description/>
  <dc:language>de-CH</dc:language>
  <cp:lastModifiedBy/>
  <dcterms:modified xsi:type="dcterms:W3CDTF">2023-09-12T08:49:17Z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