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James.Smith\Desktop\personal\KI cats\paper\for submission\"/>
    </mc:Choice>
  </mc:AlternateContent>
  <xr:revisionPtr revIDLastSave="0" documentId="13_ncr:1_{9058930F-575A-4FBD-BFBF-D4978EFD9291}" xr6:coauthVersionLast="47" xr6:coauthVersionMax="47" xr10:uidLastSave="{00000000-0000-0000-0000-000000000000}"/>
  <bookViews>
    <workbookView xWindow="-28920" yWindow="840" windowWidth="29040" windowHeight="15720" activeTab="1" xr2:uid="{00000000-000D-0000-FFFF-FFFF00000000}"/>
  </bookViews>
  <sheets>
    <sheet name="Instructions" sheetId="4" r:id="rId1"/>
    <sheet name="Savings calculator" sheetId="1" r:id="rId2"/>
    <sheet name="dropdown list- to hide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1" l="1"/>
  <c r="G40" i="1"/>
  <c r="H26" i="1"/>
  <c r="H25" i="1"/>
  <c r="G25" i="1"/>
  <c r="G9" i="1"/>
  <c r="B8" i="1"/>
  <c r="G13" i="1"/>
  <c r="G16" i="1" s="1"/>
  <c r="B14" i="1" l="1"/>
  <c r="B19" i="1" s="1"/>
  <c r="B23" i="1" s="1"/>
  <c r="G33" i="1"/>
  <c r="B35" i="1"/>
  <c r="G47" i="1"/>
  <c r="H37" i="1"/>
  <c r="H21" i="1"/>
  <c r="H19" i="1"/>
  <c r="H18" i="1"/>
  <c r="C38" i="1"/>
  <c r="C36" i="1"/>
  <c r="C29" i="1"/>
  <c r="B29" i="1"/>
  <c r="C23" i="1"/>
  <c r="B36" i="1" l="1"/>
  <c r="G48" i="1"/>
  <c r="G50" i="1" s="1"/>
  <c r="G49" i="1"/>
  <c r="B44" i="1"/>
  <c r="B38" i="1" l="1"/>
  <c r="B43" i="1" s="1"/>
  <c r="C44" i="1" l="1"/>
  <c r="D44" i="1" s="1"/>
  <c r="G19" i="1" l="1"/>
  <c r="G26" i="1" s="1"/>
  <c r="B45" i="1" l="1"/>
  <c r="C45" i="1" s="1"/>
  <c r="D45" i="1" s="1"/>
</calcChain>
</file>

<file path=xl/sharedStrings.xml><?xml version="1.0" encoding="utf-8"?>
<sst xmlns="http://schemas.openxmlformats.org/spreadsheetml/2006/main" count="130" uniqueCount="102">
  <si>
    <t>Units</t>
  </si>
  <si>
    <t>$ per day</t>
  </si>
  <si>
    <t>Saving</t>
  </si>
  <si>
    <t>$ per hour</t>
  </si>
  <si>
    <t>Cost ($)</t>
  </si>
  <si>
    <t>$ per day per camera</t>
  </si>
  <si>
    <t>Saving ($)</t>
  </si>
  <si>
    <t>Saving (%)</t>
  </si>
  <si>
    <t>kg / year</t>
  </si>
  <si>
    <t>Year</t>
  </si>
  <si>
    <t>Project</t>
  </si>
  <si>
    <t>$ per litre</t>
  </si>
  <si>
    <t xml:space="preserve"> </t>
  </si>
  <si>
    <t>This spreadsheet helps calculate</t>
  </si>
  <si>
    <t>Coloured boxes contain automatic calculations</t>
  </si>
  <si>
    <t>Different scenarios can be defined in the different boxes, with cost and carbon savings between different scenarios displayed in the blue and yellow boxes at the bottom</t>
  </si>
  <si>
    <t>Staff Collecting and Sorting SD Card Images</t>
  </si>
  <si>
    <t>Insert Values</t>
  </si>
  <si>
    <t>Kms</t>
  </si>
  <si>
    <t>Per vehicle per day</t>
  </si>
  <si>
    <t>Fuel Price</t>
  </si>
  <si>
    <t>Vehicle Fuel Efficiency</t>
  </si>
  <si>
    <t>Is This Cost Benefit Analysis per (please select)</t>
  </si>
  <si>
    <t>Hours per day</t>
  </si>
  <si>
    <t>Vehicle Maintenance/Insurance/Registration</t>
  </si>
  <si>
    <t>Litres per 100km</t>
  </si>
  <si>
    <t>Number of Days</t>
  </si>
  <si>
    <t>Number of Cameras</t>
  </si>
  <si>
    <t>Number of SD Card Downloads per Year</t>
  </si>
  <si>
    <t>Minutes</t>
  </si>
  <si>
    <t>Hours</t>
  </si>
  <si>
    <t>Number of SD Cards to be Checked per Download</t>
  </si>
  <si>
    <t>Average Time Taken to Process One SD Card</t>
  </si>
  <si>
    <t>Total Cost of Manual Download and Processing</t>
  </si>
  <si>
    <t>Using eVorta AI System with 4G Connected Cameras</t>
  </si>
  <si>
    <t>SIM Card Subscription Cost</t>
  </si>
  <si>
    <t>Staff Time (eVorta Liaison and Training the eVorta System)</t>
  </si>
  <si>
    <t>Minutes per day</t>
  </si>
  <si>
    <t>Camera Maintenance Days</t>
  </si>
  <si>
    <t>Per hour</t>
  </si>
  <si>
    <t>Kilometres per Day</t>
  </si>
  <si>
    <t>Cost of Long Range Antenna</t>
  </si>
  <si>
    <t>Number of Long Range Antennas Required</t>
  </si>
  <si>
    <t>Total Cost of Camera Purchase</t>
  </si>
  <si>
    <t>How Many Years (if Multi-year Project, or else 1)</t>
  </si>
  <si>
    <t>Using eVorta AI System Without 4G Connected Cameras (Manual Uploads)</t>
  </si>
  <si>
    <t>Number of Images</t>
  </si>
  <si>
    <t>Per upload</t>
  </si>
  <si>
    <t>Current eVorta processing cost @ $0.01/image</t>
  </si>
  <si>
    <t>eVorta Costs per Image</t>
  </si>
  <si>
    <t>Number of Uploads</t>
  </si>
  <si>
    <t>Minutes per upload and eVorta interrogation</t>
  </si>
  <si>
    <t>Staff Salary Including Oncosts</t>
  </si>
  <si>
    <t>Total Cost per Upload</t>
  </si>
  <si>
    <t>Carbon Emission Savings</t>
  </si>
  <si>
    <t>Carbon Emissions for Make and Model of Vehicle</t>
  </si>
  <si>
    <t>To begin, select from the dropdown menu in cell B1, your proposed duration.</t>
  </si>
  <si>
    <t>Then, input your data into the white cells where relevant</t>
  </si>
  <si>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>Camera traps can be purchased with a number of options (batteries, SD cards of various capacities, solar panel attachments, antitheft devices etc). In cells B26, G22 and G38 insert (where relevant) these values as a total (per single camera setup) including in the value any of the options required.</t>
    </r>
  </si>
  <si>
    <t xml:space="preserve">        a) an appropriate camera trapping regime for your project</t>
  </si>
  <si>
    <t xml:space="preserve">        b) a comparison of the estimated cost and carbon savings of different regimes</t>
  </si>
  <si>
    <t xml:space="preserve">        Project- for 12 months or less</t>
  </si>
  <si>
    <t xml:space="preserve">        Year- for multi-year projects</t>
  </si>
  <si>
    <t>Camera Equipment Purchase Cost</t>
  </si>
  <si>
    <t>Number of Cameras Required</t>
  </si>
  <si>
    <t>Travel to Service Cameras - Vehicles</t>
  </si>
  <si>
    <t>Travel to Service Cameras - Staff</t>
  </si>
  <si>
    <t>Image Processing - Staff</t>
  </si>
  <si>
    <t>Staff Time (eVorta Liaison and Training the eVorta algorithm)</t>
  </si>
  <si>
    <t>Number of FTE Staff</t>
  </si>
  <si>
    <t>Staff FTE Time</t>
  </si>
  <si>
    <t>Subtotal (Direct Image Uploads and eVorta Interrogation)</t>
  </si>
  <si>
    <t>Subtotal Camera Maintenance Costs</t>
  </si>
  <si>
    <t>eVorta Subscription Cost</t>
  </si>
  <si>
    <t>Total Ongoing Costs</t>
  </si>
  <si>
    <t>Total Camera Equipment Purchase Cost</t>
  </si>
  <si>
    <t>Cost per unit Camera Equipment</t>
  </si>
  <si>
    <t>Manual image download and upload, eVorta image processing</t>
  </si>
  <si>
    <t>Manual image download, human image processing</t>
  </si>
  <si>
    <t>4G-connected camera image direct upload, eVorta image processing</t>
  </si>
  <si>
    <t>Using 4G connected cameras and eVorta image processing</t>
  </si>
  <si>
    <t>Toyota Hilux 2022</t>
  </si>
  <si>
    <t>Overall saving across entire project</t>
  </si>
  <si>
    <t xml:space="preserve">kg  </t>
  </si>
  <si>
    <t>Vehicle Depreciation (owned vehicles)</t>
  </si>
  <si>
    <t>Lease/Hire/Finance Expense (leased vehicles)</t>
  </si>
  <si>
    <t>Number of Days Vehicle Use</t>
  </si>
  <si>
    <t>Number of Vehicles Used Per Day</t>
  </si>
  <si>
    <t>Daily fuel cost per vehicle</t>
  </si>
  <si>
    <t>$ per antenna</t>
  </si>
  <si>
    <t>Total daily cost per vehicle</t>
  </si>
  <si>
    <t>Total initial outlay</t>
  </si>
  <si>
    <t>Per day</t>
  </si>
  <si>
    <t>Total Staff Cost - Servicing</t>
  </si>
  <si>
    <t>Daily Staff Time - Image Processing</t>
  </si>
  <si>
    <t>Total Staff Cost - Image Processing</t>
  </si>
  <si>
    <t>Total Vehicle Cost - Servicing</t>
  </si>
  <si>
    <t>Other vehicle costs:</t>
  </si>
  <si>
    <t>as defined in cell G6</t>
  </si>
  <si>
    <t>Total eVorta and Staff Processing Cost</t>
  </si>
  <si>
    <t>Using Staff to manually download and process images</t>
  </si>
  <si>
    <t>g /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</si>
</sst>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&quot;$&quot;* #,##0_-;\-&quot;$&quot;* #,##0_-;_-&quot;$&quot;* &quot;-&quot;??_-;_-@_-"/>
    <numFmt numFmtId="166" formatCode="0.0"/>
    <numFmt numFmtId="167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0" tint="-0.499984740745262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8" fillId="13" borderId="0" xfId="0" applyFont="1" applyFill="1" applyAlignment="1">
      <alignment horizontal="left" vertical="center"/>
    </xf>
    <xf numFmtId="0" fontId="7" fillId="13" borderId="0" xfId="0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 wrapText="1" indent="1"/>
    </xf>
    <xf numFmtId="0" fontId="5" fillId="5" borderId="0" xfId="0" applyFont="1" applyFill="1" applyAlignment="1">
      <alignment horizontal="left" vertical="center"/>
    </xf>
    <xf numFmtId="1" fontId="7" fillId="3" borderId="0" xfId="0" applyNumberFormat="1" applyFont="1" applyFill="1" applyAlignment="1">
      <alignment vertical="center"/>
    </xf>
    <xf numFmtId="0" fontId="9" fillId="3" borderId="0" xfId="0" applyFont="1" applyFill="1" applyAlignment="1">
      <alignment horizontal="left" vertical="center" wrapText="1" indent="1"/>
    </xf>
    <xf numFmtId="0" fontId="12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 wrapText="1" indent="1"/>
    </xf>
    <xf numFmtId="0" fontId="3" fillId="5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wrapText="1" indent="1"/>
    </xf>
    <xf numFmtId="0" fontId="7" fillId="4" borderId="0" xfId="0" applyFont="1" applyFill="1" applyAlignment="1">
      <alignment horizontal="left" vertical="center"/>
    </xf>
    <xf numFmtId="166" fontId="5" fillId="2" borderId="0" xfId="0" applyNumberFormat="1" applyFont="1" applyFill="1" applyAlignment="1">
      <alignment horizontal="right" vertical="center"/>
    </xf>
    <xf numFmtId="1" fontId="7" fillId="2" borderId="0" xfId="0" applyNumberFormat="1" applyFont="1" applyFill="1" applyAlignment="1">
      <alignment vertical="center"/>
    </xf>
    <xf numFmtId="0" fontId="3" fillId="5" borderId="0" xfId="0" applyFont="1" applyFill="1" applyAlignment="1">
      <alignment horizontal="left" vertical="center" wrapText="1"/>
    </xf>
    <xf numFmtId="0" fontId="10" fillId="14" borderId="0" xfId="0" applyFont="1" applyFill="1" applyAlignment="1">
      <alignment horizontal="left" vertical="center"/>
    </xf>
    <xf numFmtId="0" fontId="8" fillId="14" borderId="0" xfId="0" applyFont="1" applyFill="1" applyAlignment="1">
      <alignment horizontal="right" vertical="center"/>
    </xf>
    <xf numFmtId="0" fontId="3" fillId="7" borderId="0" xfId="0" applyFont="1" applyFill="1" applyAlignment="1">
      <alignment horizontal="left" vertical="center"/>
    </xf>
    <xf numFmtId="164" fontId="3" fillId="7" borderId="0" xfId="0" applyNumberFormat="1" applyFont="1" applyFill="1" applyAlignment="1">
      <alignment horizontal="left" vertical="center"/>
    </xf>
    <xf numFmtId="0" fontId="7" fillId="6" borderId="0" xfId="0" applyFont="1" applyFill="1" applyAlignment="1">
      <alignment horizontal="left" vertical="center"/>
    </xf>
    <xf numFmtId="3" fontId="7" fillId="6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left" vertical="center"/>
    </xf>
    <xf numFmtId="167" fontId="7" fillId="6" borderId="0" xfId="0" applyNumberFormat="1" applyFont="1" applyFill="1" applyAlignment="1">
      <alignment horizontal="right" vertical="center"/>
    </xf>
    <xf numFmtId="0" fontId="5" fillId="15" borderId="0" xfId="0" applyFont="1" applyFill="1" applyAlignment="1">
      <alignment horizontal="left" vertical="center"/>
    </xf>
    <xf numFmtId="0" fontId="3" fillId="15" borderId="0" xfId="0" applyFont="1" applyFill="1" applyAlignment="1">
      <alignment horizontal="left" vertical="center"/>
    </xf>
    <xf numFmtId="0" fontId="5" fillId="8" borderId="0" xfId="0" applyFont="1" applyFill="1" applyAlignment="1">
      <alignment horizontal="left" vertical="center"/>
    </xf>
    <xf numFmtId="3" fontId="5" fillId="8" borderId="0" xfId="0" applyNumberFormat="1" applyFont="1" applyFill="1" applyAlignment="1">
      <alignment horizontal="right" vertical="center"/>
    </xf>
    <xf numFmtId="0" fontId="7" fillId="13" borderId="0" xfId="0" applyFont="1" applyFill="1" applyAlignment="1">
      <alignment horizontal="left" vertical="center" indent="1"/>
    </xf>
    <xf numFmtId="1" fontId="12" fillId="2" borderId="0" xfId="0" applyNumberFormat="1" applyFont="1" applyFill="1" applyAlignment="1">
      <alignment vertical="center"/>
    </xf>
    <xf numFmtId="1" fontId="3" fillId="3" borderId="0" xfId="0" applyNumberFormat="1" applyFont="1" applyFill="1" applyAlignment="1">
      <alignment vertical="center"/>
    </xf>
    <xf numFmtId="0" fontId="3" fillId="5" borderId="0" xfId="0" applyFont="1" applyFill="1" applyAlignment="1">
      <alignment horizontal="left" vertical="center" wrapText="1" indent="1"/>
    </xf>
    <xf numFmtId="0" fontId="9" fillId="4" borderId="0" xfId="0" applyFont="1" applyFill="1" applyAlignment="1">
      <alignment horizontal="left" vertical="center" wrapText="1" indent="1"/>
    </xf>
    <xf numFmtId="2" fontId="7" fillId="3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3" fillId="5" borderId="0" xfId="0" applyFont="1" applyFill="1" applyAlignment="1">
      <alignment horizontal="left" vertical="center" wrapText="1" indent="2"/>
    </xf>
    <xf numFmtId="0" fontId="7" fillId="4" borderId="0" xfId="0" applyFont="1" applyFill="1" applyAlignment="1">
      <alignment horizontal="left" vertical="center" wrapText="1" indent="1"/>
    </xf>
    <xf numFmtId="0" fontId="7" fillId="9" borderId="0" xfId="0" applyFont="1" applyFill="1" applyAlignment="1">
      <alignment horizontal="left" vertical="center" indent="1"/>
    </xf>
    <xf numFmtId="164" fontId="5" fillId="8" borderId="0" xfId="1" applyNumberFormat="1" applyFont="1" applyFill="1" applyAlignment="1" applyProtection="1">
      <alignment horizontal="left" vertical="center" indent="1"/>
    </xf>
    <xf numFmtId="0" fontId="3" fillId="0" borderId="0" xfId="0" applyFont="1" applyAlignment="1">
      <alignment horizontal="center"/>
    </xf>
    <xf numFmtId="9" fontId="5" fillId="8" borderId="0" xfId="2" applyFont="1" applyFill="1" applyAlignment="1" applyProtection="1">
      <alignment horizontal="right" vertical="center"/>
    </xf>
    <xf numFmtId="43" fontId="0" fillId="0" borderId="0" xfId="0" applyNumberFormat="1"/>
    <xf numFmtId="0" fontId="0" fillId="11" borderId="0" xfId="0" applyFill="1"/>
    <xf numFmtId="164" fontId="3" fillId="15" borderId="0" xfId="1" applyNumberFormat="1" applyFont="1" applyFill="1" applyAlignment="1" applyProtection="1">
      <alignment horizontal="left" vertical="center" indent="1"/>
    </xf>
    <xf numFmtId="0" fontId="0" fillId="0" borderId="0" xfId="0" applyAlignment="1">
      <alignment horizontal="right"/>
    </xf>
    <xf numFmtId="0" fontId="2" fillId="0" borderId="0" xfId="0" applyFont="1"/>
    <xf numFmtId="165" fontId="7" fillId="4" borderId="0" xfId="3" applyNumberFormat="1" applyFont="1" applyFill="1" applyAlignment="1" applyProtection="1">
      <alignment horizontal="right" vertical="center" wrapText="1"/>
    </xf>
    <xf numFmtId="165" fontId="7" fillId="2" borderId="0" xfId="3" applyNumberFormat="1" applyFont="1" applyFill="1" applyAlignment="1" applyProtection="1">
      <alignment horizontal="right" vertical="center" wrapText="1"/>
    </xf>
    <xf numFmtId="165" fontId="7" fillId="3" borderId="0" xfId="3" applyNumberFormat="1" applyFont="1" applyFill="1" applyAlignment="1" applyProtection="1">
      <alignment horizontal="right" vertical="center" wrapText="1"/>
    </xf>
    <xf numFmtId="164" fontId="3" fillId="5" borderId="0" xfId="1" applyNumberFormat="1" applyFont="1" applyFill="1" applyAlignment="1" applyProtection="1">
      <alignment horizontal="left" vertical="center"/>
    </xf>
    <xf numFmtId="164" fontId="0" fillId="0" borderId="0" xfId="0" applyNumberFormat="1"/>
    <xf numFmtId="164" fontId="7" fillId="3" borderId="0" xfId="1" applyNumberFormat="1" applyFont="1" applyFill="1" applyAlignment="1" applyProtection="1">
      <alignment horizontal="right" vertical="center" wrapText="1"/>
    </xf>
    <xf numFmtId="164" fontId="5" fillId="5" borderId="0" xfId="1" applyNumberFormat="1" applyFont="1" applyFill="1" applyAlignment="1" applyProtection="1">
      <alignment horizontal="right" vertical="center"/>
    </xf>
    <xf numFmtId="164" fontId="3" fillId="5" borderId="0" xfId="1" applyNumberFormat="1" applyFont="1" applyFill="1" applyAlignment="1" applyProtection="1">
      <alignment horizontal="left" vertical="center" indent="1"/>
    </xf>
    <xf numFmtId="164" fontId="7" fillId="3" borderId="0" xfId="1" applyNumberFormat="1" applyFont="1" applyFill="1" applyAlignment="1" applyProtection="1">
      <alignment horizontal="right" vertical="center"/>
    </xf>
    <xf numFmtId="44" fontId="7" fillId="2" borderId="0" xfId="3" applyFont="1" applyFill="1" applyAlignment="1" applyProtection="1">
      <alignment horizontal="right" vertical="center" wrapText="1"/>
    </xf>
    <xf numFmtId="0" fontId="0" fillId="5" borderId="0" xfId="0" applyFill="1" applyAlignment="1">
      <alignment horizontal="left" vertical="center"/>
    </xf>
    <xf numFmtId="164" fontId="0" fillId="5" borderId="0" xfId="1" applyNumberFormat="1" applyFont="1" applyFill="1" applyAlignment="1" applyProtection="1">
      <alignment horizontal="left" vertical="center"/>
    </xf>
    <xf numFmtId="0" fontId="0" fillId="5" borderId="0" xfId="0" applyFill="1" applyAlignment="1">
      <alignment horizontal="left" vertical="center" wrapText="1" indent="2"/>
    </xf>
    <xf numFmtId="164" fontId="3" fillId="5" borderId="0" xfId="1" applyNumberFormat="1" applyFont="1" applyFill="1" applyAlignment="1" applyProtection="1">
      <alignment horizontal="right" vertical="center" wrapText="1"/>
    </xf>
    <xf numFmtId="0" fontId="0" fillId="5" borderId="0" xfId="0" applyFill="1" applyAlignment="1">
      <alignment horizontal="left" vertical="center" wrapText="1" indent="1"/>
    </xf>
    <xf numFmtId="164" fontId="5" fillId="2" borderId="0" xfId="1" applyNumberFormat="1" applyFont="1" applyFill="1" applyAlignment="1" applyProtection="1">
      <alignment horizontal="right" vertical="center" wrapText="1"/>
    </xf>
    <xf numFmtId="164" fontId="3" fillId="2" borderId="0" xfId="1" applyNumberFormat="1" applyFont="1" applyFill="1" applyAlignment="1" applyProtection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8" fillId="12" borderId="0" xfId="0" applyFont="1" applyFill="1" applyAlignment="1">
      <alignment vertical="center" wrapText="1"/>
    </xf>
    <xf numFmtId="0" fontId="7" fillId="12" borderId="0" xfId="0" applyFont="1" applyFill="1" applyAlignment="1">
      <alignment horizontal="right" vertical="center" wrapText="1"/>
    </xf>
    <xf numFmtId="0" fontId="7" fillId="12" borderId="0" xfId="0" applyFont="1" applyFill="1" applyAlignment="1">
      <alignment horizontal="left" vertical="center" wrapText="1" indent="1"/>
    </xf>
    <xf numFmtId="164" fontId="5" fillId="5" borderId="0" xfId="1" applyNumberFormat="1" applyFont="1" applyFill="1" applyAlignment="1" applyProtection="1">
      <alignment horizontal="left" vertical="center" indent="1"/>
    </xf>
    <xf numFmtId="0" fontId="4" fillId="10" borderId="0" xfId="0" applyFont="1" applyFill="1" applyAlignment="1">
      <alignment horizontal="left" vertical="center"/>
    </xf>
    <xf numFmtId="0" fontId="9" fillId="0" borderId="0" xfId="0" applyFont="1" applyAlignment="1" applyProtection="1">
      <alignment horizontal="right" vertical="center"/>
      <protection locked="0"/>
    </xf>
    <xf numFmtId="1" fontId="3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2" fontId="3" fillId="0" borderId="0" xfId="0" applyNumberFormat="1" applyFont="1" applyAlignment="1" applyProtection="1">
      <alignment horizontal="right" vertical="center"/>
      <protection locked="0"/>
    </xf>
    <xf numFmtId="166" fontId="3" fillId="0" borderId="0" xfId="0" applyNumberFormat="1" applyFont="1" applyAlignment="1" applyProtection="1">
      <alignment horizontal="right" vertical="center"/>
      <protection locked="0"/>
    </xf>
    <xf numFmtId="0" fontId="6" fillId="11" borderId="0" xfId="0" applyFont="1" applyFill="1" applyAlignment="1" applyProtection="1">
      <alignment horizontal="left" vertical="center" wrapText="1" indent="1"/>
      <protection locked="0"/>
    </xf>
    <xf numFmtId="164" fontId="3" fillId="0" borderId="0" xfId="1" applyNumberFormat="1" applyFont="1" applyFill="1" applyAlignment="1" applyProtection="1">
      <alignment horizontal="right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0" xfId="0" applyProtection="1"/>
    <xf numFmtId="0" fontId="0" fillId="0" borderId="0" xfId="0" applyAlignment="1" applyProtection="1">
      <alignment wrapText="1"/>
    </xf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7" tint="0.59999389629810485"/>
        </patternFill>
      </fill>
      <alignment horizontal="left" vertical="center" textRotation="0" wrapText="0" relativeIndent="1" justifyLastLine="0" shrinkToFit="0" readingOrder="0"/>
    </dxf>
    <dxf>
      <fill>
        <patternFill patternType="solid">
          <fgColor indexed="64"/>
          <bgColor theme="7" tint="0.3999755851924192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7" tint="0.3999755851924192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7" tint="0.59999389629810485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theme="7" tint="0.3999755851924192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theme="5" tint="0.59999389629810485"/>
        </patternFill>
      </fill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theme="5" tint="0.59999389629810485"/>
        </patternFill>
      </fill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left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theme="5" tint="0.59999389629810485"/>
        </patternFill>
      </fill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4" tint="0.79998168889431442"/>
        </patternFill>
      </fill>
      <alignment horizontal="left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4" tint="0.79998168889431442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left" vertical="center" textRotation="0" wrapText="1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left" vertical="center" textRotation="0" wrapText="1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scheme val="minor"/>
      </font>
      <fill>
        <patternFill patternType="solid">
          <fgColor indexed="64"/>
          <bgColor theme="9" tint="0.5999938962981048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9" tint="0.3999755851924192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wrapText="1" relative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theme="5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-* #,##0_-;\-* #,##0_-;_-* &quot;-&quot;??_-;_-@_-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theme="5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left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family val="1"/>
        <scheme val="none"/>
      </font>
      <fill>
        <patternFill patternType="solid">
          <fgColor indexed="64"/>
          <bgColor theme="5" tint="0.59999389629810485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center" textRotation="0" indent="0" justifyLastLine="0" shrinkToFit="0" readingOrder="0"/>
    </dxf>
    <dxf>
      <font>
        <strike val="0"/>
      </font>
    </dxf>
  </dxfs>
  <tableStyles count="1" defaultTableStyle="TableStyleMedium2" defaultPivotStyle="PivotStyleLight16">
    <tableStyle name="Table Style 1" pivot="0" count="1" xr9:uid="{6A501639-86EA-4032-8363-91A69F037F9B}">
      <tableStyleElement type="wholeTable" dxfId="3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35B312-E28E-492E-B060-FACB03880F62}" name="Table1" displayName="Table1" ref="F3:H26" headerRowCount="0" totalsRowShown="0" headerRowDxfId="38" dataDxfId="37">
  <tableColumns count="3">
    <tableColumn id="1" xr3:uid="{B2DFFE06-813C-4A8B-8292-620AB412258E}" name="Column1" headerRowDxfId="36" dataDxfId="35"/>
    <tableColumn id="2" xr3:uid="{EEB8A2E6-96BF-4657-89AD-4AE894197B05}" name="Column2" headerRowDxfId="34" dataDxfId="33" dataCellStyle="Comma"/>
    <tableColumn id="3" xr3:uid="{2F50E328-8F4D-4F46-84C4-66DD681C33C9}" name="Column3" headerRowDxfId="32" dataDxfId="31"/>
  </tableColumns>
  <tableStyleInfo name="Table Style 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C0FB67C-346C-4A35-8DD4-064F9E7DAFF2}" name="Table5" displayName="Table5" ref="A4:D38" headerRowCount="0" totalsRowShown="0">
  <tableColumns count="4">
    <tableColumn id="1" xr3:uid="{BB3BAB47-0771-4FA2-BC70-85B7892BC4B9}" name="Column1" headerRowDxfId="30" dataDxfId="29"/>
    <tableColumn id="2" xr3:uid="{D653C549-A0B4-4269-A99B-DEFCE59A0E87}" name="Column2" headerRowDxfId="28"/>
    <tableColumn id="3" xr3:uid="{32124096-BF4D-4FDE-BB67-77BB5770BD8E}" name="Column3" headerRowDxfId="27" dataDxfId="26"/>
    <tableColumn id="4" xr3:uid="{791F5D28-52DB-4C3B-B851-650F1A425C11}" name="Column4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D8E6C2E-2BDF-431F-8ADF-B676B5CFD5F1}" name="Table8" displayName="Table8" ref="A41:D45" headerRowCount="0" totalsRowShown="0" headerRowDxfId="25" dataDxfId="24">
  <tableColumns count="4">
    <tableColumn id="1" xr3:uid="{77C864A7-832A-452A-A5AF-A9F951E91A8E}" name="Column1" headerRowDxfId="23" dataDxfId="22"/>
    <tableColumn id="2" xr3:uid="{FE53E416-6A2D-4FED-B72C-5C605FD11063}" name="Column2" headerRowDxfId="21" dataDxfId="20" dataCellStyle="Comma"/>
    <tableColumn id="3" xr3:uid="{BA65CBA5-1360-4C7A-8FB6-EE593AB537C1}" name="Column3" headerRowDxfId="19" dataDxfId="18"/>
    <tableColumn id="4" xr3:uid="{88BC4A88-7B23-47E1-BC3E-F7FA61CB3753}" name="Column4" headerRowDxfId="17" dataDxfId="16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BEC1217-CA2C-4F25-A4ED-9DB5753E9767}" name="Table9" displayName="Table9" ref="F29:H40" headerRowCount="0" totalsRowShown="0" headerRowDxfId="15" dataDxfId="14">
  <tableColumns count="3">
    <tableColumn id="1" xr3:uid="{CF35E564-E679-4A00-9E4F-8E026E056ECB}" name="Column1" headerRowDxfId="13" dataDxfId="12"/>
    <tableColumn id="2" xr3:uid="{4C44A9EB-D33A-4E05-A564-AFD161B5431F}" name="Column2" headerRowDxfId="11" dataDxfId="10"/>
    <tableColumn id="3" xr3:uid="{E81FCE5C-F0E0-4D37-8B2E-B1B47BC6B11F}" name="Column3" headerRowDxfId="9" dataDxfId="8"/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870271A-3B5D-42C0-8E9E-871EDC44CE2D}" name="Table10" displayName="Table10" ref="F43:H50" headerRowCount="0" totalsRowShown="0" headerRowDxfId="7" dataDxfId="6">
  <tableColumns count="3">
    <tableColumn id="1" xr3:uid="{F84C57AA-F2A9-41E9-BA0D-18159691D3D8}" name="Column1" headerRowDxfId="5" dataDxfId="4"/>
    <tableColumn id="2" xr3:uid="{9E2B9BA0-E61D-402B-A7DB-6F89A6BB32F6}" name="Column2" headerRowDxfId="3" dataDxfId="2"/>
    <tableColumn id="3" xr3:uid="{56B5F815-5A09-4DF3-82EC-8E5EB516E1A0}" name="Column3" headerRowDxfId="1" dataDxfId="0" dataCellStyle="Comma"/>
  </tableColumns>
  <tableStyleInfo name="Table Style 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7B254-5EDE-4A7B-8F57-C03D3F79048A}">
  <dimension ref="A2:A15"/>
  <sheetViews>
    <sheetView workbookViewId="0">
      <selection activeCell="A21" sqref="A21"/>
    </sheetView>
  </sheetViews>
  <sheetFormatPr defaultRowHeight="14.5" x14ac:dyDescent="0.35"/>
  <cols>
    <col min="1" max="1" width="70.08984375" customWidth="1"/>
  </cols>
  <sheetData>
    <row r="2" spans="1:1" x14ac:dyDescent="0.35">
      <c r="A2" s="81" t="s">
        <v>13</v>
      </c>
    </row>
    <row r="3" spans="1:1" x14ac:dyDescent="0.35">
      <c r="A3" s="81" t="s">
        <v>59</v>
      </c>
    </row>
    <row r="4" spans="1:1" x14ac:dyDescent="0.35">
      <c r="A4" s="81" t="s">
        <v>60</v>
      </c>
    </row>
    <row r="5" spans="1:1" x14ac:dyDescent="0.35">
      <c r="A5" s="81"/>
    </row>
    <row r="6" spans="1:1" x14ac:dyDescent="0.35">
      <c r="A6" s="81" t="s">
        <v>56</v>
      </c>
    </row>
    <row r="7" spans="1:1" x14ac:dyDescent="0.35">
      <c r="A7" s="81" t="s">
        <v>61</v>
      </c>
    </row>
    <row r="8" spans="1:1" x14ac:dyDescent="0.35">
      <c r="A8" s="81" t="s">
        <v>62</v>
      </c>
    </row>
    <row r="9" spans="1:1" x14ac:dyDescent="0.35">
      <c r="A9" s="81"/>
    </row>
    <row r="10" spans="1:1" x14ac:dyDescent="0.35">
      <c r="A10" s="81" t="s">
        <v>57</v>
      </c>
    </row>
    <row r="11" spans="1:1" x14ac:dyDescent="0.35">
      <c r="A11" s="81" t="s">
        <v>14</v>
      </c>
    </row>
    <row r="12" spans="1:1" x14ac:dyDescent="0.35">
      <c r="A12" s="81"/>
    </row>
    <row r="13" spans="1:1" ht="45.65" customHeight="1" x14ac:dyDescent="0.35">
      <c r="A13" s="82" t="s">
        <v>15</v>
      </c>
    </row>
    <row r="14" spans="1:1" x14ac:dyDescent="0.35">
      <c r="A14" s="81"/>
    </row>
    <row r="15" spans="1:1" ht="57" customHeight="1" x14ac:dyDescent="0.35">
      <c r="A15" s="82" t="s">
        <v>58</v>
      </c>
    </row>
  </sheetData>
  <sheetProtection sheet="1" objects="1" scenarios="1" selectLockedCells="1" selectUn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6"/>
  <sheetViews>
    <sheetView tabSelected="1" zoomScale="70" zoomScaleNormal="70" workbookViewId="0">
      <pane ySplit="3" topLeftCell="A4" activePane="bottomLeft" state="frozen"/>
      <selection pane="bottomLeft" activeCell="B13" sqref="B13"/>
    </sheetView>
  </sheetViews>
  <sheetFormatPr defaultRowHeight="14.5" x14ac:dyDescent="0.35"/>
  <cols>
    <col min="1" max="1" width="72" customWidth="1"/>
    <col min="2" max="2" width="16" bestFit="1" customWidth="1"/>
    <col min="3" max="3" width="40" customWidth="1"/>
    <col min="4" max="4" width="13.54296875" customWidth="1"/>
    <col min="5" max="5" width="3.26953125" customWidth="1"/>
    <col min="6" max="6" width="85.81640625" bestFit="1" customWidth="1"/>
    <col min="7" max="7" width="20.453125" customWidth="1"/>
    <col min="8" max="8" width="58.7265625" customWidth="1"/>
    <col min="9" max="9" width="15.453125" customWidth="1"/>
  </cols>
  <sheetData>
    <row r="1" spans="1:8" ht="27" customHeight="1" thickBot="1" x14ac:dyDescent="0.4">
      <c r="A1" s="72" t="s">
        <v>22</v>
      </c>
      <c r="B1" s="80" t="s">
        <v>9</v>
      </c>
    </row>
    <row r="2" spans="1:8" ht="23.5" x14ac:dyDescent="0.55000000000000004">
      <c r="A2" s="66"/>
      <c r="B2" s="67"/>
    </row>
    <row r="3" spans="1:8" ht="18.5" x14ac:dyDescent="0.35">
      <c r="A3" s="68" t="s">
        <v>16</v>
      </c>
      <c r="B3" s="69" t="s">
        <v>17</v>
      </c>
      <c r="C3" s="70" t="s">
        <v>0</v>
      </c>
      <c r="F3" s="1" t="s">
        <v>34</v>
      </c>
      <c r="G3" s="2" t="s">
        <v>17</v>
      </c>
      <c r="H3" s="31" t="s">
        <v>0</v>
      </c>
    </row>
    <row r="4" spans="1:8" ht="6.75" customHeight="1" x14ac:dyDescent="0.35">
      <c r="A4" s="3"/>
      <c r="B4" s="64"/>
      <c r="C4" s="4"/>
      <c r="F4" s="5"/>
      <c r="G4" s="55"/>
      <c r="H4" s="71"/>
    </row>
    <row r="5" spans="1:8" ht="18.5" x14ac:dyDescent="0.35">
      <c r="A5" s="32" t="s">
        <v>63</v>
      </c>
      <c r="B5" s="64"/>
      <c r="C5" s="65"/>
      <c r="F5" s="11" t="s">
        <v>76</v>
      </c>
      <c r="G5" s="79"/>
      <c r="H5" s="78"/>
    </row>
    <row r="6" spans="1:8" ht="15.5" x14ac:dyDescent="0.35">
      <c r="A6" s="33" t="s">
        <v>76</v>
      </c>
      <c r="B6" s="79"/>
      <c r="C6" s="78"/>
      <c r="F6" s="11" t="s">
        <v>64</v>
      </c>
      <c r="G6" s="79"/>
      <c r="H6" s="63"/>
    </row>
    <row r="7" spans="1:8" ht="17" x14ac:dyDescent="0.35">
      <c r="A7" s="33" t="s">
        <v>64</v>
      </c>
      <c r="B7" s="79"/>
      <c r="C7" s="7"/>
      <c r="F7" s="11" t="s">
        <v>41</v>
      </c>
      <c r="G7" s="79"/>
      <c r="H7" s="34" t="s">
        <v>89</v>
      </c>
    </row>
    <row r="8" spans="1:8" ht="17" x14ac:dyDescent="0.35">
      <c r="A8" s="16" t="s">
        <v>75</v>
      </c>
      <c r="B8" s="50">
        <f>B7*B6</f>
        <v>0</v>
      </c>
      <c r="C8" s="4" t="s">
        <v>91</v>
      </c>
      <c r="F8" s="11" t="s">
        <v>42</v>
      </c>
      <c r="G8" s="79"/>
      <c r="H8" s="34"/>
    </row>
    <row r="9" spans="1:8" ht="17" x14ac:dyDescent="0.35">
      <c r="A9" s="6"/>
      <c r="B9" s="54"/>
      <c r="C9" s="7"/>
      <c r="F9" s="14" t="s">
        <v>75</v>
      </c>
      <c r="G9" s="49">
        <f>(G5*G6)+(G7*G8)</f>
        <v>0</v>
      </c>
      <c r="H9" s="35" t="s">
        <v>91</v>
      </c>
    </row>
    <row r="10" spans="1:8" ht="18.5" x14ac:dyDescent="0.35">
      <c r="A10" s="8" t="s">
        <v>65</v>
      </c>
      <c r="B10" s="8"/>
      <c r="C10" s="8"/>
      <c r="F10" s="59"/>
      <c r="G10" s="60"/>
      <c r="H10" s="61"/>
    </row>
    <row r="11" spans="1:8" ht="15.5" x14ac:dyDescent="0.35">
      <c r="A11" s="12" t="s">
        <v>18</v>
      </c>
      <c r="B11" s="74"/>
      <c r="C11" s="13" t="s">
        <v>19</v>
      </c>
      <c r="F11" s="11" t="s">
        <v>35</v>
      </c>
      <c r="G11" s="76"/>
      <c r="H11" s="34" t="s">
        <v>5</v>
      </c>
    </row>
    <row r="12" spans="1:8" ht="15.5" x14ac:dyDescent="0.35">
      <c r="A12" s="33" t="s">
        <v>20</v>
      </c>
      <c r="B12" s="76"/>
      <c r="C12" s="13" t="s">
        <v>11</v>
      </c>
      <c r="F12" s="11" t="s">
        <v>73</v>
      </c>
      <c r="G12" s="76"/>
      <c r="H12" s="34" t="s">
        <v>5</v>
      </c>
    </row>
    <row r="13" spans="1:8" ht="15.5" x14ac:dyDescent="0.35">
      <c r="A13" s="33" t="s">
        <v>21</v>
      </c>
      <c r="B13" s="76"/>
      <c r="C13" s="13" t="s">
        <v>25</v>
      </c>
      <c r="F13" s="11" t="s">
        <v>27</v>
      </c>
      <c r="G13" s="62">
        <f>G6</f>
        <v>0</v>
      </c>
      <c r="H13" s="34" t="s">
        <v>98</v>
      </c>
    </row>
    <row r="14" spans="1:8" ht="17" x14ac:dyDescent="0.35">
      <c r="A14" s="16"/>
      <c r="B14" s="58">
        <f>B11/100*B13*B12</f>
        <v>0</v>
      </c>
      <c r="C14" s="4" t="s">
        <v>88</v>
      </c>
      <c r="F14" s="17" t="s">
        <v>68</v>
      </c>
      <c r="G14" s="79"/>
      <c r="H14" s="34" t="s">
        <v>37</v>
      </c>
    </row>
    <row r="15" spans="1:8" ht="17" x14ac:dyDescent="0.35">
      <c r="A15" s="33" t="s">
        <v>97</v>
      </c>
      <c r="B15" s="36"/>
      <c r="C15" s="7"/>
      <c r="F15" s="17" t="s">
        <v>52</v>
      </c>
      <c r="G15" s="76"/>
      <c r="H15" s="34" t="s">
        <v>3</v>
      </c>
    </row>
    <row r="16" spans="1:8" ht="17" x14ac:dyDescent="0.35">
      <c r="A16" s="33" t="s">
        <v>24</v>
      </c>
      <c r="B16" s="76"/>
      <c r="C16" s="13" t="s">
        <v>1</v>
      </c>
      <c r="F16" s="14" t="s">
        <v>99</v>
      </c>
      <c r="G16" s="49">
        <f>(G11+G12)*G13+(G14/60*G15)</f>
        <v>0</v>
      </c>
      <c r="H16" s="35" t="s">
        <v>1</v>
      </c>
    </row>
    <row r="17" spans="1:8" ht="15.5" x14ac:dyDescent="0.35">
      <c r="A17" s="33" t="s">
        <v>85</v>
      </c>
      <c r="B17" s="76"/>
      <c r="C17" s="13" t="s">
        <v>1</v>
      </c>
      <c r="F17" s="59"/>
      <c r="G17" s="60"/>
      <c r="H17" s="61"/>
    </row>
    <row r="18" spans="1:8" ht="15.5" x14ac:dyDescent="0.35">
      <c r="A18" s="33" t="s">
        <v>84</v>
      </c>
      <c r="B18" s="76"/>
      <c r="C18" s="13" t="s">
        <v>1</v>
      </c>
      <c r="F18" s="11" t="s">
        <v>26</v>
      </c>
      <c r="G18" s="79"/>
      <c r="H18" s="34" t="str">
        <f>IF($B$1="Year", "Per Year","Per Project")</f>
        <v>Per Year</v>
      </c>
    </row>
    <row r="19" spans="1:8" ht="17" x14ac:dyDescent="0.35">
      <c r="A19" s="16"/>
      <c r="B19" s="58">
        <f>SUM(B14:B18)</f>
        <v>0</v>
      </c>
      <c r="C19" s="4" t="s">
        <v>90</v>
      </c>
      <c r="F19" s="14" t="s">
        <v>71</v>
      </c>
      <c r="G19" s="49">
        <f>G16*G18</f>
        <v>0</v>
      </c>
      <c r="H19" s="35" t="str">
        <f>IF($B$1="Year", "Per Year","Per Project")</f>
        <v>Per Year</v>
      </c>
    </row>
    <row r="20" spans="1:8" ht="17" x14ac:dyDescent="0.35">
      <c r="A20" s="6"/>
      <c r="B20" s="36"/>
      <c r="C20" s="7"/>
      <c r="F20" s="59"/>
      <c r="G20" s="60"/>
      <c r="H20" s="61"/>
    </row>
    <row r="21" spans="1:8" ht="15.5" x14ac:dyDescent="0.35">
      <c r="A21" s="33" t="s">
        <v>86</v>
      </c>
      <c r="B21" s="74"/>
      <c r="C21" s="13"/>
      <c r="F21" s="11" t="s">
        <v>38</v>
      </c>
      <c r="G21" s="79"/>
      <c r="H21" s="34" t="str">
        <f>IF($B$1="Year", "Per Year","Per Project")</f>
        <v>Per Year</v>
      </c>
    </row>
    <row r="22" spans="1:8" ht="15.75" customHeight="1" x14ac:dyDescent="0.35">
      <c r="A22" s="33" t="s">
        <v>87</v>
      </c>
      <c r="B22" s="74"/>
      <c r="C22" s="78" t="s">
        <v>81</v>
      </c>
      <c r="F22" s="11" t="s">
        <v>52</v>
      </c>
      <c r="G22" s="76"/>
      <c r="H22" s="34" t="s">
        <v>39</v>
      </c>
    </row>
    <row r="23" spans="1:8" ht="17" x14ac:dyDescent="0.35">
      <c r="A23" s="16" t="s">
        <v>96</v>
      </c>
      <c r="B23" s="50">
        <f>(B19+B14)*B21*B22</f>
        <v>0</v>
      </c>
      <c r="C23" s="4" t="str">
        <f>IF($B$1="Year", "Per Year","Per Project")</f>
        <v>Per Year</v>
      </c>
      <c r="F23" s="11" t="s">
        <v>70</v>
      </c>
      <c r="G23" s="77"/>
      <c r="H23" s="34" t="s">
        <v>23</v>
      </c>
    </row>
    <row r="24" spans="1:8" ht="17" x14ac:dyDescent="0.35">
      <c r="A24" s="6"/>
      <c r="B24" s="57"/>
      <c r="C24" s="7"/>
      <c r="F24" s="11" t="s">
        <v>40</v>
      </c>
      <c r="G24" s="79"/>
      <c r="H24" s="56"/>
    </row>
    <row r="25" spans="1:8" ht="18.5" x14ac:dyDescent="0.35">
      <c r="A25" s="8" t="s">
        <v>66</v>
      </c>
      <c r="B25" s="37"/>
      <c r="C25" s="10"/>
      <c r="F25" s="14" t="s">
        <v>72</v>
      </c>
      <c r="G25" s="49">
        <f>(G21*G22*G23)+(G24/100*B13*B12)</f>
        <v>0</v>
      </c>
      <c r="H25" s="35" t="str">
        <f>IF($B$1="Year", "Per Year","Per Project")</f>
        <v>Per Year</v>
      </c>
    </row>
    <row r="26" spans="1:8" ht="15.65" customHeight="1" x14ac:dyDescent="0.35">
      <c r="A26" s="12" t="s">
        <v>70</v>
      </c>
      <c r="B26" s="75"/>
      <c r="C26" s="13" t="s">
        <v>23</v>
      </c>
      <c r="F26" s="14" t="s">
        <v>74</v>
      </c>
      <c r="G26" s="49">
        <f>G25+G19</f>
        <v>0</v>
      </c>
      <c r="H26" s="35" t="str">
        <f>IF($B$1="Year", "Per Year","Per Project")</f>
        <v>Per Year</v>
      </c>
    </row>
    <row r="27" spans="1:8" ht="15.5" x14ac:dyDescent="0.35">
      <c r="A27" s="33" t="s">
        <v>52</v>
      </c>
      <c r="B27" s="76"/>
      <c r="C27" s="13" t="s">
        <v>3</v>
      </c>
    </row>
    <row r="28" spans="1:8" ht="15.5" x14ac:dyDescent="0.35">
      <c r="A28" s="33" t="s">
        <v>69</v>
      </c>
      <c r="B28" s="77"/>
      <c r="C28" s="13" t="s">
        <v>92</v>
      </c>
    </row>
    <row r="29" spans="1:8" ht="18.649999999999999" customHeight="1" x14ac:dyDescent="0.35">
      <c r="A29" s="16" t="s">
        <v>93</v>
      </c>
      <c r="B29" s="50">
        <f>B21*B26*B27*B28</f>
        <v>0</v>
      </c>
      <c r="C29" s="4" t="str">
        <f>IF($B$1="Year", "Per Year","Per Project")</f>
        <v>Per Year</v>
      </c>
      <c r="D29" s="53"/>
      <c r="F29" s="1" t="s">
        <v>45</v>
      </c>
      <c r="G29" s="2" t="s">
        <v>17</v>
      </c>
      <c r="H29" s="31" t="s">
        <v>0</v>
      </c>
    </row>
    <row r="30" spans="1:8" ht="17" x14ac:dyDescent="0.35">
      <c r="A30" s="6"/>
      <c r="B30" s="54"/>
      <c r="C30" s="7"/>
      <c r="F30" s="5"/>
      <c r="G30" s="55"/>
      <c r="H30" s="34"/>
    </row>
    <row r="31" spans="1:8" ht="18.5" x14ac:dyDescent="0.35">
      <c r="A31" s="8" t="s">
        <v>67</v>
      </c>
      <c r="B31" s="9"/>
      <c r="C31" s="10"/>
      <c r="F31" s="11" t="s">
        <v>76</v>
      </c>
      <c r="G31" s="79"/>
      <c r="H31" s="78"/>
    </row>
    <row r="32" spans="1:8" ht="15.5" x14ac:dyDescent="0.35">
      <c r="A32" s="12" t="s">
        <v>28</v>
      </c>
      <c r="B32" s="74"/>
      <c r="C32" s="13"/>
      <c r="F32" s="11" t="s">
        <v>64</v>
      </c>
      <c r="G32" s="79"/>
      <c r="H32" s="38"/>
    </row>
    <row r="33" spans="1:8" ht="17" x14ac:dyDescent="0.35">
      <c r="A33" s="12" t="s">
        <v>31</v>
      </c>
      <c r="B33" s="75"/>
      <c r="C33" s="13"/>
      <c r="F33" s="14" t="s">
        <v>43</v>
      </c>
      <c r="G33" s="49">
        <f>G31*G32</f>
        <v>0</v>
      </c>
      <c r="H33" s="39"/>
    </row>
    <row r="34" spans="1:8" ht="15.5" x14ac:dyDescent="0.35">
      <c r="A34" s="12" t="s">
        <v>32</v>
      </c>
      <c r="B34" s="75"/>
      <c r="C34" s="13" t="s">
        <v>29</v>
      </c>
      <c r="F34" s="11"/>
      <c r="G34" s="52"/>
      <c r="H34" s="34"/>
    </row>
    <row r="35" spans="1:8" ht="17" x14ac:dyDescent="0.35">
      <c r="A35" s="3" t="s">
        <v>94</v>
      </c>
      <c r="B35" s="15">
        <f>B33*B34/60</f>
        <v>0</v>
      </c>
      <c r="C35" s="4" t="s">
        <v>30</v>
      </c>
      <c r="F35" s="11" t="s">
        <v>46</v>
      </c>
      <c r="G35" s="79"/>
      <c r="H35" s="34" t="s">
        <v>47</v>
      </c>
    </row>
    <row r="36" spans="1:8" ht="17" x14ac:dyDescent="0.35">
      <c r="A36" s="16" t="s">
        <v>95</v>
      </c>
      <c r="B36" s="50">
        <f>B35*B27*B32</f>
        <v>0</v>
      </c>
      <c r="C36" s="4" t="str">
        <f>IF($B$1="Year", "Per Year","Per Project")</f>
        <v>Per Year</v>
      </c>
      <c r="F36" s="11" t="s">
        <v>49</v>
      </c>
      <c r="G36" s="76"/>
      <c r="H36" s="34" t="s">
        <v>48</v>
      </c>
    </row>
    <row r="37" spans="1:8" ht="17" x14ac:dyDescent="0.35">
      <c r="A37" s="6"/>
      <c r="B37" s="51"/>
      <c r="C37" s="7"/>
      <c r="F37" s="17" t="s">
        <v>50</v>
      </c>
      <c r="G37" s="79"/>
      <c r="H37" s="34" t="str">
        <f>IF($B$1="Year", "Per Year","Per Project")</f>
        <v>Per Year</v>
      </c>
    </row>
    <row r="38" spans="1:8" ht="17" x14ac:dyDescent="0.35">
      <c r="A38" s="3" t="s">
        <v>33</v>
      </c>
      <c r="B38" s="50">
        <f>B36+B29+B23</f>
        <v>0</v>
      </c>
      <c r="C38" s="4" t="str">
        <f>IF($B$1="Year", "Per Year","Per Project")</f>
        <v>Per Year</v>
      </c>
      <c r="F38" s="17" t="s">
        <v>36</v>
      </c>
      <c r="G38" s="79"/>
      <c r="H38" s="34" t="s">
        <v>51</v>
      </c>
    </row>
    <row r="39" spans="1:8" ht="15.5" x14ac:dyDescent="0.35">
      <c r="D39" s="48"/>
      <c r="F39" s="17" t="s">
        <v>52</v>
      </c>
      <c r="G39" s="76"/>
      <c r="H39" s="34" t="s">
        <v>3</v>
      </c>
    </row>
    <row r="40" spans="1:8" ht="17.149999999999999" customHeight="1" x14ac:dyDescent="0.35">
      <c r="E40" s="48"/>
      <c r="F40" s="14" t="s">
        <v>53</v>
      </c>
      <c r="G40" s="49">
        <f>(G35*G36*G37)+(G38/60*G39*G37)</f>
        <v>0</v>
      </c>
      <c r="H40" s="35"/>
    </row>
    <row r="41" spans="1:8" ht="18.5" x14ac:dyDescent="0.35">
      <c r="A41" s="18"/>
      <c r="B41" s="19" t="s">
        <v>4</v>
      </c>
      <c r="C41" s="19" t="s">
        <v>6</v>
      </c>
      <c r="D41" s="19" t="s">
        <v>7</v>
      </c>
      <c r="E41" s="48"/>
      <c r="F41" s="47" t="s">
        <v>12</v>
      </c>
    </row>
    <row r="42" spans="1:8" ht="17" x14ac:dyDescent="0.35">
      <c r="A42" s="20" t="s">
        <v>44</v>
      </c>
      <c r="B42" s="73"/>
      <c r="C42" s="21"/>
      <c r="D42" s="21"/>
      <c r="F42" s="47" t="s">
        <v>12</v>
      </c>
      <c r="G42" s="44"/>
      <c r="H42" s="44"/>
    </row>
    <row r="43" spans="1:8" ht="18.5" x14ac:dyDescent="0.35">
      <c r="A43" s="22" t="s">
        <v>78</v>
      </c>
      <c r="B43" s="23">
        <f>(B42*B38)+B8</f>
        <v>0</v>
      </c>
      <c r="C43" s="21"/>
      <c r="D43" s="21"/>
      <c r="F43" s="24" t="s">
        <v>54</v>
      </c>
      <c r="G43" s="25" t="s">
        <v>17</v>
      </c>
      <c r="H43" s="40" t="s">
        <v>0</v>
      </c>
    </row>
    <row r="44" spans="1:8" ht="17" x14ac:dyDescent="0.35">
      <c r="A44" s="22" t="s">
        <v>77</v>
      </c>
      <c r="B44" s="23">
        <f>B42*(G40+B29+B23)+G33</f>
        <v>0</v>
      </c>
      <c r="C44" s="23">
        <f>B43-B44</f>
        <v>0</v>
      </c>
      <c r="D44" s="26" t="e">
        <f>C44/B43*100</f>
        <v>#DIV/0!</v>
      </c>
      <c r="F44" s="27"/>
      <c r="G44" s="27"/>
      <c r="H44" s="46"/>
    </row>
    <row r="45" spans="1:8" ht="17" x14ac:dyDescent="0.35">
      <c r="A45" s="22" t="s">
        <v>79</v>
      </c>
      <c r="B45" s="23">
        <f>(B42*G26)+G9</f>
        <v>0</v>
      </c>
      <c r="C45" s="23">
        <f>B43-B45</f>
        <v>0</v>
      </c>
      <c r="D45" s="26" t="e">
        <f>C45/B43*100</f>
        <v>#DIV/0!</v>
      </c>
      <c r="F45" s="28" t="s">
        <v>55</v>
      </c>
      <c r="G45" s="74"/>
      <c r="H45" s="46" t="s">
        <v>101</v>
      </c>
    </row>
    <row r="46" spans="1:8" ht="15.5" x14ac:dyDescent="0.35">
      <c r="F46" s="29" t="s">
        <v>100</v>
      </c>
      <c r="G46" s="30">
        <f>B11*B21*B22*G45/1000/365*B21</f>
        <v>0</v>
      </c>
      <c r="H46" s="41" t="s">
        <v>8</v>
      </c>
    </row>
    <row r="47" spans="1:8" ht="15.5" x14ac:dyDescent="0.35">
      <c r="C47" s="42"/>
      <c r="D47" s="42"/>
      <c r="F47" s="29" t="s">
        <v>80</v>
      </c>
      <c r="G47" s="30">
        <f>G24*G21*G45/1000</f>
        <v>0</v>
      </c>
      <c r="H47" s="41" t="s">
        <v>8</v>
      </c>
    </row>
    <row r="48" spans="1:8" ht="15.5" x14ac:dyDescent="0.35">
      <c r="C48" s="42"/>
      <c r="D48" s="42"/>
      <c r="F48" s="29" t="s">
        <v>2</v>
      </c>
      <c r="G48" s="30">
        <f>G46-G47</f>
        <v>0</v>
      </c>
      <c r="H48" s="41" t="s">
        <v>8</v>
      </c>
    </row>
    <row r="49" spans="1:17" ht="15.5" x14ac:dyDescent="0.35">
      <c r="F49" s="29" t="s">
        <v>2</v>
      </c>
      <c r="G49" s="43" t="e">
        <f>1-G47/G46</f>
        <v>#DIV/0!</v>
      </c>
      <c r="H49" s="41"/>
    </row>
    <row r="50" spans="1:17" ht="15.5" x14ac:dyDescent="0.35">
      <c r="F50" s="29" t="s">
        <v>82</v>
      </c>
      <c r="G50" s="30">
        <f>G48*B42</f>
        <v>0</v>
      </c>
      <c r="H50" s="41" t="s">
        <v>83</v>
      </c>
    </row>
    <row r="52" spans="1:17" x14ac:dyDescent="0.35">
      <c r="G52" s="44"/>
    </row>
    <row r="53" spans="1:17" ht="15.5" x14ac:dyDescent="0.35">
      <c r="E53" s="42"/>
    </row>
    <row r="54" spans="1:17" ht="15.5" x14ac:dyDescent="0.35">
      <c r="E54" s="42"/>
    </row>
    <row r="62" spans="1:17" s="45" customFormat="1" x14ac:dyDescent="0.3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  <row r="66" customFormat="1" ht="17.25" customHeight="1" x14ac:dyDescent="0.35"/>
  </sheetData>
  <sheetProtection sheet="1" objects="1" scenarios="1" selectLockedCells="1"/>
  <pageMargins left="0.25" right="0.25" top="0.75" bottom="0.75" header="0.3" footer="0.3"/>
  <pageSetup paperSize="9" orientation="landscape" horizontalDpi="300" verticalDpi="300" r:id="rId1"/>
  <tableParts count="5">
    <tablePart r:id="rId2"/>
    <tablePart r:id="rId3"/>
    <tablePart r:id="rId4"/>
    <tablePart r:id="rId5"/>
    <tablePart r:id="rId6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'dropdown list- to hide'!$A$1:$A$2</xm:f>
          </x14:formula1>
          <xm:sqref>B1:B2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E5" sqref="E5"/>
    </sheetView>
  </sheetViews>
  <sheetFormatPr defaultRowHeight="14.5" x14ac:dyDescent="0.35"/>
  <sheetData>
    <row r="1" spans="1:1" x14ac:dyDescent="0.35">
      <c r="A1" t="s">
        <v>9</v>
      </c>
    </row>
    <row r="2" spans="1:1" x14ac:dyDescent="0.35">
      <c r="A2" t="s">
        <v>10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Savings calculator</vt:lpstr>
      <vt:lpstr>dropdown list- to hide</vt:lpstr>
    </vt:vector>
  </TitlesOfParts>
  <Company>DEWNR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Smith</dc:creator>
  <cp:lastModifiedBy>James Smith</cp:lastModifiedBy>
  <cp:lastPrinted>2023-11-20T03:53:08Z</cp:lastPrinted>
  <dcterms:created xsi:type="dcterms:W3CDTF">2022-05-09T01:51:29Z</dcterms:created>
  <dcterms:modified xsi:type="dcterms:W3CDTF">2023-11-20T04:57:34Z</dcterms:modified>
</cp:coreProperties>
</file>