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"/>
    </mc:Choice>
  </mc:AlternateContent>
  <bookViews>
    <workbookView xWindow="240" yWindow="45" windowWidth="6225" windowHeight="432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R21" i="1" l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3" i="1"/>
  <c r="S20" i="1"/>
  <c r="R3" i="1"/>
  <c r="R4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20" i="1"/>
  <c r="C39" i="1" l="1"/>
  <c r="P39" i="1"/>
  <c r="P40" i="1"/>
  <c r="P41" i="1"/>
  <c r="P42" i="1"/>
  <c r="P43" i="1"/>
  <c r="P44" i="1"/>
  <c r="P45" i="1"/>
  <c r="P46" i="1"/>
  <c r="P47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3" i="1"/>
  <c r="F4" i="1" l="1"/>
  <c r="F3" i="1"/>
  <c r="F5" i="1"/>
  <c r="F6" i="1"/>
  <c r="F7" i="1"/>
  <c r="F8" i="1"/>
  <c r="F9" i="1"/>
  <c r="F10" i="1"/>
  <c r="F11" i="1"/>
  <c r="C14" i="1" l="1"/>
  <c r="C15" i="1"/>
  <c r="C16" i="1"/>
  <c r="C17" i="1"/>
  <c r="C13" i="1" l="1"/>
  <c r="I47" i="1" l="1"/>
  <c r="G47" i="1"/>
  <c r="H47" i="1" s="1"/>
  <c r="F47" i="1"/>
  <c r="Q47" i="1" s="1"/>
  <c r="C47" i="1"/>
  <c r="I46" i="1"/>
  <c r="G46" i="1"/>
  <c r="H46" i="1" s="1"/>
  <c r="F46" i="1"/>
  <c r="C46" i="1"/>
  <c r="I45" i="1"/>
  <c r="G45" i="1"/>
  <c r="H45" i="1" s="1"/>
  <c r="F45" i="1"/>
  <c r="K45" i="1" s="1"/>
  <c r="L45" i="1" s="1"/>
  <c r="C45" i="1"/>
  <c r="I44" i="1"/>
  <c r="G44" i="1"/>
  <c r="F44" i="1"/>
  <c r="C44" i="1"/>
  <c r="I43" i="1"/>
  <c r="G43" i="1"/>
  <c r="H43" i="1" s="1"/>
  <c r="F43" i="1"/>
  <c r="Q43" i="1" s="1"/>
  <c r="C43" i="1"/>
  <c r="I42" i="1"/>
  <c r="G42" i="1"/>
  <c r="H42" i="1" s="1"/>
  <c r="F42" i="1"/>
  <c r="K42" i="1" s="1"/>
  <c r="L42" i="1" s="1"/>
  <c r="C42" i="1"/>
  <c r="I41" i="1"/>
  <c r="G41" i="1"/>
  <c r="H41" i="1" s="1"/>
  <c r="F41" i="1"/>
  <c r="C41" i="1"/>
  <c r="I40" i="1"/>
  <c r="G40" i="1"/>
  <c r="H40" i="1" s="1"/>
  <c r="F40" i="1"/>
  <c r="K40" i="1" s="1"/>
  <c r="L40" i="1" s="1"/>
  <c r="C40" i="1"/>
  <c r="I39" i="1"/>
  <c r="G39" i="1"/>
  <c r="H39" i="1" s="1"/>
  <c r="F39" i="1"/>
  <c r="K39" i="1" s="1"/>
  <c r="L39" i="1" s="1"/>
  <c r="I38" i="1"/>
  <c r="G38" i="1"/>
  <c r="H38" i="1" s="1"/>
  <c r="F38" i="1"/>
  <c r="C38" i="1"/>
  <c r="I37" i="1"/>
  <c r="G37" i="1"/>
  <c r="H37" i="1" s="1"/>
  <c r="F37" i="1"/>
  <c r="C37" i="1"/>
  <c r="I36" i="1"/>
  <c r="G36" i="1"/>
  <c r="H36" i="1" s="1"/>
  <c r="F36" i="1"/>
  <c r="K36" i="1" s="1"/>
  <c r="L36" i="1" s="1"/>
  <c r="C36" i="1"/>
  <c r="I35" i="1"/>
  <c r="G35" i="1"/>
  <c r="H35" i="1" s="1"/>
  <c r="F35" i="1"/>
  <c r="C35" i="1"/>
  <c r="I34" i="1"/>
  <c r="G34" i="1"/>
  <c r="H34" i="1" s="1"/>
  <c r="F34" i="1"/>
  <c r="C34" i="1"/>
  <c r="I33" i="1"/>
  <c r="G33" i="1"/>
  <c r="F33" i="1"/>
  <c r="C33" i="1"/>
  <c r="I32" i="1"/>
  <c r="G32" i="1"/>
  <c r="H32" i="1" s="1"/>
  <c r="F32" i="1"/>
  <c r="C32" i="1"/>
  <c r="I31" i="1"/>
  <c r="G31" i="1"/>
  <c r="H31" i="1" s="1"/>
  <c r="F31" i="1"/>
  <c r="C31" i="1"/>
  <c r="I30" i="1"/>
  <c r="G30" i="1"/>
  <c r="H30" i="1" s="1"/>
  <c r="F30" i="1"/>
  <c r="C30" i="1"/>
  <c r="I29" i="1"/>
  <c r="G29" i="1"/>
  <c r="H29" i="1" s="1"/>
  <c r="F29" i="1"/>
  <c r="K29" i="1" s="1"/>
  <c r="L29" i="1" s="1"/>
  <c r="C29" i="1"/>
  <c r="I28" i="1"/>
  <c r="G28" i="1"/>
  <c r="H28" i="1" s="1"/>
  <c r="F28" i="1"/>
  <c r="C28" i="1"/>
  <c r="I27" i="1"/>
  <c r="G27" i="1"/>
  <c r="H27" i="1" s="1"/>
  <c r="F27" i="1"/>
  <c r="C27" i="1"/>
  <c r="I26" i="1"/>
  <c r="G26" i="1"/>
  <c r="H26" i="1" s="1"/>
  <c r="F26" i="1"/>
  <c r="C26" i="1"/>
  <c r="I25" i="1"/>
  <c r="G25" i="1"/>
  <c r="H25" i="1" s="1"/>
  <c r="F25" i="1"/>
  <c r="C25" i="1"/>
  <c r="I24" i="1"/>
  <c r="G24" i="1"/>
  <c r="H24" i="1" s="1"/>
  <c r="F24" i="1"/>
  <c r="K24" i="1" s="1"/>
  <c r="L24" i="1" s="1"/>
  <c r="C24" i="1"/>
  <c r="Q40" i="1" l="1"/>
  <c r="K43" i="1"/>
  <c r="L43" i="1" s="1"/>
  <c r="P37" i="1"/>
  <c r="J26" i="1"/>
  <c r="M26" i="1" s="1"/>
  <c r="N30" i="1"/>
  <c r="N32" i="1"/>
  <c r="Q30" i="1"/>
  <c r="K41" i="1"/>
  <c r="L41" i="1" s="1"/>
  <c r="K30" i="1"/>
  <c r="L30" i="1" s="1"/>
  <c r="N33" i="1"/>
  <c r="J43" i="1"/>
  <c r="M43" i="1" s="1"/>
  <c r="Q24" i="1"/>
  <c r="N44" i="1"/>
  <c r="J33" i="1"/>
  <c r="M33" i="1" s="1"/>
  <c r="J44" i="1"/>
  <c r="M44" i="1" s="1"/>
  <c r="J32" i="1"/>
  <c r="M32" i="1" s="1"/>
  <c r="Q44" i="1"/>
  <c r="K26" i="1"/>
  <c r="L26" i="1" s="1"/>
  <c r="K33" i="1"/>
  <c r="L33" i="1" s="1"/>
  <c r="Q26" i="1"/>
  <c r="Q33" i="1"/>
  <c r="Q32" i="1"/>
  <c r="K44" i="1"/>
  <c r="L44" i="1" s="1"/>
  <c r="J25" i="1"/>
  <c r="M25" i="1" s="1"/>
  <c r="J27" i="1"/>
  <c r="M27" i="1" s="1"/>
  <c r="K28" i="1"/>
  <c r="L28" i="1" s="1"/>
  <c r="J31" i="1"/>
  <c r="M31" i="1" s="1"/>
  <c r="N34" i="1"/>
  <c r="J35" i="1"/>
  <c r="M35" i="1" s="1"/>
  <c r="N37" i="1"/>
  <c r="J38" i="1"/>
  <c r="M38" i="1" s="1"/>
  <c r="N40" i="1"/>
  <c r="N43" i="1"/>
  <c r="J46" i="1"/>
  <c r="M46" i="1" s="1"/>
  <c r="N47" i="1"/>
  <c r="K35" i="1"/>
  <c r="L35" i="1" s="1"/>
  <c r="K38" i="1"/>
  <c r="L38" i="1" s="1"/>
  <c r="J41" i="1"/>
  <c r="M41" i="1" s="1"/>
  <c r="K46" i="1"/>
  <c r="L46" i="1" s="1"/>
  <c r="Q46" i="1"/>
  <c r="Q41" i="1"/>
  <c r="N45" i="1"/>
  <c r="N42" i="1"/>
  <c r="N39" i="1"/>
  <c r="J40" i="1"/>
  <c r="M40" i="1" s="1"/>
  <c r="J47" i="1"/>
  <c r="M47" i="1" s="1"/>
  <c r="N41" i="1"/>
  <c r="J45" i="1"/>
  <c r="M45" i="1" s="1"/>
  <c r="K47" i="1"/>
  <c r="L47" i="1" s="1"/>
  <c r="J42" i="1"/>
  <c r="M42" i="1" s="1"/>
  <c r="H44" i="1"/>
  <c r="N46" i="1"/>
  <c r="J39" i="1"/>
  <c r="M39" i="1" s="1"/>
  <c r="P35" i="1"/>
  <c r="Q35" i="1"/>
  <c r="Q38" i="1"/>
  <c r="P38" i="1"/>
  <c r="N36" i="1"/>
  <c r="Q37" i="1"/>
  <c r="K32" i="1"/>
  <c r="L32" i="1" s="1"/>
  <c r="J37" i="1"/>
  <c r="M37" i="1" s="1"/>
  <c r="J34" i="1"/>
  <c r="M34" i="1" s="1"/>
  <c r="K37" i="1"/>
  <c r="L37" i="1" s="1"/>
  <c r="N38" i="1"/>
  <c r="H33" i="1"/>
  <c r="K34" i="1"/>
  <c r="L34" i="1" s="1"/>
  <c r="N35" i="1"/>
  <c r="J36" i="1"/>
  <c r="M36" i="1" s="1"/>
  <c r="P28" i="1"/>
  <c r="Q28" i="1"/>
  <c r="Q31" i="1"/>
  <c r="P31" i="1"/>
  <c r="P25" i="1"/>
  <c r="Q25" i="1"/>
  <c r="N24" i="1"/>
  <c r="J28" i="1"/>
  <c r="M28" i="1" s="1"/>
  <c r="P30" i="1"/>
  <c r="K31" i="1"/>
  <c r="L31" i="1" s="1"/>
  <c r="N27" i="1"/>
  <c r="N29" i="1"/>
  <c r="P24" i="1"/>
  <c r="K25" i="1"/>
  <c r="L25" i="1" s="1"/>
  <c r="N26" i="1"/>
  <c r="J30" i="1"/>
  <c r="M30" i="1" s="1"/>
  <c r="N31" i="1"/>
  <c r="J24" i="1"/>
  <c r="M24" i="1" s="1"/>
  <c r="P26" i="1"/>
  <c r="K27" i="1"/>
  <c r="L27" i="1" s="1"/>
  <c r="N28" i="1"/>
  <c r="N25" i="1"/>
  <c r="J29" i="1"/>
  <c r="M29" i="1" s="1"/>
  <c r="P33" i="1" l="1"/>
  <c r="P32" i="1"/>
  <c r="Q42" i="1"/>
  <c r="Q45" i="1"/>
  <c r="Q39" i="1"/>
  <c r="Q34" i="1"/>
  <c r="P34" i="1"/>
  <c r="Q36" i="1"/>
  <c r="P36" i="1"/>
  <c r="Q29" i="1"/>
  <c r="P29" i="1"/>
  <c r="Q27" i="1"/>
  <c r="P27" i="1"/>
  <c r="C8" i="1" l="1"/>
  <c r="C9" i="1"/>
  <c r="C10" i="1"/>
  <c r="C11" i="1"/>
  <c r="C6" i="1"/>
  <c r="C7" i="1"/>
  <c r="Q7" i="1" l="1"/>
  <c r="G7" i="1"/>
  <c r="H7" i="1" s="1"/>
  <c r="I7" i="1"/>
  <c r="G8" i="1"/>
  <c r="H8" i="1" s="1"/>
  <c r="I8" i="1"/>
  <c r="G9" i="1"/>
  <c r="H9" i="1" s="1"/>
  <c r="I9" i="1"/>
  <c r="G3" i="1"/>
  <c r="H3" i="1" s="1"/>
  <c r="I3" i="1"/>
  <c r="G4" i="1"/>
  <c r="H4" i="1" s="1"/>
  <c r="I4" i="1"/>
  <c r="G5" i="1"/>
  <c r="H5" i="1" s="1"/>
  <c r="I5" i="1"/>
  <c r="G6" i="1"/>
  <c r="I6" i="1"/>
  <c r="G10" i="1"/>
  <c r="H10" i="1" s="1"/>
  <c r="I10" i="1"/>
  <c r="G11" i="1"/>
  <c r="H11" i="1" s="1"/>
  <c r="I11" i="1"/>
  <c r="F14" i="1"/>
  <c r="G14" i="1"/>
  <c r="H14" i="1" s="1"/>
  <c r="I14" i="1"/>
  <c r="F15" i="1"/>
  <c r="G15" i="1"/>
  <c r="H15" i="1" s="1"/>
  <c r="I15" i="1"/>
  <c r="F16" i="1"/>
  <c r="G16" i="1"/>
  <c r="H16" i="1" s="1"/>
  <c r="I16" i="1"/>
  <c r="F17" i="1"/>
  <c r="G17" i="1"/>
  <c r="H17" i="1" s="1"/>
  <c r="I17" i="1"/>
  <c r="F18" i="1"/>
  <c r="K18" i="1" s="1"/>
  <c r="L18" i="1" s="1"/>
  <c r="G18" i="1"/>
  <c r="H18" i="1" s="1"/>
  <c r="I18" i="1"/>
  <c r="F19" i="1"/>
  <c r="G19" i="1"/>
  <c r="H19" i="1" s="1"/>
  <c r="I19" i="1"/>
  <c r="F20" i="1"/>
  <c r="K20" i="1" s="1"/>
  <c r="L20" i="1" s="1"/>
  <c r="G20" i="1"/>
  <c r="I20" i="1"/>
  <c r="F21" i="1"/>
  <c r="G21" i="1"/>
  <c r="H21" i="1" s="1"/>
  <c r="I21" i="1"/>
  <c r="F22" i="1"/>
  <c r="G22" i="1"/>
  <c r="H22" i="1" s="1"/>
  <c r="I22" i="1"/>
  <c r="F23" i="1"/>
  <c r="G23" i="1"/>
  <c r="H23" i="1" s="1"/>
  <c r="I23" i="1"/>
  <c r="C20" i="1"/>
  <c r="C21" i="1"/>
  <c r="C22" i="1"/>
  <c r="C23" i="1"/>
  <c r="C19" i="1"/>
  <c r="C18" i="1"/>
  <c r="K6" i="1" l="1"/>
  <c r="L6" i="1" s="1"/>
  <c r="J6" i="1"/>
  <c r="M6" i="1" s="1"/>
  <c r="N20" i="1"/>
  <c r="K14" i="1"/>
  <c r="L14" i="1" s="1"/>
  <c r="N5" i="1"/>
  <c r="H6" i="1"/>
  <c r="P6" i="1" s="1"/>
  <c r="N23" i="1"/>
  <c r="N17" i="1"/>
  <c r="J5" i="1"/>
  <c r="M5" i="1" s="1"/>
  <c r="J7" i="1"/>
  <c r="M7" i="1" s="1"/>
  <c r="J21" i="1"/>
  <c r="M21" i="1" s="1"/>
  <c r="N18" i="1"/>
  <c r="K7" i="1"/>
  <c r="L7" i="1" s="1"/>
  <c r="K9" i="1"/>
  <c r="L9" i="1" s="1"/>
  <c r="N14" i="1"/>
  <c r="J11" i="1"/>
  <c r="M11" i="1" s="1"/>
  <c r="J9" i="1"/>
  <c r="M9" i="1" s="1"/>
  <c r="N4" i="1"/>
  <c r="J4" i="1"/>
  <c r="M4" i="1" s="1"/>
  <c r="J10" i="1"/>
  <c r="M10" i="1" s="1"/>
  <c r="J3" i="1"/>
  <c r="M3" i="1" s="1"/>
  <c r="N7" i="1"/>
  <c r="J19" i="1"/>
  <c r="M19" i="1" s="1"/>
  <c r="N11" i="1"/>
  <c r="N6" i="1"/>
  <c r="N9" i="1"/>
  <c r="J8" i="1"/>
  <c r="M8" i="1" s="1"/>
  <c r="J18" i="1"/>
  <c r="M18" i="1" s="1"/>
  <c r="N10" i="1"/>
  <c r="N3" i="1"/>
  <c r="Q18" i="1"/>
  <c r="K4" i="1"/>
  <c r="L4" i="1" s="1"/>
  <c r="P7" i="1"/>
  <c r="P4" i="1"/>
  <c r="Q4" i="1"/>
  <c r="P9" i="1"/>
  <c r="Q9" i="1"/>
  <c r="Q6" i="1"/>
  <c r="P11" i="1"/>
  <c r="Q11" i="1"/>
  <c r="K11" i="1"/>
  <c r="L11" i="1" s="1"/>
  <c r="N8" i="1"/>
  <c r="K10" i="1"/>
  <c r="L10" i="1" s="1"/>
  <c r="K5" i="1"/>
  <c r="L5" i="1" s="1"/>
  <c r="K3" i="1"/>
  <c r="L3" i="1" s="1"/>
  <c r="K8" i="1"/>
  <c r="L8" i="1" s="1"/>
  <c r="Q14" i="1"/>
  <c r="P14" i="1"/>
  <c r="J22" i="1"/>
  <c r="M22" i="1" s="1"/>
  <c r="H20" i="1"/>
  <c r="J16" i="1"/>
  <c r="M16" i="1" s="1"/>
  <c r="J15" i="1"/>
  <c r="M15" i="1" s="1"/>
  <c r="N19" i="1"/>
  <c r="J14" i="1"/>
  <c r="M14" i="1" s="1"/>
  <c r="J23" i="1"/>
  <c r="M23" i="1" s="1"/>
  <c r="N21" i="1"/>
  <c r="J17" i="1"/>
  <c r="M17" i="1" s="1"/>
  <c r="N15" i="1"/>
  <c r="N22" i="1"/>
  <c r="J20" i="1"/>
  <c r="M20" i="1" s="1"/>
  <c r="N16" i="1"/>
  <c r="K15" i="1"/>
  <c r="L15" i="1" s="1"/>
  <c r="Q15" i="1"/>
  <c r="P15" i="1"/>
  <c r="P22" i="1"/>
  <c r="Q22" i="1"/>
  <c r="P16" i="1"/>
  <c r="Q16" i="1"/>
  <c r="K22" i="1"/>
  <c r="L22" i="1" s="1"/>
  <c r="K16" i="1"/>
  <c r="L16" i="1" s="1"/>
  <c r="K23" i="1"/>
  <c r="L23" i="1" s="1"/>
  <c r="K21" i="1"/>
  <c r="L21" i="1" s="1"/>
  <c r="K19" i="1"/>
  <c r="L19" i="1" s="1"/>
  <c r="K17" i="1"/>
  <c r="L17" i="1" s="1"/>
  <c r="P18" i="1" l="1"/>
  <c r="Q8" i="1"/>
  <c r="P8" i="1"/>
  <c r="P5" i="1"/>
  <c r="Q5" i="1"/>
  <c r="P10" i="1"/>
  <c r="Q10" i="1"/>
  <c r="P3" i="1"/>
  <c r="Q3" i="1"/>
  <c r="Q20" i="1"/>
  <c r="P20" i="1"/>
  <c r="P23" i="1"/>
  <c r="Q23" i="1"/>
  <c r="P17" i="1"/>
  <c r="Q17" i="1"/>
  <c r="Q19" i="1"/>
  <c r="P19" i="1"/>
  <c r="Q21" i="1"/>
  <c r="P21" i="1"/>
  <c r="R5" i="1" l="1"/>
  <c r="S5" i="1"/>
  <c r="F12" i="1"/>
  <c r="G12" i="1"/>
  <c r="H12" i="1" s="1"/>
  <c r="I12" i="1"/>
  <c r="F13" i="1"/>
  <c r="K13" i="1" s="1"/>
  <c r="L13" i="1" s="1"/>
  <c r="G13" i="1"/>
  <c r="H13" i="1" s="1"/>
  <c r="I13" i="1"/>
  <c r="C12" i="1"/>
  <c r="N12" i="1" l="1"/>
  <c r="Q13" i="1"/>
  <c r="N13" i="1"/>
  <c r="J13" i="1"/>
  <c r="M13" i="1" s="1"/>
  <c r="J12" i="1"/>
  <c r="M12" i="1" s="1"/>
  <c r="K12" i="1"/>
  <c r="L12" i="1" s="1"/>
  <c r="P13" i="1" l="1"/>
  <c r="P12" i="1"/>
  <c r="Q12" i="1"/>
</calcChain>
</file>

<file path=xl/sharedStrings.xml><?xml version="1.0" encoding="utf-8"?>
<sst xmlns="http://schemas.openxmlformats.org/spreadsheetml/2006/main" count="118" uniqueCount="89">
  <si>
    <t>Temperature T(K)</t>
    <phoneticPr fontId="2" type="noConversion"/>
  </si>
  <si>
    <t>H2O concentration Cw (wt.%)</t>
    <phoneticPr fontId="2" type="noConversion"/>
  </si>
  <si>
    <t>SiO2 concentration Cs (wt.%)</t>
    <phoneticPr fontId="2" type="noConversion"/>
  </si>
  <si>
    <t>Initial saturation pressure Pw(Pa)</t>
    <phoneticPr fontId="2" type="noConversion"/>
  </si>
  <si>
    <t>X</t>
    <phoneticPr fontId="2" type="noConversion"/>
  </si>
  <si>
    <t>m</t>
    <phoneticPr fontId="2" type="noConversion"/>
  </si>
  <si>
    <t>DZB2000(1wt%,T,P(Cw))</t>
    <phoneticPr fontId="2" type="noConversion"/>
  </si>
  <si>
    <t>DZB2000(Cw,T,P(Cw))</t>
    <phoneticPr fontId="2" type="noConversion"/>
  </si>
  <si>
    <t>DZB2004(P,T,Cs)</t>
    <phoneticPr fontId="2" type="noConversion"/>
  </si>
  <si>
    <t>m(1wt%)</t>
    <phoneticPr fontId="2" type="noConversion"/>
  </si>
  <si>
    <t>log(D)</t>
    <phoneticPr fontId="2" type="noConversion"/>
  </si>
  <si>
    <t>D (m2/s)</t>
    <phoneticPr fontId="2" type="noConversion"/>
  </si>
  <si>
    <t>03TWF1-1</t>
  </si>
  <si>
    <t>08TC8-2</t>
  </si>
  <si>
    <t>08TC8-3</t>
  </si>
  <si>
    <t>03TWF1-2</t>
  </si>
  <si>
    <t>02TWF1-1</t>
  </si>
  <si>
    <t>02TWF1-2</t>
  </si>
  <si>
    <t>03TWF1-3</t>
  </si>
  <si>
    <t>08TC8-7</t>
  </si>
  <si>
    <t>08TC8-8</t>
  </si>
  <si>
    <t>16CBS05b</t>
  </si>
  <si>
    <t>16CBS-7b-H</t>
  </si>
  <si>
    <t>16CBS-7c-B</t>
  </si>
  <si>
    <t>16CBS-7a-B</t>
    <phoneticPr fontId="2" type="noConversion"/>
  </si>
  <si>
    <t>16CBS-7b-B</t>
    <phoneticPr fontId="2" type="noConversion"/>
  </si>
  <si>
    <t>16CBS-8a-B</t>
    <phoneticPr fontId="2" type="noConversion"/>
  </si>
  <si>
    <t>16CBS-10a-B</t>
    <phoneticPr fontId="2" type="noConversion"/>
  </si>
  <si>
    <t>16CBS-15-B</t>
    <phoneticPr fontId="2" type="noConversion"/>
  </si>
  <si>
    <t>HSG-1-B</t>
    <phoneticPr fontId="2" type="noConversion"/>
  </si>
  <si>
    <t>16CBS-7a-H</t>
    <phoneticPr fontId="2" type="noConversion"/>
  </si>
  <si>
    <t>16CBS-7c-H</t>
    <phoneticPr fontId="2" type="noConversion"/>
  </si>
  <si>
    <t>16CBS-8a-H</t>
    <phoneticPr fontId="2" type="noConversion"/>
  </si>
  <si>
    <t>16CBS-10a</t>
    <phoneticPr fontId="2" type="noConversion"/>
  </si>
  <si>
    <t>16CBS-15a</t>
    <phoneticPr fontId="2" type="noConversion"/>
  </si>
  <si>
    <t>HSG-1-H</t>
    <phoneticPr fontId="2" type="noConversion"/>
  </si>
  <si>
    <t>16CBS-16a</t>
    <phoneticPr fontId="2" type="noConversion"/>
  </si>
  <si>
    <t>16TWF-1</t>
    <phoneticPr fontId="2" type="noConversion"/>
  </si>
  <si>
    <r>
      <t>16TWF-2</t>
    </r>
    <r>
      <rPr>
        <sz val="12"/>
        <rFont val="宋体"/>
        <family val="3"/>
        <charset val="134"/>
      </rPr>
      <t/>
    </r>
  </si>
  <si>
    <r>
      <t>16TWF-3</t>
    </r>
    <r>
      <rPr>
        <sz val="12"/>
        <rFont val="宋体"/>
        <family val="3"/>
        <charset val="134"/>
      </rPr>
      <t/>
    </r>
  </si>
  <si>
    <t>16CBS-22</t>
    <phoneticPr fontId="2" type="noConversion"/>
  </si>
  <si>
    <t>16CBS-15e</t>
    <phoneticPr fontId="2" type="noConversion"/>
  </si>
  <si>
    <t>16CBS-16c</t>
    <phoneticPr fontId="2" type="noConversion"/>
  </si>
  <si>
    <t>16CBS-20</t>
    <phoneticPr fontId="2" type="noConversion"/>
  </si>
  <si>
    <t>HSG-3a</t>
    <phoneticPr fontId="2" type="noConversion"/>
  </si>
  <si>
    <t>HSG-3b</t>
    <phoneticPr fontId="2" type="noConversion"/>
  </si>
  <si>
    <r>
      <t>16TWF-4</t>
    </r>
    <r>
      <rPr>
        <sz val="12"/>
        <rFont val="宋体"/>
        <family val="3"/>
        <charset val="134"/>
      </rPr>
      <t/>
    </r>
  </si>
  <si>
    <t>08TC8-1</t>
    <phoneticPr fontId="2" type="noConversion"/>
  </si>
  <si>
    <t>Black-gray and yellow pumices from the TWF eruption</t>
    <phoneticPr fontId="2" type="noConversion"/>
  </si>
  <si>
    <t>Gray-white pumice from the ME-Com erutpion</t>
    <phoneticPr fontId="2" type="noConversion"/>
  </si>
  <si>
    <t>Earth-yellown pumice from the ME-Tr eruption (ME-Tr-a)</t>
    <phoneticPr fontId="2" type="noConversion"/>
  </si>
  <si>
    <t>Black pumice from the ME-Tr eruption (ME-Tr-b)</t>
    <phoneticPr fontId="2" type="noConversion"/>
  </si>
  <si>
    <t>Black pumice at the Tianwenfeng summit (ME-Tr-c)</t>
    <phoneticPr fontId="2" type="noConversion"/>
  </si>
  <si>
    <t>Eruption</t>
    <phoneticPr fontId="2" type="noConversion"/>
  </si>
  <si>
    <t>Sample</t>
    <phoneticPr fontId="2" type="noConversion"/>
  </si>
  <si>
    <r>
      <t>Nv(/m</t>
    </r>
    <r>
      <rPr>
        <b/>
        <vertAlign val="superscript"/>
        <sz val="10"/>
        <rFont val="宋体"/>
        <family val="3"/>
        <charset val="134"/>
      </rPr>
      <t>3</t>
    </r>
    <r>
      <rPr>
        <b/>
        <sz val="10"/>
        <rFont val="宋体"/>
        <family val="3"/>
        <charset val="134"/>
      </rPr>
      <t>)</t>
    </r>
    <phoneticPr fontId="2" type="noConversion"/>
  </si>
  <si>
    <r>
      <t xml:space="preserve">Interfacial tension </t>
    </r>
    <r>
      <rPr>
        <b/>
        <sz val="10"/>
        <rFont val="Symbol"/>
        <family val="1"/>
        <charset val="2"/>
      </rPr>
      <t>s</t>
    </r>
    <r>
      <rPr>
        <b/>
        <sz val="10"/>
        <rFont val="宋体"/>
        <family val="3"/>
        <charset val="134"/>
      </rPr>
      <t>(N/m)</t>
    </r>
    <phoneticPr fontId="2" type="noConversion"/>
  </si>
  <si>
    <r>
      <t>Column height H</t>
    </r>
    <r>
      <rPr>
        <b/>
        <vertAlign val="subscript"/>
        <sz val="10"/>
        <rFont val="Times New Roman"/>
        <family val="1"/>
      </rPr>
      <t>T</t>
    </r>
    <r>
      <rPr>
        <b/>
        <sz val="10"/>
        <rFont val="Times New Roman"/>
        <family val="1"/>
      </rPr>
      <t>(km)</t>
    </r>
    <phoneticPr fontId="7" type="noConversion"/>
  </si>
  <si>
    <t>3.8~11.1(5.34)</t>
    <phoneticPr fontId="7" type="noConversion"/>
  </si>
  <si>
    <t>10.29~30.08(14.46)</t>
    <phoneticPr fontId="7" type="noConversion"/>
  </si>
  <si>
    <t>5.04~14.74(7.09)</t>
    <phoneticPr fontId="7" type="noConversion"/>
  </si>
  <si>
    <t>4.58~13.39(6.44)</t>
    <phoneticPr fontId="7" type="noConversion"/>
  </si>
  <si>
    <t>4.58~13.39(6.44)</t>
    <phoneticPr fontId="7" type="noConversion"/>
  </si>
  <si>
    <t>5.04~14.74(7.09)</t>
    <phoneticPr fontId="7" type="noConversion"/>
  </si>
  <si>
    <t>5.86~14.77(8.02)</t>
    <phoneticPr fontId="7" type="noConversion"/>
  </si>
  <si>
    <t>5.86~14.77(8.02)</t>
    <phoneticPr fontId="7" type="noConversion"/>
  </si>
  <si>
    <t>2.98~7.51(4.08)</t>
    <phoneticPr fontId="7" type="noConversion"/>
  </si>
  <si>
    <t>2.98~7.51(4.08)</t>
    <phoneticPr fontId="7" type="noConversion"/>
  </si>
  <si>
    <t>3.62~9.13(4.96)</t>
    <phoneticPr fontId="7" type="noConversion"/>
  </si>
  <si>
    <t>3.62~9.13(4.96)</t>
    <phoneticPr fontId="7" type="noConversion"/>
  </si>
  <si>
    <t>3.8~11.1(5.34)</t>
    <phoneticPr fontId="7" type="noConversion"/>
  </si>
  <si>
    <t>3.8~11.1(5.34)</t>
    <phoneticPr fontId="7" type="noConversion"/>
  </si>
  <si>
    <t>10.29~30.08(14.46)</t>
    <phoneticPr fontId="7" type="noConversion"/>
  </si>
  <si>
    <t>5.86~14.77(8.02)</t>
    <phoneticPr fontId="7" type="noConversion"/>
  </si>
  <si>
    <t>Table 7S Calculated physical eruptions parameters of various stages in Changbaishan volcano</t>
    <phoneticPr fontId="7" type="noConversion"/>
  </si>
  <si>
    <t>S95-80</t>
    <phoneticPr fontId="2" type="noConversion"/>
  </si>
  <si>
    <t>S96-72</t>
    <phoneticPr fontId="2" type="noConversion"/>
  </si>
  <si>
    <t>P-2</t>
    <phoneticPr fontId="2" type="noConversion"/>
  </si>
  <si>
    <t>P-5A</t>
    <phoneticPr fontId="2" type="noConversion"/>
  </si>
  <si>
    <t>02BYFX-1</t>
    <phoneticPr fontId="2" type="noConversion"/>
  </si>
  <si>
    <t>02BYFX-2</t>
    <phoneticPr fontId="2" type="noConversion"/>
  </si>
  <si>
    <r>
      <t>Decompression rate dp/dt (</t>
    </r>
    <r>
      <rPr>
        <b/>
        <sz val="8"/>
        <color theme="1"/>
        <rFont val="等线"/>
        <family val="3"/>
        <charset val="134"/>
      </rPr>
      <t>×</t>
    </r>
    <r>
      <rPr>
        <b/>
        <sz val="8"/>
        <color theme="1"/>
        <rFont val="Times New Roman"/>
        <family val="1"/>
      </rPr>
      <t>10</t>
    </r>
    <r>
      <rPr>
        <b/>
        <vertAlign val="superscript"/>
        <sz val="8"/>
        <color theme="1"/>
        <rFont val="Times New Roman"/>
        <family val="1"/>
      </rPr>
      <t>9</t>
    </r>
    <r>
      <rPr>
        <b/>
        <sz val="8"/>
        <color theme="1"/>
        <rFont val="Times New Roman"/>
        <family val="1"/>
      </rPr>
      <t>Pa/s)</t>
    </r>
    <r>
      <rPr>
        <b/>
        <vertAlign val="superscript"/>
        <sz val="8"/>
        <color theme="1"/>
        <rFont val="Times New Roman"/>
        <family val="1"/>
      </rPr>
      <t xml:space="preserve"> </t>
    </r>
    <r>
      <rPr>
        <b/>
        <vertAlign val="superscript"/>
        <sz val="8"/>
        <color theme="1"/>
        <rFont val="等线"/>
        <family val="3"/>
        <charset val="134"/>
      </rPr>
      <t>③</t>
    </r>
    <phoneticPr fontId="7" type="noConversion"/>
  </si>
  <si>
    <t>Shea T (2017) Bubble nucleation in magmas: A dominantly heterogeneous process? Journal of Volcanology and Geothermal Research, 343: 155-170. https://doi.org/10.1016/j.jvolgeores.2017.06.025</t>
    <phoneticPr fontId="2" type="noConversion"/>
  </si>
  <si>
    <t>S95-4</t>
    <phoneticPr fontId="2" type="noConversion"/>
  </si>
  <si>
    <t>P-1</t>
    <phoneticPr fontId="2" type="noConversion"/>
  </si>
  <si>
    <r>
      <t xml:space="preserve"> decompression rate dp/dt (Pa/s)</t>
    </r>
    <r>
      <rPr>
        <b/>
        <vertAlign val="superscript"/>
        <sz val="10"/>
        <rFont val="宋体"/>
        <family val="3"/>
        <charset val="134"/>
      </rPr>
      <t>①</t>
    </r>
    <phoneticPr fontId="2" type="noConversion"/>
  </si>
  <si>
    <r>
      <t>08TC8-5</t>
    </r>
    <r>
      <rPr>
        <vertAlign val="superscript"/>
        <sz val="8"/>
        <rFont val="宋体"/>
        <family val="3"/>
        <charset val="134"/>
      </rPr>
      <t>②</t>
    </r>
    <phoneticPr fontId="2" type="noConversion"/>
  </si>
  <si>
    <t>Notes: ① calculated  using Toramaru (2006); ② column height from Horn &amp; Schmincke,2000 and mass eruption rate data from Liu et al, 1998.  ③ calculated using Equ (15) from Shea (2017)</t>
    <phoneticPr fontId="2" type="noConversion"/>
  </si>
  <si>
    <r>
      <t>Mass eruption rate(</t>
    </r>
    <r>
      <rPr>
        <b/>
        <sz val="10"/>
        <rFont val="宋体"/>
        <family val="3"/>
        <charset val="134"/>
      </rPr>
      <t>×</t>
    </r>
    <r>
      <rPr>
        <b/>
        <sz val="10"/>
        <rFont val="Times New Roman"/>
        <family val="1"/>
      </rPr>
      <t>10</t>
    </r>
    <r>
      <rPr>
        <b/>
        <vertAlign val="superscript"/>
        <sz val="10"/>
        <rFont val="Times New Roman"/>
        <family val="1"/>
      </rPr>
      <t>8</t>
    </r>
    <r>
      <rPr>
        <b/>
        <sz val="10"/>
        <rFont val="Times New Roman"/>
        <family val="1"/>
      </rPr>
      <t xml:space="preserve"> kg/s)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</si>
</sst>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_ "/>
    <numFmt numFmtId="177" formatCode="0.0000_ "/>
    <numFmt numFmtId="178" formatCode="0.00_);[Red]\(0.00\)"/>
    <numFmt numFmtId="179" formatCode="0.00_ "/>
    <numFmt numFmtId="180" formatCode="0.0E+00"/>
    <numFmt numFmtId="181" formatCode="0.0_);[Red]\(0.0\)"/>
    <numFmt numFmtId="182" formatCode="0_ "/>
  </numFmts>
  <fonts count="27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b/>
      <vertAlign val="superscript"/>
      <sz val="10"/>
      <name val="Times New Roman"/>
      <family val="1"/>
    </font>
    <font>
      <b/>
      <vertAlign val="subscript"/>
      <sz val="10"/>
      <name val="Times New Roman"/>
      <family val="1"/>
    </font>
    <font>
      <b/>
      <vertAlign val="superscript"/>
      <sz val="10"/>
      <name val="宋体"/>
      <family val="3"/>
      <charset val="134"/>
    </font>
    <font>
      <b/>
      <sz val="10"/>
      <name val="Symbol"/>
      <family val="1"/>
      <charset val="2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8"/>
      <color theme="1"/>
      <name val="Times New Roman"/>
      <family val="1"/>
    </font>
    <font>
      <b/>
      <sz val="8"/>
      <color theme="1"/>
      <name val="等线"/>
      <family val="3"/>
      <charset val="134"/>
    </font>
    <font>
      <b/>
      <vertAlign val="superscript"/>
      <sz val="8"/>
      <color theme="1"/>
      <name val="Times New Roman"/>
      <family val="1"/>
    </font>
    <font>
      <b/>
      <vertAlign val="superscript"/>
      <sz val="8"/>
      <color theme="1"/>
      <name val="等线"/>
      <family val="3"/>
      <charset val="134"/>
    </font>
    <font>
      <sz val="8"/>
      <name val="Times New Roman"/>
      <family val="1"/>
    </font>
    <font>
      <b/>
      <sz val="12"/>
      <color theme="1"/>
      <name val="Times New Roman"/>
      <family val="1"/>
    </font>
    <font>
      <vertAlign val="superscript"/>
      <sz val="8"/>
      <name val="宋体"/>
      <family val="3"/>
      <charset val="134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60">
    <xf numFmtId="0" fontId="0" fillId="0" borderId="0" xfId="0">
      <alignment vertical="center"/>
    </xf>
    <xf numFmtId="11" fontId="5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178" fontId="4" fillId="0" borderId="0" xfId="1" applyNumberFormat="1" applyFont="1" applyFill="1" applyBorder="1" applyAlignment="1">
      <alignment horizontal="left" vertical="center"/>
    </xf>
    <xf numFmtId="178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right" vertical="center" wrapText="1"/>
    </xf>
    <xf numFmtId="176" fontId="8" fillId="0" borderId="0" xfId="0" applyNumberFormat="1" applyFont="1" applyFill="1" applyAlignment="1">
      <alignment vertical="center" wrapText="1"/>
    </xf>
    <xf numFmtId="177" fontId="8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178" fontId="4" fillId="0" borderId="1" xfId="1" applyNumberFormat="1" applyFont="1" applyFill="1" applyBorder="1" applyAlignment="1">
      <alignment horizontal="left" vertical="center"/>
    </xf>
    <xf numFmtId="11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178" fontId="4" fillId="0" borderId="2" xfId="1" applyNumberFormat="1" applyFont="1" applyFill="1" applyBorder="1" applyAlignment="1">
      <alignment horizontal="left" vertical="center"/>
    </xf>
    <xf numFmtId="11" fontId="5" fillId="0" borderId="2" xfId="0" applyNumberFormat="1" applyFont="1" applyFill="1" applyBorder="1" applyAlignment="1">
      <alignment horizontal="left" vertical="center" wrapText="1"/>
    </xf>
    <xf numFmtId="1" fontId="9" fillId="0" borderId="0" xfId="0" applyNumberFormat="1" applyFont="1" applyFill="1" applyBorder="1" applyAlignment="1">
      <alignment horizontal="left" vertical="center" wrapText="1"/>
    </xf>
    <xf numFmtId="180" fontId="9" fillId="0" borderId="1" xfId="0" applyNumberFormat="1" applyFont="1" applyFill="1" applyBorder="1" applyAlignment="1">
      <alignment horizontal="left" vertical="center" wrapText="1"/>
    </xf>
    <xf numFmtId="180" fontId="9" fillId="0" borderId="0" xfId="0" applyNumberFormat="1" applyFont="1" applyFill="1" applyBorder="1" applyAlignment="1">
      <alignment horizontal="left" vertical="center" wrapText="1"/>
    </xf>
    <xf numFmtId="179" fontId="23" fillId="0" borderId="0" xfId="0" applyNumberFormat="1" applyFont="1" applyFill="1" applyBorder="1" applyAlignment="1">
      <alignment horizontal="left" vertical="center"/>
    </xf>
    <xf numFmtId="179" fontId="23" fillId="0" borderId="2" xfId="0" applyNumberFormat="1" applyFont="1" applyFill="1" applyBorder="1" applyAlignment="1">
      <alignment horizontal="left" vertical="center"/>
    </xf>
    <xf numFmtId="178" fontId="19" fillId="0" borderId="3" xfId="0" applyNumberFormat="1" applyFont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49" fontId="23" fillId="0" borderId="0" xfId="0" applyNumberFormat="1" applyFont="1" applyFill="1" applyBorder="1" applyAlignment="1">
      <alignment horizontal="left" vertical="center"/>
    </xf>
    <xf numFmtId="181" fontId="4" fillId="0" borderId="1" xfId="1" applyNumberFormat="1" applyFont="1" applyFill="1" applyBorder="1" applyAlignment="1">
      <alignment horizontal="left" vertical="center"/>
    </xf>
    <xf numFmtId="181" fontId="4" fillId="0" borderId="0" xfId="1" applyNumberFormat="1" applyFont="1" applyFill="1" applyBorder="1" applyAlignment="1">
      <alignment horizontal="left" vertical="center"/>
    </xf>
    <xf numFmtId="181" fontId="5" fillId="0" borderId="0" xfId="0" applyNumberFormat="1" applyFont="1" applyFill="1" applyBorder="1" applyAlignment="1">
      <alignment horizontal="left" vertical="center"/>
    </xf>
    <xf numFmtId="181" fontId="5" fillId="0" borderId="2" xfId="0" applyNumberFormat="1" applyFont="1" applyFill="1" applyBorder="1" applyAlignment="1">
      <alignment horizontal="left" vertical="center"/>
    </xf>
    <xf numFmtId="182" fontId="5" fillId="0" borderId="1" xfId="0" applyNumberFormat="1" applyFont="1" applyFill="1" applyBorder="1" applyAlignment="1">
      <alignment horizontal="left" vertical="center" wrapText="1"/>
    </xf>
    <xf numFmtId="182" fontId="5" fillId="0" borderId="0" xfId="0" applyNumberFormat="1" applyFont="1" applyFill="1" applyBorder="1" applyAlignment="1">
      <alignment horizontal="left" vertical="center" wrapText="1"/>
    </xf>
    <xf numFmtId="182" fontId="5" fillId="0" borderId="2" xfId="0" applyNumberFormat="1" applyFont="1" applyFill="1" applyBorder="1" applyAlignment="1">
      <alignment horizontal="left" vertical="center" wrapText="1"/>
    </xf>
    <xf numFmtId="180" fontId="5" fillId="0" borderId="1" xfId="0" applyNumberFormat="1" applyFont="1" applyFill="1" applyBorder="1" applyAlignment="1">
      <alignment horizontal="left" vertical="center" wrapText="1"/>
    </xf>
    <xf numFmtId="180" fontId="5" fillId="0" borderId="0" xfId="0" applyNumberFormat="1" applyFont="1" applyFill="1" applyBorder="1" applyAlignment="1">
      <alignment horizontal="left" vertical="center" wrapText="1"/>
    </xf>
    <xf numFmtId="180" fontId="5" fillId="0" borderId="2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left" vertical="center" wrapText="1"/>
    </xf>
    <xf numFmtId="179" fontId="5" fillId="0" borderId="1" xfId="0" applyNumberFormat="1" applyFont="1" applyFill="1" applyBorder="1" applyAlignment="1">
      <alignment horizontal="left" vertical="center" wrapText="1"/>
    </xf>
    <xf numFmtId="179" fontId="5" fillId="0" borderId="0" xfId="0" applyNumberFormat="1" applyFont="1" applyFill="1" applyBorder="1" applyAlignment="1">
      <alignment horizontal="left" vertical="center" wrapText="1"/>
    </xf>
    <xf numFmtId="179" fontId="5" fillId="0" borderId="2" xfId="0" applyNumberFormat="1" applyFont="1" applyFill="1" applyBorder="1" applyAlignment="1">
      <alignment horizontal="left" vertical="center" wrapText="1"/>
    </xf>
    <xf numFmtId="11" fontId="17" fillId="0" borderId="1" xfId="2" applyNumberFormat="1" applyFont="1" applyFill="1" applyBorder="1" applyAlignment="1">
      <alignment horizontal="left" vertical="center"/>
    </xf>
    <xf numFmtId="11" fontId="17" fillId="0" borderId="0" xfId="2" applyNumberFormat="1" applyFont="1" applyFill="1" applyBorder="1" applyAlignment="1">
      <alignment horizontal="left" vertical="center"/>
    </xf>
    <xf numFmtId="11" fontId="10" fillId="0" borderId="0" xfId="0" applyNumberFormat="1" applyFont="1" applyFill="1" applyBorder="1" applyAlignment="1">
      <alignment horizontal="left" vertical="center" wrapText="1"/>
    </xf>
    <xf numFmtId="11" fontId="10" fillId="0" borderId="2" xfId="0" applyNumberFormat="1" applyFont="1" applyFill="1" applyBorder="1" applyAlignment="1">
      <alignment horizontal="left" vertical="center" wrapText="1"/>
    </xf>
    <xf numFmtId="1" fontId="26" fillId="0" borderId="0" xfId="0" applyNumberFormat="1" applyFont="1" applyFill="1" applyBorder="1" applyAlignment="1">
      <alignment horizontal="left" vertical="center" wrapText="1"/>
    </xf>
    <xf numFmtId="180" fontId="12" fillId="0" borderId="0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_硅酸盐计算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tabSelected="1" zoomScaleNormal="100" workbookViewId="0">
      <selection activeCell="B3" sqref="A3:XFD11"/>
    </sheetView>
  </sheetViews>
  <sheetFormatPr defaultColWidth="9" defaultRowHeight="12" x14ac:dyDescent="0.15"/>
  <cols>
    <col min="1" max="1" width="9" style="7"/>
    <col min="2" max="2" width="11" style="8" customWidth="1"/>
    <col min="3" max="3" width="8.75" style="8" customWidth="1"/>
    <col min="4" max="4" width="7" style="8" customWidth="1"/>
    <col min="5" max="5" width="7.625" style="8" customWidth="1"/>
    <col min="6" max="6" width="7" style="10" customWidth="1"/>
    <col min="7" max="7" width="8.5" style="8" customWidth="1"/>
    <col min="8" max="8" width="7.875" style="11" customWidth="1"/>
    <col min="9" max="9" width="7.5" style="8" customWidth="1"/>
    <col min="10" max="10" width="7.625" style="8" customWidth="1"/>
    <col min="11" max="11" width="8.75" style="8" customWidth="1"/>
    <col min="12" max="12" width="7.25" style="8" customWidth="1"/>
    <col min="13" max="13" width="7.5" style="8" customWidth="1"/>
    <col min="14" max="15" width="10.875" style="8" customWidth="1"/>
    <col min="16" max="16" width="9.875" style="8" customWidth="1"/>
    <col min="17" max="17" width="9.125" style="8" customWidth="1"/>
    <col min="18" max="18" width="7" style="8" customWidth="1"/>
    <col min="19" max="19" width="7.875" style="8" customWidth="1"/>
    <col min="20" max="20" width="14.25" style="8" customWidth="1"/>
    <col min="21" max="21" width="10" style="8" bestFit="1" customWidth="1"/>
    <col min="22" max="16384" width="9" style="8"/>
  </cols>
  <sheetData>
    <row r="1" spans="1:22" ht="45.75" customHeight="1" x14ac:dyDescent="0.15">
      <c r="A1" s="55" t="s">
        <v>74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2" s="7" customFormat="1" ht="85.5" customHeight="1" x14ac:dyDescent="0.15">
      <c r="A2" s="24" t="s">
        <v>53</v>
      </c>
      <c r="B2" s="24" t="s">
        <v>54</v>
      </c>
      <c r="C2" s="24" t="s">
        <v>55</v>
      </c>
      <c r="D2" s="24" t="s">
        <v>1</v>
      </c>
      <c r="E2" s="24" t="s">
        <v>2</v>
      </c>
      <c r="F2" s="25" t="s">
        <v>0</v>
      </c>
      <c r="G2" s="24" t="s">
        <v>3</v>
      </c>
      <c r="H2" s="26" t="s">
        <v>56</v>
      </c>
      <c r="I2" s="24" t="s">
        <v>4</v>
      </c>
      <c r="J2" s="24" t="s">
        <v>5</v>
      </c>
      <c r="K2" s="24" t="s">
        <v>9</v>
      </c>
      <c r="L2" s="24" t="s">
        <v>6</v>
      </c>
      <c r="M2" s="24" t="s">
        <v>7</v>
      </c>
      <c r="N2" s="24" t="s">
        <v>8</v>
      </c>
      <c r="O2" s="27" t="s">
        <v>11</v>
      </c>
      <c r="P2" s="24" t="s">
        <v>85</v>
      </c>
      <c r="Q2" s="24" t="s">
        <v>10</v>
      </c>
      <c r="R2" s="28" t="s">
        <v>57</v>
      </c>
      <c r="S2" s="52" t="s">
        <v>88</v>
      </c>
      <c r="T2" s="23" t="s">
        <v>81</v>
      </c>
    </row>
    <row r="3" spans="1:22" ht="12.75" x14ac:dyDescent="0.15">
      <c r="A3" s="59" t="s">
        <v>48</v>
      </c>
      <c r="B3" s="12" t="s">
        <v>12</v>
      </c>
      <c r="C3" s="46">
        <v>1850000000000000</v>
      </c>
      <c r="D3" s="13">
        <v>3.5</v>
      </c>
      <c r="E3" s="30">
        <v>65.974000000000004</v>
      </c>
      <c r="F3" s="34">
        <f t="shared" ref="F3:F11" si="0">1000/(0.16+0.01*E3)</f>
        <v>1219.8989923634322</v>
      </c>
      <c r="G3" s="37">
        <f t="shared" ref="G3:G11" si="1">5.6*1000000*D3*D3</f>
        <v>68600000</v>
      </c>
      <c r="H3" s="43">
        <f t="shared" ref="H3:H11" si="2">0.2366*EXP(-0.35*G3/100000000)</f>
        <v>0.18609754124370345</v>
      </c>
      <c r="I3" s="43">
        <f t="shared" ref="I3:I11" si="3">0.0167*D3</f>
        <v>5.8450000000000002E-2</v>
      </c>
      <c r="J3" s="40">
        <f t="shared" ref="J3:J11" si="4">-20.79-5030/F3-1.4*(G3/1000000)/F3</f>
        <v>-24.992020029599999</v>
      </c>
      <c r="K3" s="40">
        <f t="shared" ref="K3:K11" si="5">-20.79-5030/F3-1.4*5.6/F3</f>
        <v>-24.919718961600001</v>
      </c>
      <c r="L3" s="40">
        <f t="shared" ref="L3:L11" si="6">0.0167*EXP(K3)*(1+EXP(56+K3+0.0167*(-34.1+44620/F3+57.3*5.6/F3)-SQRT(0.0167)*(0.091+4.77*1000000/(F3*F3))))</f>
        <v>5.4086152364816318</v>
      </c>
      <c r="M3" s="40">
        <f t="shared" ref="M3:M11" si="7">I3*EXP(J3)*(1+EXP(56+J3+I3*(-34.1+44620/F3+57.3*(G3/1000000)/F3)-SQRT(I3)*(0.091+4.77*1000000/(F3*F3))))</f>
        <v>15.067687608919305</v>
      </c>
      <c r="N3" s="14">
        <f t="shared" ref="N3:N11" si="8">POWER(10,(-0.757-0.0868*E3)+(-14785+131.7*E3)/F3+(3.079-0.049*E3)*(G3/1000000)/F3)</f>
        <v>3.2396144035151455E-12</v>
      </c>
      <c r="O3" s="14">
        <f>M3*N3/L3</f>
        <v>9.0251377979838373E-12</v>
      </c>
      <c r="P3" s="37">
        <f t="shared" ref="P3:P11" si="9">3*3.5*100000000000000*O3*H3*H3*POWER(G3,-1/3)*POWER(F3,-1/2)*POWER(C3,2/3)</f>
        <v>345914623.16353512</v>
      </c>
      <c r="Q3" s="40">
        <f t="shared" ref="Q3:Q11" si="10">LOG(O3)</f>
        <v>-11.044546158458633</v>
      </c>
      <c r="R3" s="18">
        <f t="shared" ref="R3:R11" si="11">SQRT(SQRT(P3*$R$19*$R$19*$R$19*$R$19/$P$19))</f>
        <v>25.055875471680377</v>
      </c>
      <c r="S3" s="19">
        <f>P3*$S$19/$P$19</f>
        <v>302691027.60248297</v>
      </c>
      <c r="T3" s="21" t="s">
        <v>58</v>
      </c>
      <c r="U3" s="10"/>
    </row>
    <row r="4" spans="1:22" ht="12.75" x14ac:dyDescent="0.15">
      <c r="A4" s="58"/>
      <c r="B4" s="6" t="s">
        <v>47</v>
      </c>
      <c r="C4" s="47">
        <v>1850000000000000</v>
      </c>
      <c r="D4" s="3">
        <v>3.5</v>
      </c>
      <c r="E4" s="31">
        <v>69.012</v>
      </c>
      <c r="F4" s="35">
        <f t="shared" si="0"/>
        <v>1176.3045217145814</v>
      </c>
      <c r="G4" s="38">
        <f t="shared" si="1"/>
        <v>68600000</v>
      </c>
      <c r="H4" s="44">
        <f t="shared" si="2"/>
        <v>0.18609754124370345</v>
      </c>
      <c r="I4" s="44">
        <f t="shared" si="3"/>
        <v>5.8450000000000002E-2</v>
      </c>
      <c r="J4" s="41">
        <f t="shared" si="4"/>
        <v>-25.147749124799997</v>
      </c>
      <c r="K4" s="41">
        <f t="shared" si="5"/>
        <v>-25.072768540799999</v>
      </c>
      <c r="L4" s="41">
        <f t="shared" si="6"/>
        <v>3.9488457499707463</v>
      </c>
      <c r="M4" s="41">
        <f t="shared" si="7"/>
        <v>11.345299040142683</v>
      </c>
      <c r="N4" s="1">
        <f t="shared" si="8"/>
        <v>2.4701698038807381E-12</v>
      </c>
      <c r="O4" s="1">
        <f t="shared" ref="O4:O47" si="12">M4*N4/L4</f>
        <v>7.0969637406488179E-12</v>
      </c>
      <c r="P4" s="38">
        <f t="shared" si="9"/>
        <v>277006346.69469935</v>
      </c>
      <c r="Q4" s="41">
        <f t="shared" si="10"/>
        <v>-11.14892741363491</v>
      </c>
      <c r="R4" s="18">
        <f t="shared" si="11"/>
        <v>23.702261289639068</v>
      </c>
      <c r="S4" s="20">
        <f t="shared" ref="S4:S18" si="13">P4*$S$19/$P$19</f>
        <v>242393151.7164813</v>
      </c>
      <c r="T4" s="21" t="s">
        <v>70</v>
      </c>
      <c r="U4" s="10"/>
    </row>
    <row r="5" spans="1:22" ht="12.75" x14ac:dyDescent="0.15">
      <c r="A5" s="58"/>
      <c r="B5" s="6" t="s">
        <v>13</v>
      </c>
      <c r="C5" s="47">
        <v>1850000000000000</v>
      </c>
      <c r="D5" s="3">
        <v>3.5</v>
      </c>
      <c r="E5" s="31">
        <v>70.498999999999995</v>
      </c>
      <c r="F5" s="35">
        <f t="shared" si="0"/>
        <v>1156.0827292801073</v>
      </c>
      <c r="G5" s="38">
        <f t="shared" si="1"/>
        <v>68600000</v>
      </c>
      <c r="H5" s="44">
        <f t="shared" si="2"/>
        <v>0.18609754124370345</v>
      </c>
      <c r="I5" s="44">
        <f t="shared" si="3"/>
        <v>5.8450000000000002E-2</v>
      </c>
      <c r="J5" s="41">
        <f t="shared" si="4"/>
        <v>-25.223973339599997</v>
      </c>
      <c r="K5" s="41">
        <f t="shared" si="5"/>
        <v>-25.147681221599999</v>
      </c>
      <c r="L5" s="41">
        <f t="shared" si="6"/>
        <v>3.3839277976311721</v>
      </c>
      <c r="M5" s="41">
        <f t="shared" si="7"/>
        <v>9.8664663828702412</v>
      </c>
      <c r="N5" s="1">
        <f t="shared" si="8"/>
        <v>2.206579113319143E-12</v>
      </c>
      <c r="O5" s="1">
        <f t="shared" si="12"/>
        <v>6.4336888801076811E-12</v>
      </c>
      <c r="P5" s="38">
        <f t="shared" si="9"/>
        <v>253304330.93417278</v>
      </c>
      <c r="Q5" s="41">
        <f t="shared" si="10"/>
        <v>-11.191539944509492</v>
      </c>
      <c r="R5" s="18">
        <f t="shared" si="11"/>
        <v>23.178109236392821</v>
      </c>
      <c r="S5" s="20">
        <f t="shared" si="13"/>
        <v>221652809.94893405</v>
      </c>
      <c r="T5" s="21" t="s">
        <v>71</v>
      </c>
      <c r="U5" s="10"/>
    </row>
    <row r="6" spans="1:22" s="9" customFormat="1" ht="12.75" x14ac:dyDescent="0.15">
      <c r="A6" s="58"/>
      <c r="B6" s="6" t="s">
        <v>14</v>
      </c>
      <c r="C6" s="48">
        <f t="shared" ref="C6:C11" si="14">8.25*1000000000000000</f>
        <v>8250000000000000</v>
      </c>
      <c r="D6" s="3">
        <v>3.5</v>
      </c>
      <c r="E6" s="31">
        <v>68.7</v>
      </c>
      <c r="F6" s="35">
        <f t="shared" si="0"/>
        <v>1180.6375442739077</v>
      </c>
      <c r="G6" s="38">
        <f t="shared" si="1"/>
        <v>68600000</v>
      </c>
      <c r="H6" s="44">
        <f t="shared" si="2"/>
        <v>0.18609754124370345</v>
      </c>
      <c r="I6" s="44">
        <f t="shared" si="3"/>
        <v>5.8450000000000002E-2</v>
      </c>
      <c r="J6" s="41">
        <f t="shared" si="4"/>
        <v>-25.13175588</v>
      </c>
      <c r="K6" s="41">
        <f t="shared" si="5"/>
        <v>-25.057050480000001</v>
      </c>
      <c r="L6" s="41">
        <f t="shared" si="6"/>
        <v>4.0787142134146199</v>
      </c>
      <c r="M6" s="41">
        <f t="shared" si="7"/>
        <v>11.681919992517431</v>
      </c>
      <c r="N6" s="1">
        <f t="shared" si="8"/>
        <v>2.5335518303878026E-12</v>
      </c>
      <c r="O6" s="1">
        <f t="shared" si="12"/>
        <v>7.2563921448932753E-12</v>
      </c>
      <c r="P6" s="38">
        <f t="shared" si="9"/>
        <v>765939169.57928813</v>
      </c>
      <c r="Q6" s="41">
        <f t="shared" si="10"/>
        <v>-11.13927925547368</v>
      </c>
      <c r="R6" s="18">
        <f t="shared" si="11"/>
        <v>30.564403285486065</v>
      </c>
      <c r="S6" s="20">
        <f t="shared" si="13"/>
        <v>670231608.59938788</v>
      </c>
      <c r="T6" s="21" t="s">
        <v>72</v>
      </c>
      <c r="U6" s="10"/>
    </row>
    <row r="7" spans="1:22" ht="12.75" x14ac:dyDescent="0.15">
      <c r="A7" s="58"/>
      <c r="B7" s="4" t="s">
        <v>44</v>
      </c>
      <c r="C7" s="48">
        <f t="shared" si="14"/>
        <v>8250000000000000</v>
      </c>
      <c r="D7" s="3">
        <v>3.5</v>
      </c>
      <c r="E7" s="31">
        <v>65.559488033273581</v>
      </c>
      <c r="F7" s="35">
        <f>1000/(0.16+0.01*E7)</f>
        <v>1226.0989176293417</v>
      </c>
      <c r="G7" s="38">
        <f>5.6*1000000*D7*D7</f>
        <v>68600000</v>
      </c>
      <c r="H7" s="44">
        <f>0.2366*EXP(-0.35*G7/100000000)</f>
        <v>0.18609754124370345</v>
      </c>
      <c r="I7" s="44">
        <f>0.0167*D7</f>
        <v>5.8450000000000002E-2</v>
      </c>
      <c r="J7" s="41">
        <f>-20.79-5030/F7-1.4*(G7/1000000)/F7</f>
        <v>-24.970771980380817</v>
      </c>
      <c r="K7" s="41">
        <f>-20.79-5030/F7-1.4*5.6/F7</f>
        <v>-24.898836511935468</v>
      </c>
      <c r="L7" s="41">
        <f>0.0167*EXP(K7)*(1+EXP(56+K7+0.0167*(-34.1+44620/F7+57.3*5.6/F7)-SQRT(0.0167)*(0.091+4.77*1000000/(F7*F7))))</f>
        <v>5.6453123635412306</v>
      </c>
      <c r="M7" s="41">
        <f>I7*EXP(J7)*(1+EXP(56+J7+I7*(-34.1+44620/F7+57.3*(G7/1000000)/F7)-SQRT(I7)*(0.091+4.77*1000000/(F7*F7))))</f>
        <v>15.659893994752565</v>
      </c>
      <c r="N7" s="1">
        <f>POWER(10,(-0.757-0.0868*E7)+(-14785+131.7*E7)/F7+(3.079-0.049*E7)*(G7/1000000)/F7)</f>
        <v>3.3759680549883299E-12</v>
      </c>
      <c r="O7" s="1">
        <f t="shared" si="12"/>
        <v>9.3648142859583547E-12</v>
      </c>
      <c r="P7" s="38">
        <f>3*3.5*100000000000000*O7*H7*H7*POWER(G7,-1/3)*POWER(F7,-1/2)*POWER(C7,2/3)</f>
        <v>969992205.98872387</v>
      </c>
      <c r="Q7" s="41">
        <f>LOG(O7)</f>
        <v>-11.02850083071621</v>
      </c>
      <c r="R7" s="18">
        <f t="shared" si="11"/>
        <v>32.423464096794021</v>
      </c>
      <c r="S7" s="20">
        <f t="shared" si="13"/>
        <v>848787295.87074924</v>
      </c>
      <c r="T7" s="21" t="s">
        <v>59</v>
      </c>
      <c r="U7" s="10"/>
    </row>
    <row r="8" spans="1:22" ht="12.75" x14ac:dyDescent="0.15">
      <c r="A8" s="58"/>
      <c r="B8" s="4" t="s">
        <v>45</v>
      </c>
      <c r="C8" s="48">
        <f t="shared" si="14"/>
        <v>8250000000000000</v>
      </c>
      <c r="D8" s="3">
        <v>3.5</v>
      </c>
      <c r="E8" s="31">
        <v>66.052253605584283</v>
      </c>
      <c r="F8" s="35">
        <f>1000/(0.16+0.01*E8)</f>
        <v>1218.735569173864</v>
      </c>
      <c r="G8" s="38">
        <f>5.6*1000000*D8*D8</f>
        <v>68600000</v>
      </c>
      <c r="H8" s="44">
        <f>0.2366*EXP(-0.35*G8/100000000)</f>
        <v>0.18609754124370345</v>
      </c>
      <c r="I8" s="44">
        <f>0.0167*D8</f>
        <v>5.8450000000000002E-2</v>
      </c>
      <c r="J8" s="41">
        <f>-20.79-5030/F8-1.4*(G8/1000000)/F8</f>
        <v>-24.99603134072369</v>
      </c>
      <c r="K8" s="41">
        <f>-20.79-5030/F8-1.4*5.6/F8</f>
        <v>-24.923661253043566</v>
      </c>
      <c r="L8" s="41">
        <f>0.0167*EXP(K8)*(1+EXP(56+K8+0.0167*(-34.1+44620/F8+57.3*5.6/F8)-SQRT(0.0167)*(0.091+4.77*1000000/(F8*F8))))</f>
        <v>5.3650441327034812</v>
      </c>
      <c r="M8" s="41">
        <f>I8*EXP(J8)*(1+EXP(56+J8+I8*(-34.1+44620/F8+57.3*(G8/1000000)/F8)-SQRT(I8)*(0.091+4.77*1000000/(F8*F8))))</f>
        <v>14.958360638664983</v>
      </c>
      <c r="N8" s="1">
        <f>POWER(10,(-0.757-0.0868*E8)+(-14785+131.7*E8)/F8+(3.079-0.049*E8)*(G8/1000000)/F8)</f>
        <v>3.2148640645796878E-12</v>
      </c>
      <c r="O8" s="1">
        <f t="shared" si="12"/>
        <v>8.9634110909046535E-12</v>
      </c>
      <c r="P8" s="38">
        <f>3*3.5*100000000000000*O8*H8*H8*POWER(G8,-1/3)*POWER(F8,-1/2)*POWER(C8,2/3)</f>
        <v>931215940.85873532</v>
      </c>
      <c r="Q8" s="41">
        <f>LOG(O8)</f>
        <v>-11.047526684976352</v>
      </c>
      <c r="R8" s="18">
        <f t="shared" si="11"/>
        <v>32.094451058500894</v>
      </c>
      <c r="S8" s="20">
        <f t="shared" si="13"/>
        <v>814856300.32207704</v>
      </c>
      <c r="T8" s="21" t="s">
        <v>59</v>
      </c>
      <c r="U8" s="10"/>
    </row>
    <row r="9" spans="1:22" ht="14.25" x14ac:dyDescent="0.15">
      <c r="A9" s="58"/>
      <c r="B9" s="4" t="s">
        <v>46</v>
      </c>
      <c r="C9" s="48">
        <f t="shared" si="14"/>
        <v>8250000000000000</v>
      </c>
      <c r="D9" s="3">
        <v>3.5</v>
      </c>
      <c r="E9" s="31">
        <v>68.178612528735158</v>
      </c>
      <c r="F9" s="35">
        <f>1000/(0.16+0.01*E9)</f>
        <v>1187.9502048797021</v>
      </c>
      <c r="G9" s="38">
        <f>5.6*1000000*D9*D9</f>
        <v>68600000</v>
      </c>
      <c r="H9" s="44">
        <f>0.2366*EXP(-0.35*G9/100000000)</f>
        <v>0.18609754124370345</v>
      </c>
      <c r="I9" s="44">
        <f>0.0167*D9</f>
        <v>5.8450000000000002E-2</v>
      </c>
      <c r="J9" s="41">
        <f>-20.79-5030/F9-1.4*(G9/1000000)/F9</f>
        <v>-25.105029349667976</v>
      </c>
      <c r="K9" s="41">
        <f>-20.79-5030/F9-1.4*5.6/F9</f>
        <v>-25.030783813417631</v>
      </c>
      <c r="L9" s="41">
        <f>0.0167*EXP(K9)*(1+EXP(56+K9+0.0167*(-34.1+44620/F9+57.3*5.6/F9)-SQRT(0.0167)*(0.091+4.77*1000000/(F9*F9))))</f>
        <v>4.3052262827142389</v>
      </c>
      <c r="M9" s="41">
        <f>I9*EXP(J9)*(1+EXP(56+J9+I9*(-34.1+44620/F9+57.3*(G9/1000000)/F9)-SQRT(I9)*(0.091+4.77*1000000/(F9*F9))))</f>
        <v>12.266276068300428</v>
      </c>
      <c r="N9" s="1">
        <f>POWER(10,(-0.757-0.0868*E9)+(-14785+131.7*E9)/F9+(3.079-0.049*E9)*(G9/1000000)/F9)</f>
        <v>2.6465169877999045E-12</v>
      </c>
      <c r="O9" s="1">
        <f t="shared" si="12"/>
        <v>7.5403488365155553E-12</v>
      </c>
      <c r="P9" s="38">
        <f>3*3.5*100000000000000*O9*H9*H9*POWER(G9,-1/3)*POWER(F9,-1/2)*POWER(C9,2/3)</f>
        <v>793458376.76186919</v>
      </c>
      <c r="Q9" s="41">
        <f>LOG(O9)</f>
        <v>-11.122608562052058</v>
      </c>
      <c r="R9" s="18">
        <f t="shared" si="11"/>
        <v>30.835314965778828</v>
      </c>
      <c r="S9" s="20">
        <f t="shared" si="13"/>
        <v>694312166.46861422</v>
      </c>
      <c r="T9" s="21" t="s">
        <v>59</v>
      </c>
      <c r="U9" s="10"/>
    </row>
    <row r="10" spans="1:22" ht="12.75" x14ac:dyDescent="0.15">
      <c r="A10" s="58"/>
      <c r="B10" s="5" t="s">
        <v>83</v>
      </c>
      <c r="C10" s="48">
        <f t="shared" si="14"/>
        <v>8250000000000000</v>
      </c>
      <c r="D10" s="3">
        <v>3.5</v>
      </c>
      <c r="E10" s="32">
        <v>67.41</v>
      </c>
      <c r="F10" s="35">
        <f t="shared" si="0"/>
        <v>1198.8970147464331</v>
      </c>
      <c r="G10" s="38">
        <f t="shared" si="1"/>
        <v>68600000</v>
      </c>
      <c r="H10" s="44">
        <f t="shared" si="2"/>
        <v>0.18609754124370345</v>
      </c>
      <c r="I10" s="44">
        <f t="shared" si="3"/>
        <v>5.8450000000000002E-2</v>
      </c>
      <c r="J10" s="41">
        <f t="shared" si="4"/>
        <v>-25.065629963999999</v>
      </c>
      <c r="K10" s="41">
        <f t="shared" si="5"/>
        <v>-24.992062344000001</v>
      </c>
      <c r="L10" s="41">
        <f t="shared" si="6"/>
        <v>4.6619986505651028</v>
      </c>
      <c r="M10" s="41">
        <f t="shared" si="7"/>
        <v>13.179933821490495</v>
      </c>
      <c r="N10" s="1">
        <f t="shared" si="8"/>
        <v>2.8305779793483321E-12</v>
      </c>
      <c r="O10" s="1">
        <f t="shared" si="12"/>
        <v>8.002325448948204E-12</v>
      </c>
      <c r="P10" s="38">
        <f t="shared" si="9"/>
        <v>838218227.1034987</v>
      </c>
      <c r="Q10" s="41">
        <f t="shared" si="10"/>
        <v>-11.0967837901467</v>
      </c>
      <c r="R10" s="18">
        <f t="shared" si="11"/>
        <v>31.261270660808226</v>
      </c>
      <c r="S10" s="20">
        <f t="shared" si="13"/>
        <v>733479071.21330321</v>
      </c>
      <c r="T10" s="21" t="s">
        <v>59</v>
      </c>
      <c r="U10" s="10"/>
    </row>
    <row r="11" spans="1:22" ht="12.75" x14ac:dyDescent="0.15">
      <c r="A11" s="58"/>
      <c r="B11" s="5" t="s">
        <v>84</v>
      </c>
      <c r="C11" s="48">
        <f t="shared" si="14"/>
        <v>8250000000000000</v>
      </c>
      <c r="D11" s="3">
        <v>3.5</v>
      </c>
      <c r="E11" s="32">
        <v>66.790000000000006</v>
      </c>
      <c r="F11" s="35">
        <f t="shared" si="0"/>
        <v>1207.8753472641622</v>
      </c>
      <c r="G11" s="38">
        <f t="shared" si="1"/>
        <v>68600000</v>
      </c>
      <c r="H11" s="44">
        <f t="shared" si="2"/>
        <v>0.18609754124370345</v>
      </c>
      <c r="I11" s="44">
        <f t="shared" si="3"/>
        <v>5.8450000000000002E-2</v>
      </c>
      <c r="J11" s="41">
        <f t="shared" si="4"/>
        <v>-25.033848515999999</v>
      </c>
      <c r="K11" s="41">
        <f t="shared" si="5"/>
        <v>-24.960827735999999</v>
      </c>
      <c r="L11" s="41">
        <f t="shared" si="6"/>
        <v>4.9709557484630293</v>
      </c>
      <c r="M11" s="41">
        <f t="shared" si="7"/>
        <v>13.964903442198413</v>
      </c>
      <c r="N11" s="1">
        <f t="shared" si="8"/>
        <v>2.9959497552498595E-12</v>
      </c>
      <c r="O11" s="1">
        <f t="shared" si="12"/>
        <v>8.4165201154080268E-12</v>
      </c>
      <c r="P11" s="38">
        <f t="shared" si="9"/>
        <v>878321142.36051965</v>
      </c>
      <c r="Q11" s="41">
        <f t="shared" si="10"/>
        <v>-11.074867434279682</v>
      </c>
      <c r="R11" s="18">
        <f t="shared" si="11"/>
        <v>31.628652208888578</v>
      </c>
      <c r="S11" s="20">
        <f t="shared" si="13"/>
        <v>768570945.95970333</v>
      </c>
      <c r="T11" s="21" t="s">
        <v>59</v>
      </c>
      <c r="U11" s="10"/>
      <c r="V11" s="10"/>
    </row>
    <row r="12" spans="1:22" ht="12.75" x14ac:dyDescent="0.15">
      <c r="A12" s="56" t="s">
        <v>49</v>
      </c>
      <c r="B12" s="29" t="s">
        <v>86</v>
      </c>
      <c r="C12" s="48">
        <f>2.83*1000000000000000</f>
        <v>2830000000000000</v>
      </c>
      <c r="D12" s="3">
        <v>3.5</v>
      </c>
      <c r="E12" s="31">
        <v>71.525000000000006</v>
      </c>
      <c r="F12" s="35">
        <f t="shared" ref="F12:F24" si="15">1000/(0.16+0.01*E12)</f>
        <v>1142.5307055127105</v>
      </c>
      <c r="G12" s="38">
        <f t="shared" ref="G12:G24" si="16">5.6*1000000*D12*D12</f>
        <v>68600000</v>
      </c>
      <c r="H12" s="44">
        <f t="shared" ref="H12:H24" si="17">0.2366*EXP(-0.35*G12/100000000)</f>
        <v>0.18609754124370345</v>
      </c>
      <c r="I12" s="44">
        <f t="shared" ref="I12:I24" si="18">0.0167*D12</f>
        <v>5.8450000000000002E-2</v>
      </c>
      <c r="J12" s="41">
        <f t="shared" ref="J12:J24" si="19">-20.79-5030/F12-1.4*(G12/1000000)/F12</f>
        <v>-25.276566509999999</v>
      </c>
      <c r="K12" s="41">
        <f t="shared" ref="K12:K24" si="20">-20.79-5030/F12-1.4*5.6/F12</f>
        <v>-25.199369459999996</v>
      </c>
      <c r="L12" s="41">
        <f t="shared" ref="L12:L24" si="21">0.0167*EXP(K12)*(1+EXP(56+K12+0.0167*(-34.1+44620/F12+57.3*5.6/F12)-SQRT(0.0167)*(0.091+4.77*1000000/(F12*F12))))</f>
        <v>3.0415121119470414</v>
      </c>
      <c r="M12" s="41">
        <f t="shared" ref="M12:M24" si="22">I12*EXP(J12)*(1+EXP(56+J12+I12*(-34.1+44620/F12+57.3*(G12/1000000)/F12)-SQRT(I12)*(0.091+4.77*1000000/(F12*F12))))</f>
        <v>8.957406014885505</v>
      </c>
      <c r="N12" s="1">
        <f t="shared" ref="N12:N24" si="23">POWER(10,(-0.757-0.0868*E12)+(-14785+131.7*E12)/F12+(3.079-0.049*E12)*(G12/1000000)/F12)</f>
        <v>2.0569060416704582E-12</v>
      </c>
      <c r="O12" s="1">
        <f t="shared" si="12"/>
        <v>6.0576916584819124E-12</v>
      </c>
      <c r="P12" s="38">
        <f t="shared" ref="P12:P24" si="24">3*3.5*100000000000000*O12*H12*H12*POWER(G12,-1/3)*POWER(F12,-1/2)*POWER(C12,2/3)</f>
        <v>318512668.94599944</v>
      </c>
      <c r="Q12" s="41">
        <f t="shared" ref="Q12:Q24" si="25">LOG(O12)</f>
        <v>-11.217692836389078</v>
      </c>
      <c r="R12" s="18">
        <f t="shared" ref="R12:R17" si="26">SQRT(SQRT(P12*$R$19*$R$19*$R$19*$R$19/$P$19))</f>
        <v>24.544208372266212</v>
      </c>
      <c r="S12" s="20">
        <f t="shared" si="13"/>
        <v>278713071.41038293</v>
      </c>
      <c r="T12" s="21" t="s">
        <v>63</v>
      </c>
      <c r="U12" s="10"/>
    </row>
    <row r="13" spans="1:22" s="9" customFormat="1" ht="12.75" x14ac:dyDescent="0.15">
      <c r="A13" s="58"/>
      <c r="B13" s="2" t="s">
        <v>21</v>
      </c>
      <c r="C13" s="48">
        <f>2.45*1000000000000000</f>
        <v>2450000000000000</v>
      </c>
      <c r="D13" s="3">
        <v>3.5</v>
      </c>
      <c r="E13" s="31">
        <v>72.067013859516351</v>
      </c>
      <c r="F13" s="35">
        <f t="shared" si="15"/>
        <v>1135.4989299344138</v>
      </c>
      <c r="G13" s="38">
        <f t="shared" si="16"/>
        <v>68600000</v>
      </c>
      <c r="H13" s="44">
        <f t="shared" si="17"/>
        <v>0.18609754124370345</v>
      </c>
      <c r="I13" s="44">
        <f t="shared" si="18"/>
        <v>5.8450000000000002E-2</v>
      </c>
      <c r="J13" s="41">
        <f t="shared" si="19"/>
        <v>-25.304350357244349</v>
      </c>
      <c r="K13" s="41">
        <f t="shared" si="20"/>
        <v>-25.226675251020257</v>
      </c>
      <c r="L13" s="41">
        <f t="shared" si="21"/>
        <v>2.8746888041390513</v>
      </c>
      <c r="M13" s="41">
        <f t="shared" si="22"/>
        <v>8.5106530427205289</v>
      </c>
      <c r="N13" s="1">
        <f t="shared" si="23"/>
        <v>1.98696409564114E-12</v>
      </c>
      <c r="O13" s="1">
        <f t="shared" si="12"/>
        <v>5.8825017866270379E-12</v>
      </c>
      <c r="P13" s="38">
        <f t="shared" si="24"/>
        <v>281822258.01012266</v>
      </c>
      <c r="Q13" s="41">
        <f t="shared" si="25"/>
        <v>-11.230437932248474</v>
      </c>
      <c r="R13" s="18">
        <f t="shared" si="26"/>
        <v>23.804615667384795</v>
      </c>
      <c r="S13" s="20">
        <f t="shared" si="13"/>
        <v>246607293.14703524</v>
      </c>
      <c r="T13" s="21" t="s">
        <v>61</v>
      </c>
      <c r="U13" s="10"/>
    </row>
    <row r="14" spans="1:22" ht="12.75" x14ac:dyDescent="0.15">
      <c r="A14" s="58"/>
      <c r="B14" s="4" t="s">
        <v>40</v>
      </c>
      <c r="C14" s="48">
        <f t="shared" ref="C14:C17" si="27">2.45*1000000000000000</f>
        <v>2450000000000000</v>
      </c>
      <c r="D14" s="3">
        <v>3.5</v>
      </c>
      <c r="E14" s="31">
        <v>69.11978232195861</v>
      </c>
      <c r="F14" s="35">
        <f t="shared" si="15"/>
        <v>1174.8150344388591</v>
      </c>
      <c r="G14" s="38">
        <f t="shared" si="16"/>
        <v>68600000</v>
      </c>
      <c r="H14" s="44">
        <f t="shared" si="17"/>
        <v>0.18609754124370345</v>
      </c>
      <c r="I14" s="44">
        <f t="shared" si="18"/>
        <v>5.8450000000000002E-2</v>
      </c>
      <c r="J14" s="41">
        <f t="shared" si="19"/>
        <v>-25.153274089736527</v>
      </c>
      <c r="K14" s="41">
        <f t="shared" si="20"/>
        <v>-25.078198441728556</v>
      </c>
      <c r="L14" s="41">
        <f t="shared" si="21"/>
        <v>3.9049387488338367</v>
      </c>
      <c r="M14" s="41">
        <f t="shared" si="22"/>
        <v>11.231221242903894</v>
      </c>
      <c r="N14" s="1">
        <f t="shared" si="23"/>
        <v>2.4489720383405922E-12</v>
      </c>
      <c r="O14" s="1">
        <f t="shared" si="12"/>
        <v>7.0436307838381667E-12</v>
      </c>
      <c r="P14" s="38">
        <f t="shared" si="24"/>
        <v>331755721.98458683</v>
      </c>
      <c r="Q14" s="41">
        <f t="shared" si="25"/>
        <v>-11.152203417148861</v>
      </c>
      <c r="R14" s="18">
        <f t="shared" si="26"/>
        <v>24.795447861365805</v>
      </c>
      <c r="S14" s="20">
        <f t="shared" si="13"/>
        <v>290301345.11845654</v>
      </c>
      <c r="T14" s="21" t="s">
        <v>61</v>
      </c>
      <c r="U14" s="10"/>
    </row>
    <row r="15" spans="1:22" ht="12.75" x14ac:dyDescent="0.15">
      <c r="A15" s="58"/>
      <c r="B15" s="4" t="s">
        <v>41</v>
      </c>
      <c r="C15" s="48">
        <f t="shared" si="27"/>
        <v>2450000000000000</v>
      </c>
      <c r="D15" s="3">
        <v>3.5</v>
      </c>
      <c r="E15" s="31">
        <v>72.067013859516351</v>
      </c>
      <c r="F15" s="35">
        <f t="shared" si="15"/>
        <v>1135.4989299344138</v>
      </c>
      <c r="G15" s="38">
        <f t="shared" si="16"/>
        <v>68600000</v>
      </c>
      <c r="H15" s="44">
        <f t="shared" si="17"/>
        <v>0.18609754124370345</v>
      </c>
      <c r="I15" s="44">
        <f t="shared" si="18"/>
        <v>5.8450000000000002E-2</v>
      </c>
      <c r="J15" s="41">
        <f t="shared" si="19"/>
        <v>-25.304350357244349</v>
      </c>
      <c r="K15" s="41">
        <f t="shared" si="20"/>
        <v>-25.226675251020257</v>
      </c>
      <c r="L15" s="41">
        <f t="shared" si="21"/>
        <v>2.8746888041390513</v>
      </c>
      <c r="M15" s="41">
        <f t="shared" si="22"/>
        <v>8.5106530427205289</v>
      </c>
      <c r="N15" s="1">
        <f t="shared" si="23"/>
        <v>1.98696409564114E-12</v>
      </c>
      <c r="O15" s="1">
        <f t="shared" si="12"/>
        <v>5.8825017866270379E-12</v>
      </c>
      <c r="P15" s="38">
        <f t="shared" si="24"/>
        <v>281822258.01012266</v>
      </c>
      <c r="Q15" s="41">
        <f t="shared" si="25"/>
        <v>-11.230437932248474</v>
      </c>
      <c r="R15" s="18">
        <f t="shared" si="26"/>
        <v>23.804615667384795</v>
      </c>
      <c r="S15" s="20">
        <f t="shared" si="13"/>
        <v>246607293.14703524</v>
      </c>
      <c r="T15" s="21" t="s">
        <v>62</v>
      </c>
      <c r="U15" s="10"/>
    </row>
    <row r="16" spans="1:22" ht="12.75" x14ac:dyDescent="0.15">
      <c r="A16" s="58"/>
      <c r="B16" s="4" t="s">
        <v>42</v>
      </c>
      <c r="C16" s="48">
        <f t="shared" si="27"/>
        <v>2450000000000000</v>
      </c>
      <c r="D16" s="3">
        <v>3.5</v>
      </c>
      <c r="E16" s="31">
        <v>70.957759887014262</v>
      </c>
      <c r="F16" s="35">
        <f t="shared" si="15"/>
        <v>1149.9836257273848</v>
      </c>
      <c r="G16" s="38">
        <f t="shared" si="16"/>
        <v>68600000</v>
      </c>
      <c r="H16" s="44">
        <f t="shared" si="17"/>
        <v>0.18609754124370345</v>
      </c>
      <c r="I16" s="44">
        <f t="shared" si="18"/>
        <v>5.8450000000000002E-2</v>
      </c>
      <c r="J16" s="41">
        <f t="shared" si="19"/>
        <v>-25.247489554912303</v>
      </c>
      <c r="K16" s="41">
        <f t="shared" si="20"/>
        <v>-25.170792810691957</v>
      </c>
      <c r="L16" s="41">
        <f t="shared" si="21"/>
        <v>3.2263511281129564</v>
      </c>
      <c r="M16" s="41">
        <f t="shared" si="22"/>
        <v>9.4494003353863452</v>
      </c>
      <c r="N16" s="1">
        <f t="shared" si="23"/>
        <v>2.1367104530935331E-12</v>
      </c>
      <c r="O16" s="1">
        <f t="shared" si="12"/>
        <v>6.2580393981775728E-12</v>
      </c>
      <c r="P16" s="38">
        <f t="shared" si="24"/>
        <v>297919583.25001037</v>
      </c>
      <c r="Q16" s="41">
        <f t="shared" si="25"/>
        <v>-11.203561707032385</v>
      </c>
      <c r="R16" s="18">
        <f t="shared" si="26"/>
        <v>24.137490421286195</v>
      </c>
      <c r="S16" s="20">
        <f t="shared" si="13"/>
        <v>260693184.84467953</v>
      </c>
      <c r="T16" s="21" t="s">
        <v>62</v>
      </c>
      <c r="U16" s="10"/>
    </row>
    <row r="17" spans="1:22" ht="12.75" x14ac:dyDescent="0.15">
      <c r="A17" s="58"/>
      <c r="B17" s="4" t="s">
        <v>43</v>
      </c>
      <c r="C17" s="48">
        <f t="shared" si="27"/>
        <v>2450000000000000</v>
      </c>
      <c r="D17" s="3">
        <v>3.5</v>
      </c>
      <c r="E17" s="31">
        <v>72.705231782384189</v>
      </c>
      <c r="F17" s="35">
        <f t="shared" si="15"/>
        <v>1127.3292227602162</v>
      </c>
      <c r="G17" s="38">
        <f t="shared" si="16"/>
        <v>68600000</v>
      </c>
      <c r="H17" s="44">
        <f t="shared" si="17"/>
        <v>0.18609754124370345</v>
      </c>
      <c r="I17" s="44">
        <f t="shared" si="18"/>
        <v>5.8450000000000002E-2</v>
      </c>
      <c r="J17" s="41">
        <f t="shared" si="19"/>
        <v>-25.337065663257725</v>
      </c>
      <c r="K17" s="41">
        <f t="shared" si="20"/>
        <v>-25.258827648825662</v>
      </c>
      <c r="L17" s="41">
        <f t="shared" si="21"/>
        <v>2.6898223133318417</v>
      </c>
      <c r="M17" s="41">
        <f t="shared" si="22"/>
        <v>8.0123882744944765</v>
      </c>
      <c r="N17" s="1">
        <f t="shared" si="23"/>
        <v>1.9119016430719101E-12</v>
      </c>
      <c r="O17" s="1">
        <f t="shared" si="12"/>
        <v>5.6951339242779982E-12</v>
      </c>
      <c r="P17" s="38">
        <f t="shared" si="24"/>
        <v>273832597.38028985</v>
      </c>
      <c r="Q17" s="41">
        <f t="shared" si="25"/>
        <v>-11.244496058785748</v>
      </c>
      <c r="R17" s="18">
        <f t="shared" si="26"/>
        <v>23.634076555266692</v>
      </c>
      <c r="S17" s="20">
        <f t="shared" si="13"/>
        <v>239615976.72299421</v>
      </c>
      <c r="T17" s="21" t="s">
        <v>61</v>
      </c>
      <c r="U17" s="10"/>
    </row>
    <row r="18" spans="1:22" ht="12.75" x14ac:dyDescent="0.15">
      <c r="A18" s="58"/>
      <c r="B18" s="6" t="s">
        <v>15</v>
      </c>
      <c r="C18" s="48">
        <f>2.83*1000000000000000</f>
        <v>2830000000000000</v>
      </c>
      <c r="D18" s="3">
        <v>3.5</v>
      </c>
      <c r="E18" s="31">
        <v>72.114999999999995</v>
      </c>
      <c r="F18" s="35">
        <f t="shared" si="15"/>
        <v>1134.8805538217102</v>
      </c>
      <c r="G18" s="38">
        <f t="shared" si="16"/>
        <v>68600000</v>
      </c>
      <c r="H18" s="44">
        <f t="shared" si="17"/>
        <v>0.18609754124370345</v>
      </c>
      <c r="I18" s="44">
        <f t="shared" si="18"/>
        <v>5.8450000000000002E-2</v>
      </c>
      <c r="J18" s="41">
        <f t="shared" si="19"/>
        <v>-25.306810145999997</v>
      </c>
      <c r="K18" s="41">
        <f t="shared" si="20"/>
        <v>-25.229092715999997</v>
      </c>
      <c r="L18" s="41">
        <f t="shared" si="21"/>
        <v>2.8603628830061671</v>
      </c>
      <c r="M18" s="41">
        <f t="shared" si="22"/>
        <v>8.4721633139832235</v>
      </c>
      <c r="N18" s="1">
        <f t="shared" si="23"/>
        <v>1.9810534603541371E-12</v>
      </c>
      <c r="O18" s="1">
        <f t="shared" si="12"/>
        <v>5.8677199839107453E-12</v>
      </c>
      <c r="P18" s="38">
        <f t="shared" si="24"/>
        <v>309562105.00476468</v>
      </c>
      <c r="Q18" s="41">
        <f t="shared" si="25"/>
        <v>-11.23153061949543</v>
      </c>
      <c r="R18" s="18">
        <f>SQRT(SQRT(P18*$R$19*$R$19*$R$19*$R$19/$P$19))</f>
        <v>24.369930985830138</v>
      </c>
      <c r="S18" s="20">
        <f t="shared" si="13"/>
        <v>270880920.88660109</v>
      </c>
      <c r="T18" s="21" t="s">
        <v>60</v>
      </c>
      <c r="U18" s="10"/>
    </row>
    <row r="19" spans="1:22" ht="12.75" x14ac:dyDescent="0.15">
      <c r="A19" s="58"/>
      <c r="B19" s="5" t="s">
        <v>76</v>
      </c>
      <c r="C19" s="48">
        <f>2.83*1000000000000000</f>
        <v>2830000000000000</v>
      </c>
      <c r="D19" s="3">
        <v>3.5</v>
      </c>
      <c r="E19" s="32">
        <v>70.16</v>
      </c>
      <c r="F19" s="35">
        <f t="shared" si="15"/>
        <v>1160.6313834726091</v>
      </c>
      <c r="G19" s="38">
        <f t="shared" si="16"/>
        <v>68600000</v>
      </c>
      <c r="H19" s="44">
        <f t="shared" si="17"/>
        <v>0.18609754124370345</v>
      </c>
      <c r="I19" s="44">
        <f t="shared" si="18"/>
        <v>5.8450000000000002E-2</v>
      </c>
      <c r="J19" s="41">
        <f t="shared" si="19"/>
        <v>-25.206596063999999</v>
      </c>
      <c r="K19" s="41">
        <f t="shared" si="20"/>
        <v>-25.130602944</v>
      </c>
      <c r="L19" s="41">
        <f t="shared" si="21"/>
        <v>3.5052344696592876</v>
      </c>
      <c r="M19" s="41">
        <f t="shared" si="22"/>
        <v>10.186121336820918</v>
      </c>
      <c r="N19" s="1">
        <f t="shared" si="23"/>
        <v>2.2614788178579969E-12</v>
      </c>
      <c r="O19" s="1">
        <f t="shared" si="12"/>
        <v>6.5717993585721474E-12</v>
      </c>
      <c r="P19" s="38">
        <f t="shared" si="24"/>
        <v>342839322.89312845</v>
      </c>
      <c r="Q19" s="41">
        <f t="shared" si="25"/>
        <v>-11.182315704335442</v>
      </c>
      <c r="R19" s="50">
        <v>25</v>
      </c>
      <c r="S19" s="51">
        <v>300000000</v>
      </c>
      <c r="T19" s="21" t="s">
        <v>63</v>
      </c>
      <c r="U19" s="10"/>
    </row>
    <row r="20" spans="1:22" ht="12.75" x14ac:dyDescent="0.15">
      <c r="A20" s="58"/>
      <c r="B20" s="5" t="s">
        <v>77</v>
      </c>
      <c r="C20" s="48">
        <f t="shared" ref="C20:C23" si="28">2.83*1000000000000000</f>
        <v>2830000000000000</v>
      </c>
      <c r="D20" s="3">
        <v>3.5</v>
      </c>
      <c r="E20" s="32">
        <v>71.63</v>
      </c>
      <c r="F20" s="35">
        <f t="shared" si="15"/>
        <v>1141.1617026132603</v>
      </c>
      <c r="G20" s="38">
        <f t="shared" si="16"/>
        <v>68600000</v>
      </c>
      <c r="H20" s="44">
        <f t="shared" si="17"/>
        <v>0.18609754124370345</v>
      </c>
      <c r="I20" s="44">
        <f t="shared" si="18"/>
        <v>5.8450000000000002E-2</v>
      </c>
      <c r="J20" s="41">
        <f t="shared" si="19"/>
        <v>-25.281948851999999</v>
      </c>
      <c r="K20" s="41">
        <f t="shared" si="20"/>
        <v>-25.204659192000001</v>
      </c>
      <c r="L20" s="41">
        <f t="shared" si="21"/>
        <v>3.0084641417695965</v>
      </c>
      <c r="M20" s="41">
        <f t="shared" si="22"/>
        <v>8.8691127701072627</v>
      </c>
      <c r="N20" s="1">
        <f t="shared" si="23"/>
        <v>2.0428900847307468E-12</v>
      </c>
      <c r="O20" s="1">
        <f t="shared" si="12"/>
        <v>6.0225489434464364E-12</v>
      </c>
      <c r="P20" s="38">
        <f t="shared" si="24"/>
        <v>316854757.10825807</v>
      </c>
      <c r="Q20" s="41">
        <f t="shared" si="25"/>
        <v>-11.220219661934461</v>
      </c>
      <c r="R20" s="18">
        <f>SQRT(SQRT(P20*$R$19*$R$19*$R$19*$R$19/$P$19))</f>
        <v>24.51220665919563</v>
      </c>
      <c r="S20" s="20">
        <f>P20*$S$19/$P$19</f>
        <v>277262323.14987063</v>
      </c>
      <c r="T20" s="21" t="s">
        <v>63</v>
      </c>
      <c r="U20" s="10"/>
    </row>
    <row r="21" spans="1:22" s="9" customFormat="1" ht="12.75" x14ac:dyDescent="0.15">
      <c r="A21" s="58"/>
      <c r="B21" s="5" t="s">
        <v>78</v>
      </c>
      <c r="C21" s="48">
        <f t="shared" si="28"/>
        <v>2830000000000000</v>
      </c>
      <c r="D21" s="3">
        <v>3.5</v>
      </c>
      <c r="E21" s="32">
        <v>71.75</v>
      </c>
      <c r="F21" s="35">
        <f t="shared" si="15"/>
        <v>1139.6011396011395</v>
      </c>
      <c r="G21" s="38">
        <f t="shared" si="16"/>
        <v>68600000</v>
      </c>
      <c r="H21" s="44">
        <f t="shared" si="17"/>
        <v>0.18609754124370345</v>
      </c>
      <c r="I21" s="44">
        <f t="shared" si="18"/>
        <v>5.8450000000000002E-2</v>
      </c>
      <c r="J21" s="41">
        <f t="shared" si="19"/>
        <v>-25.288100099999998</v>
      </c>
      <c r="K21" s="41">
        <f t="shared" si="20"/>
        <v>-25.2107046</v>
      </c>
      <c r="L21" s="41">
        <f t="shared" si="21"/>
        <v>2.9711295587224482</v>
      </c>
      <c r="M21" s="41">
        <f t="shared" si="22"/>
        <v>8.7692440812615562</v>
      </c>
      <c r="N21" s="1">
        <f t="shared" si="23"/>
        <v>2.027150491978255E-12</v>
      </c>
      <c r="O21" s="1">
        <f t="shared" si="12"/>
        <v>5.9831041030908429E-12</v>
      </c>
      <c r="P21" s="38">
        <f t="shared" si="24"/>
        <v>314994963.52316195</v>
      </c>
      <c r="Q21" s="41">
        <f t="shared" si="25"/>
        <v>-11.223073440580221</v>
      </c>
      <c r="R21" s="18">
        <f t="shared" ref="R21:R47" si="29">SQRT(SQRT(P21*$R$19*$R$19*$R$19*$R$19/$P$19))</f>
        <v>24.476158335261339</v>
      </c>
      <c r="S21" s="20">
        <f t="shared" ref="S21:S47" si="30">P21*$S$19/$P$19</f>
        <v>275634919.17876095</v>
      </c>
      <c r="T21" s="21" t="s">
        <v>60</v>
      </c>
      <c r="U21" s="10"/>
    </row>
    <row r="22" spans="1:22" ht="12.75" x14ac:dyDescent="0.15">
      <c r="A22" s="58"/>
      <c r="B22" s="5" t="s">
        <v>79</v>
      </c>
      <c r="C22" s="48">
        <f t="shared" si="28"/>
        <v>2830000000000000</v>
      </c>
      <c r="D22" s="3">
        <v>3.5</v>
      </c>
      <c r="E22" s="32">
        <v>71.16</v>
      </c>
      <c r="F22" s="35">
        <f t="shared" si="15"/>
        <v>1147.3152822395593</v>
      </c>
      <c r="G22" s="38">
        <f t="shared" si="16"/>
        <v>68600000</v>
      </c>
      <c r="H22" s="44">
        <f t="shared" si="17"/>
        <v>0.18609754124370345</v>
      </c>
      <c r="I22" s="44">
        <f t="shared" si="18"/>
        <v>5.8450000000000002E-2</v>
      </c>
      <c r="J22" s="41">
        <f t="shared" si="19"/>
        <v>-25.257856464</v>
      </c>
      <c r="K22" s="41">
        <f t="shared" si="20"/>
        <v>-25.180981343999999</v>
      </c>
      <c r="L22" s="41">
        <f t="shared" si="21"/>
        <v>3.1592098604004955</v>
      </c>
      <c r="M22" s="41">
        <f t="shared" si="22"/>
        <v>9.2710415723305761</v>
      </c>
      <c r="N22" s="1">
        <f t="shared" si="23"/>
        <v>2.1074486615293192E-12</v>
      </c>
      <c r="O22" s="1">
        <f t="shared" si="12"/>
        <v>6.1845350628634298E-12</v>
      </c>
      <c r="P22" s="38">
        <f t="shared" si="24"/>
        <v>324503327.70728463</v>
      </c>
      <c r="Q22" s="41">
        <f t="shared" si="25"/>
        <v>-11.208692943928563</v>
      </c>
      <c r="R22" s="18">
        <f t="shared" si="29"/>
        <v>24.65881146880281</v>
      </c>
      <c r="S22" s="20">
        <f t="shared" si="30"/>
        <v>283955170.28404623</v>
      </c>
      <c r="T22" s="21" t="s">
        <v>60</v>
      </c>
      <c r="U22" s="10"/>
    </row>
    <row r="23" spans="1:22" ht="12.75" x14ac:dyDescent="0.15">
      <c r="A23" s="58"/>
      <c r="B23" s="5" t="s">
        <v>80</v>
      </c>
      <c r="C23" s="48">
        <f t="shared" si="28"/>
        <v>2830000000000000</v>
      </c>
      <c r="D23" s="3">
        <v>3.5</v>
      </c>
      <c r="E23" s="32">
        <v>72.16</v>
      </c>
      <c r="F23" s="35">
        <f t="shared" si="15"/>
        <v>1134.3012704174228</v>
      </c>
      <c r="G23" s="38">
        <f t="shared" si="16"/>
        <v>68600000</v>
      </c>
      <c r="H23" s="44">
        <f t="shared" si="17"/>
        <v>0.18609754124370345</v>
      </c>
      <c r="I23" s="44">
        <f t="shared" si="18"/>
        <v>5.8450000000000002E-2</v>
      </c>
      <c r="J23" s="41">
        <f t="shared" si="19"/>
        <v>-25.309116864</v>
      </c>
      <c r="K23" s="41">
        <f t="shared" si="20"/>
        <v>-25.231359743999999</v>
      </c>
      <c r="L23" s="41">
        <f t="shared" si="21"/>
        <v>2.8469925922020889</v>
      </c>
      <c r="M23" s="41">
        <f t="shared" si="22"/>
        <v>8.4362228750492942</v>
      </c>
      <c r="N23" s="1">
        <f t="shared" si="23"/>
        <v>1.9755510436434795E-12</v>
      </c>
      <c r="O23" s="1">
        <f t="shared" si="12"/>
        <v>5.8539628627279568E-12</v>
      </c>
      <c r="P23" s="38">
        <f t="shared" si="24"/>
        <v>308915174.08180255</v>
      </c>
      <c r="Q23" s="41">
        <f t="shared" si="25"/>
        <v>-11.232550037037772</v>
      </c>
      <c r="R23" s="18">
        <f t="shared" si="29"/>
        <v>24.357188766997233</v>
      </c>
      <c r="S23" s="20">
        <f t="shared" si="30"/>
        <v>270314826.90633398</v>
      </c>
      <c r="T23" s="21" t="s">
        <v>60</v>
      </c>
      <c r="U23" s="10"/>
      <c r="V23" s="10"/>
    </row>
    <row r="24" spans="1:22" ht="12.75" x14ac:dyDescent="0.15">
      <c r="A24" s="56" t="s">
        <v>50</v>
      </c>
      <c r="B24" s="2" t="s">
        <v>22</v>
      </c>
      <c r="C24" s="48">
        <f>6.81*100000000000000</f>
        <v>681000000000000</v>
      </c>
      <c r="D24" s="3">
        <v>3.5</v>
      </c>
      <c r="E24" s="31">
        <v>63.163719022029937</v>
      </c>
      <c r="F24" s="35">
        <f t="shared" si="15"/>
        <v>1263.2049281587147</v>
      </c>
      <c r="G24" s="38">
        <f t="shared" si="16"/>
        <v>68600000</v>
      </c>
      <c r="H24" s="44">
        <f t="shared" si="17"/>
        <v>0.18609754124370345</v>
      </c>
      <c r="I24" s="44">
        <f t="shared" si="18"/>
        <v>5.8450000000000002E-2</v>
      </c>
      <c r="J24" s="41">
        <f t="shared" si="19"/>
        <v>-24.847963902556863</v>
      </c>
      <c r="K24" s="41">
        <f t="shared" si="20"/>
        <v>-24.77814150237943</v>
      </c>
      <c r="L24" s="41">
        <f t="shared" si="21"/>
        <v>7.2280594342205697</v>
      </c>
      <c r="M24" s="41">
        <f t="shared" si="22"/>
        <v>19.553168486370257</v>
      </c>
      <c r="N24" s="1">
        <f t="shared" si="23"/>
        <v>4.3704411144570656E-12</v>
      </c>
      <c r="O24" s="1">
        <f t="shared" si="12"/>
        <v>1.1822809738690792E-11</v>
      </c>
      <c r="P24" s="38">
        <f t="shared" si="24"/>
        <v>228723646.95374823</v>
      </c>
      <c r="Q24" s="41">
        <f t="shared" si="25"/>
        <v>-10.927279299343228</v>
      </c>
      <c r="R24" s="18">
        <f t="shared" si="29"/>
        <v>22.594103730219658</v>
      </c>
      <c r="S24" s="20">
        <f t="shared" si="30"/>
        <v>200143593.52679658</v>
      </c>
      <c r="T24" s="21" t="s">
        <v>64</v>
      </c>
      <c r="U24" s="10"/>
    </row>
    <row r="25" spans="1:22" ht="12.75" x14ac:dyDescent="0.15">
      <c r="A25" s="58"/>
      <c r="B25" s="4" t="s">
        <v>30</v>
      </c>
      <c r="C25" s="48">
        <f t="shared" ref="C25:C31" si="31">6.81*100000000000000</f>
        <v>681000000000000</v>
      </c>
      <c r="D25" s="3">
        <v>3.5</v>
      </c>
      <c r="E25" s="31">
        <v>63.288313041642091</v>
      </c>
      <c r="F25" s="35">
        <f t="shared" ref="F25:F31" si="32">1000/(0.16+0.01*E25)</f>
        <v>1261.2199221274914</v>
      </c>
      <c r="G25" s="38">
        <f t="shared" ref="G25:G31" si="33">5.6*1000000*D25*D25</f>
        <v>68600000</v>
      </c>
      <c r="H25" s="44">
        <f t="shared" ref="H25:H31" si="34">0.2366*EXP(-0.35*G25/100000000)</f>
        <v>0.18609754124370345</v>
      </c>
      <c r="I25" s="44">
        <f t="shared" ref="I25:I31" si="35">0.0167*D25</f>
        <v>5.8450000000000002E-2</v>
      </c>
      <c r="J25" s="41">
        <f t="shared" ref="J25:J31" si="36">-20.79-5030/F25-1.4*(G25/1000000)/F25</f>
        <v>-24.85435064183979</v>
      </c>
      <c r="K25" s="41">
        <f t="shared" ref="K25:K31" si="37">-20.79-5030/F25-1.4*5.6/F25</f>
        <v>-24.784418349737063</v>
      </c>
      <c r="L25" s="41">
        <f t="shared" ref="L25:L31" si="38">0.0167*EXP(K25)*(1+EXP(56+K25+0.0167*(-34.1+44620/F25+57.3*5.6/F25)-SQRT(0.0167)*(0.091+4.77*1000000/(F25*F25))))</f>
        <v>7.1358762094920296</v>
      </c>
      <c r="M25" s="41">
        <f t="shared" ref="M25:M31" si="39">I25*EXP(J25)*(1+EXP(56+J25+I25*(-34.1+44620/F25+57.3*(G25/1000000)/F25)-SQRT(I25)*(0.091+4.77*1000000/(F25*F25))))</f>
        <v>19.329315609281974</v>
      </c>
      <c r="N25" s="1">
        <f t="shared" ref="N25:N31" si="40">POWER(10,(-0.757-0.0868*E25)+(-14785+131.7*E25)/F25+(3.079-0.049*E25)*(G25/1000000)/F25)</f>
        <v>4.3085471443274262E-12</v>
      </c>
      <c r="O25" s="1">
        <f t="shared" si="12"/>
        <v>1.1670783674665763E-11</v>
      </c>
      <c r="P25" s="38">
        <f t="shared" ref="P25:P31" si="41">3*3.5*100000000000000*O25*H25*H25*POWER(G25,-1/3)*POWER(F25,-1/2)*POWER(C25,2/3)</f>
        <v>225960163.47204831</v>
      </c>
      <c r="Q25" s="41">
        <f t="shared" ref="Q25:Q31" si="42">LOG(O25)</f>
        <v>-10.932899980787889</v>
      </c>
      <c r="R25" s="18">
        <f t="shared" si="29"/>
        <v>22.525545733147414</v>
      </c>
      <c r="S25" s="20">
        <f t="shared" si="30"/>
        <v>197725419.79598331</v>
      </c>
      <c r="T25" s="21" t="s">
        <v>65</v>
      </c>
      <c r="U25" s="10"/>
    </row>
    <row r="26" spans="1:22" ht="12.75" x14ac:dyDescent="0.15">
      <c r="A26" s="58"/>
      <c r="B26" s="4" t="s">
        <v>31</v>
      </c>
      <c r="C26" s="48">
        <f t="shared" si="31"/>
        <v>681000000000000</v>
      </c>
      <c r="D26" s="3">
        <v>3.5</v>
      </c>
      <c r="E26" s="31">
        <v>63.604041638143201</v>
      </c>
      <c r="F26" s="35">
        <f t="shared" si="32"/>
        <v>1256.2176234037322</v>
      </c>
      <c r="G26" s="38">
        <f t="shared" si="33"/>
        <v>68600000</v>
      </c>
      <c r="H26" s="44">
        <f t="shared" si="34"/>
        <v>0.18609754124370345</v>
      </c>
      <c r="I26" s="44">
        <f t="shared" si="35"/>
        <v>5.8450000000000002E-2</v>
      </c>
      <c r="J26" s="41">
        <f t="shared" si="36"/>
        <v>-24.870535015987876</v>
      </c>
      <c r="K26" s="41">
        <f t="shared" si="37"/>
        <v>-24.800324251263035</v>
      </c>
      <c r="L26" s="41">
        <f t="shared" si="38"/>
        <v>6.9074493357651878</v>
      </c>
      <c r="M26" s="41">
        <f t="shared" si="39"/>
        <v>18.773166580136724</v>
      </c>
      <c r="N26" s="1">
        <f t="shared" si="40"/>
        <v>4.1573083124295386E-12</v>
      </c>
      <c r="O26" s="1">
        <f t="shared" si="12"/>
        <v>1.1298793184066276E-11</v>
      </c>
      <c r="P26" s="38">
        <f t="shared" si="41"/>
        <v>219193105.90432307</v>
      </c>
      <c r="Q26" s="41">
        <f t="shared" si="42"/>
        <v>-10.946967940719215</v>
      </c>
      <c r="R26" s="18">
        <f t="shared" si="29"/>
        <v>22.35496911159775</v>
      </c>
      <c r="S26" s="20">
        <f t="shared" si="30"/>
        <v>191803936.65575901</v>
      </c>
      <c r="T26" s="21" t="s">
        <v>64</v>
      </c>
      <c r="U26" s="10"/>
    </row>
    <row r="27" spans="1:22" ht="12.75" x14ac:dyDescent="0.15">
      <c r="A27" s="58"/>
      <c r="B27" s="4" t="s">
        <v>32</v>
      </c>
      <c r="C27" s="48">
        <f t="shared" si="31"/>
        <v>681000000000000</v>
      </c>
      <c r="D27" s="3">
        <v>3.5</v>
      </c>
      <c r="E27" s="31">
        <v>62.135900274753219</v>
      </c>
      <c r="F27" s="35">
        <f t="shared" si="32"/>
        <v>1279.8214348124861</v>
      </c>
      <c r="G27" s="38">
        <f t="shared" si="33"/>
        <v>68600000</v>
      </c>
      <c r="H27" s="44">
        <f t="shared" si="34"/>
        <v>0.18609754124370345</v>
      </c>
      <c r="I27" s="44">
        <f t="shared" si="35"/>
        <v>5.8450000000000002E-2</v>
      </c>
      <c r="J27" s="41">
        <f t="shared" si="36"/>
        <v>-24.795277502443959</v>
      </c>
      <c r="K27" s="41">
        <f t="shared" si="37"/>
        <v>-24.726361638401627</v>
      </c>
      <c r="L27" s="41">
        <f t="shared" si="38"/>
        <v>8.0348024429056846</v>
      </c>
      <c r="M27" s="41">
        <f t="shared" si="39"/>
        <v>21.498592140365897</v>
      </c>
      <c r="N27" s="1">
        <f t="shared" si="40"/>
        <v>4.9333886507104931E-12</v>
      </c>
      <c r="O27" s="1">
        <f t="shared" si="12"/>
        <v>1.3200188956130618E-11</v>
      </c>
      <c r="P27" s="38">
        <f t="shared" si="41"/>
        <v>253707163.82210901</v>
      </c>
      <c r="Q27" s="41">
        <f t="shared" si="42"/>
        <v>-10.879419851974642</v>
      </c>
      <c r="R27" s="18">
        <f t="shared" si="29"/>
        <v>23.187318851546905</v>
      </c>
      <c r="S27" s="20">
        <f t="shared" si="30"/>
        <v>222005307.04687792</v>
      </c>
      <c r="T27" s="21" t="s">
        <v>73</v>
      </c>
      <c r="U27" s="10"/>
    </row>
    <row r="28" spans="1:22" ht="12.75" x14ac:dyDescent="0.15">
      <c r="A28" s="58"/>
      <c r="B28" s="4" t="s">
        <v>33</v>
      </c>
      <c r="C28" s="48">
        <f t="shared" si="31"/>
        <v>681000000000000</v>
      </c>
      <c r="D28" s="3">
        <v>3.5</v>
      </c>
      <c r="E28" s="31">
        <v>62.834653679612494</v>
      </c>
      <c r="F28" s="35">
        <f t="shared" si="32"/>
        <v>1268.4776977191325</v>
      </c>
      <c r="G28" s="38">
        <f t="shared" si="33"/>
        <v>68600000</v>
      </c>
      <c r="H28" s="44">
        <f t="shared" si="34"/>
        <v>0.18609754124370345</v>
      </c>
      <c r="I28" s="44">
        <f t="shared" si="35"/>
        <v>5.8450000000000002E-2</v>
      </c>
      <c r="J28" s="41">
        <f t="shared" si="36"/>
        <v>-24.831095881478404</v>
      </c>
      <c r="K28" s="41">
        <f t="shared" si="37"/>
        <v>-24.761563716932987</v>
      </c>
      <c r="L28" s="41">
        <f t="shared" si="38"/>
        <v>7.4772222513063742</v>
      </c>
      <c r="M28" s="41">
        <f t="shared" si="39"/>
        <v>20.156583684680172</v>
      </c>
      <c r="N28" s="1">
        <f t="shared" si="40"/>
        <v>4.5402206318613697E-12</v>
      </c>
      <c r="O28" s="1">
        <f t="shared" si="12"/>
        <v>1.2239215852790278E-11</v>
      </c>
      <c r="P28" s="38">
        <f t="shared" si="41"/>
        <v>236286793.25224981</v>
      </c>
      <c r="Q28" s="41">
        <f t="shared" si="42"/>
        <v>-10.912246405860001</v>
      </c>
      <c r="R28" s="18">
        <f t="shared" si="29"/>
        <v>22.778609717768099</v>
      </c>
      <c r="S28" s="20">
        <f t="shared" si="30"/>
        <v>206761690.5128817</v>
      </c>
      <c r="T28" s="21" t="s">
        <v>65</v>
      </c>
      <c r="U28" s="10"/>
    </row>
    <row r="29" spans="1:22" ht="12.75" x14ac:dyDescent="0.15">
      <c r="A29" s="58"/>
      <c r="B29" s="4" t="s">
        <v>34</v>
      </c>
      <c r="C29" s="48">
        <f t="shared" si="31"/>
        <v>681000000000000</v>
      </c>
      <c r="D29" s="3">
        <v>3.5</v>
      </c>
      <c r="E29" s="31">
        <v>63.086623629762521</v>
      </c>
      <c r="F29" s="35">
        <f t="shared" si="32"/>
        <v>1264.4363282992294</v>
      </c>
      <c r="G29" s="38">
        <f t="shared" si="33"/>
        <v>68600000</v>
      </c>
      <c r="H29" s="44">
        <f t="shared" si="34"/>
        <v>0.18609754124370345</v>
      </c>
      <c r="I29" s="44">
        <f t="shared" si="35"/>
        <v>5.8450000000000002E-2</v>
      </c>
      <c r="J29" s="41">
        <f t="shared" si="36"/>
        <v>-24.844011961911079</v>
      </c>
      <c r="K29" s="41">
        <f t="shared" si="37"/>
        <v>-24.774257559869628</v>
      </c>
      <c r="L29" s="41">
        <f t="shared" si="38"/>
        <v>7.2856883579178815</v>
      </c>
      <c r="M29" s="41">
        <f t="shared" si="39"/>
        <v>19.692943707925675</v>
      </c>
      <c r="N29" s="1">
        <f t="shared" si="40"/>
        <v>4.4093865181701559E-12</v>
      </c>
      <c r="O29" s="1">
        <f t="shared" si="12"/>
        <v>1.1918407187214197E-11</v>
      </c>
      <c r="P29" s="38">
        <f t="shared" si="41"/>
        <v>230460769.94452441</v>
      </c>
      <c r="Q29" s="41">
        <f t="shared" si="42"/>
        <v>-10.923781781175087</v>
      </c>
      <c r="R29" s="18">
        <f t="shared" si="29"/>
        <v>22.636881824060932</v>
      </c>
      <c r="S29" s="20">
        <f t="shared" si="30"/>
        <v>201663655.14876899</v>
      </c>
      <c r="T29" s="21" t="s">
        <v>73</v>
      </c>
      <c r="U29" s="10"/>
    </row>
    <row r="30" spans="1:22" ht="12.75" x14ac:dyDescent="0.15">
      <c r="A30" s="58"/>
      <c r="B30" s="4" t="s">
        <v>35</v>
      </c>
      <c r="C30" s="48">
        <f t="shared" si="31"/>
        <v>681000000000000</v>
      </c>
      <c r="D30" s="3">
        <v>3.5</v>
      </c>
      <c r="E30" s="31">
        <v>63.267387859442472</v>
      </c>
      <c r="F30" s="35">
        <f t="shared" si="32"/>
        <v>1261.5528617811999</v>
      </c>
      <c r="G30" s="38">
        <f t="shared" si="33"/>
        <v>68600000</v>
      </c>
      <c r="H30" s="44">
        <f t="shared" si="34"/>
        <v>0.18609754124370345</v>
      </c>
      <c r="I30" s="44">
        <f t="shared" si="35"/>
        <v>5.8450000000000002E-2</v>
      </c>
      <c r="J30" s="41">
        <f t="shared" si="36"/>
        <v>-24.853278008630166</v>
      </c>
      <c r="K30" s="41">
        <f t="shared" si="37"/>
        <v>-24.783364172538136</v>
      </c>
      <c r="L30" s="41">
        <f t="shared" si="38"/>
        <v>7.1512765001179917</v>
      </c>
      <c r="M30" s="41">
        <f t="shared" si="39"/>
        <v>19.366735991860907</v>
      </c>
      <c r="N30" s="1">
        <f t="shared" si="40"/>
        <v>4.3188527757347346E-12</v>
      </c>
      <c r="O30" s="1">
        <f t="shared" si="12"/>
        <v>1.1696105093124314E-11</v>
      </c>
      <c r="P30" s="38">
        <f t="shared" si="41"/>
        <v>226420532.52903596</v>
      </c>
      <c r="Q30" s="41">
        <f t="shared" si="42"/>
        <v>-10.931958738098345</v>
      </c>
      <c r="R30" s="18">
        <f t="shared" si="29"/>
        <v>22.537010310067018</v>
      </c>
      <c r="S30" s="20">
        <f t="shared" si="30"/>
        <v>198128263.65861496</v>
      </c>
      <c r="T30" s="21" t="s">
        <v>65</v>
      </c>
      <c r="U30" s="10"/>
    </row>
    <row r="31" spans="1:22" ht="12.75" x14ac:dyDescent="0.15">
      <c r="A31" s="58"/>
      <c r="B31" s="4" t="s">
        <v>36</v>
      </c>
      <c r="C31" s="48">
        <f t="shared" si="31"/>
        <v>681000000000000</v>
      </c>
      <c r="D31" s="3">
        <v>3.5</v>
      </c>
      <c r="E31" s="31">
        <v>63.05866612145109</v>
      </c>
      <c r="F31" s="35">
        <f t="shared" si="32"/>
        <v>1264.8834707934298</v>
      </c>
      <c r="G31" s="38">
        <f t="shared" si="33"/>
        <v>68600000</v>
      </c>
      <c r="H31" s="44">
        <f t="shared" si="34"/>
        <v>0.18609754124370345</v>
      </c>
      <c r="I31" s="44">
        <f t="shared" si="35"/>
        <v>5.8450000000000002E-2</v>
      </c>
      <c r="J31" s="41">
        <f t="shared" si="36"/>
        <v>-24.842578848852032</v>
      </c>
      <c r="K31" s="41">
        <f t="shared" si="37"/>
        <v>-24.772849105332909</v>
      </c>
      <c r="L31" s="41">
        <f t="shared" si="38"/>
        <v>7.306698645386505</v>
      </c>
      <c r="M31" s="41">
        <f t="shared" si="39"/>
        <v>19.743870938803585</v>
      </c>
      <c r="N31" s="1">
        <f t="shared" si="40"/>
        <v>4.4236334714011454E-12</v>
      </c>
      <c r="O31" s="1">
        <f t="shared" si="12"/>
        <v>1.1953366708925747E-11</v>
      </c>
      <c r="P31" s="38">
        <f t="shared" si="41"/>
        <v>231095908.57164329</v>
      </c>
      <c r="Q31" s="41">
        <f t="shared" si="42"/>
        <v>-10.922509756876483</v>
      </c>
      <c r="R31" s="18">
        <f t="shared" si="29"/>
        <v>22.652462266392995</v>
      </c>
      <c r="S31" s="20">
        <f t="shared" si="30"/>
        <v>202219430.33385491</v>
      </c>
      <c r="T31" s="21" t="s">
        <v>64</v>
      </c>
      <c r="U31" s="10"/>
      <c r="V31" s="10"/>
    </row>
    <row r="32" spans="1:22" ht="12.75" x14ac:dyDescent="0.15">
      <c r="A32" s="56" t="s">
        <v>51</v>
      </c>
      <c r="B32" s="2" t="s">
        <v>23</v>
      </c>
      <c r="C32" s="48">
        <f>2.47*100000000000000</f>
        <v>247000000000000.03</v>
      </c>
      <c r="D32" s="3">
        <v>3.5</v>
      </c>
      <c r="E32" s="31">
        <v>60.52903197184601</v>
      </c>
      <c r="F32" s="35">
        <f>1000/(0.16+0.01*E32)</f>
        <v>1306.693648454728</v>
      </c>
      <c r="G32" s="38">
        <f>5.6*1000000*D32*D32</f>
        <v>68600000</v>
      </c>
      <c r="H32" s="44">
        <f>0.2366*EXP(-0.35*G32/100000000)</f>
        <v>0.18609754124370345</v>
      </c>
      <c r="I32" s="44">
        <f>0.0167*D32</f>
        <v>5.8450000000000002E-2</v>
      </c>
      <c r="J32" s="41">
        <f>-20.79-5030/F32-1.4*(G32/1000000)/F32</f>
        <v>-24.712908790489617</v>
      </c>
      <c r="K32" s="41">
        <f>-20.79-5030/F32-1.4*5.6/F32</f>
        <v>-24.645410184290448</v>
      </c>
      <c r="L32" s="41">
        <f>0.0167*EXP(K32)*(1+EXP(56+K32+0.0167*(-34.1+44620/F32+57.3*5.6/F32)-SQRT(0.0167)*(0.091+4.77*1000000/(F32*F32))))</f>
        <v>9.4777336030552775</v>
      </c>
      <c r="M32" s="41">
        <f>I32*EXP(J32)*(1+EXP(56+J32+I32*(-34.1+44620/F32+57.3*(G32/1000000)/F32)-SQRT(I32)*(0.091+4.77*1000000/(F32*F32))))</f>
        <v>24.922866422555618</v>
      </c>
      <c r="N32" s="1">
        <f>POWER(10,(-0.757-0.0868*E32)+(-14785+131.7*E32)/F32+(3.079-0.049*E32)*(G32/1000000)/F32)</f>
        <v>6.0373125558850691E-12</v>
      </c>
      <c r="O32" s="1">
        <f t="shared" si="12"/>
        <v>1.5875856052024536E-11</v>
      </c>
      <c r="P32" s="38">
        <f>3*3.5*100000000000000*O32*H32*H32*POWER(G32,-1/3)*POWER(F32,-1/2)*POWER(C32,2/3)</f>
        <v>153583335.55750757</v>
      </c>
      <c r="Q32" s="41">
        <f>LOG(O32)</f>
        <v>-10.799262847538548</v>
      </c>
      <c r="R32" s="18">
        <f t="shared" si="29"/>
        <v>20.452828434908852</v>
      </c>
      <c r="S32" s="20">
        <f t="shared" si="30"/>
        <v>134392403.64389297</v>
      </c>
      <c r="T32" s="21" t="s">
        <v>67</v>
      </c>
      <c r="U32" s="10"/>
    </row>
    <row r="33" spans="1:22" ht="12.75" x14ac:dyDescent="0.15">
      <c r="A33" s="58"/>
      <c r="B33" s="4" t="s">
        <v>24</v>
      </c>
      <c r="C33" s="48">
        <f t="shared" ref="C33:C38" si="43">2.47*100000000000000</f>
        <v>247000000000000.03</v>
      </c>
      <c r="D33" s="3">
        <v>3.5</v>
      </c>
      <c r="E33" s="31">
        <v>59.512824416225492</v>
      </c>
      <c r="F33" s="35">
        <f t="shared" ref="F33:F38" si="44">1000/(0.16+0.01*E33)</f>
        <v>1324.2783695760281</v>
      </c>
      <c r="G33" s="38">
        <f t="shared" ref="G33:G38" si="45">5.6*1000000*D33*D33</f>
        <v>68600000</v>
      </c>
      <c r="H33" s="44">
        <f t="shared" ref="H33:H38" si="46">0.2366*EXP(-0.35*G33/100000000)</f>
        <v>0.18609754124370345</v>
      </c>
      <c r="I33" s="44">
        <f t="shared" ref="I33:I38" si="47">0.0167*D33</f>
        <v>5.8450000000000002E-2</v>
      </c>
      <c r="J33" s="41">
        <f t="shared" ref="J33:J38" si="48">-20.79-5030/F33-1.4*(G33/1000000)/F33</f>
        <v>-24.660817584705484</v>
      </c>
      <c r="K33" s="41">
        <f t="shared" ref="K33:K38" si="49">-20.79-5030/F33-1.4*5.6/F33</f>
        <v>-24.594215273570374</v>
      </c>
      <c r="L33" s="41">
        <f t="shared" ref="L33:L38" si="50">0.0167*EXP(K33)*(1+EXP(56+K33+0.0167*(-34.1+44620/F33+57.3*5.6/F33)-SQRT(0.0167)*(0.091+4.77*1000000/(F33*F33))))</f>
        <v>10.519517409557888</v>
      </c>
      <c r="M33" s="41">
        <f t="shared" ref="M33:M38" si="51">I33*EXP(J33)*(1+EXP(56+J33+I33*(-34.1+44620/F33+57.3*(G33/1000000)/F33)-SQRT(I33)*(0.091+4.77*1000000/(F33*F33))))</f>
        <v>27.356335403611443</v>
      </c>
      <c r="N33" s="1">
        <f t="shared" ref="N33:N38" si="52">POWER(10,(-0.757-0.0868*E33)+(-14785+131.7*E33)/F33+(3.079-0.049*E33)*(G33/1000000)/F33)</f>
        <v>6.9139522566113038E-12</v>
      </c>
      <c r="O33" s="1">
        <f t="shared" si="12"/>
        <v>1.797994998559199E-11</v>
      </c>
      <c r="P33" s="38">
        <f t="shared" ref="P33:P47" si="53">3*3.5*100000000000000*O33*H33*H33*POWER(G33,-1/3)*POWER(F33,-1/2)*POWER(C33,2/3)</f>
        <v>172779681.72156745</v>
      </c>
      <c r="Q33" s="41">
        <f t="shared" ref="Q33:Q38" si="54">LOG(O33)</f>
        <v>-10.745211520667953</v>
      </c>
      <c r="R33" s="18">
        <f t="shared" si="29"/>
        <v>21.06398413085488</v>
      </c>
      <c r="S33" s="20">
        <f t="shared" si="30"/>
        <v>151190079.59488985</v>
      </c>
      <c r="T33" s="21" t="s">
        <v>66</v>
      </c>
      <c r="U33" s="10"/>
    </row>
    <row r="34" spans="1:22" ht="12.75" x14ac:dyDescent="0.15">
      <c r="A34" s="58"/>
      <c r="B34" s="4" t="s">
        <v>25</v>
      </c>
      <c r="C34" s="48">
        <f t="shared" si="43"/>
        <v>247000000000000.03</v>
      </c>
      <c r="D34" s="3">
        <v>3.5</v>
      </c>
      <c r="E34" s="31">
        <v>59.319803265728154</v>
      </c>
      <c r="F34" s="35">
        <f t="shared" si="44"/>
        <v>1327.6720817658027</v>
      </c>
      <c r="G34" s="38">
        <f t="shared" si="45"/>
        <v>68600000</v>
      </c>
      <c r="H34" s="44">
        <f t="shared" si="46"/>
        <v>0.18609754124370345</v>
      </c>
      <c r="I34" s="44">
        <f t="shared" si="47"/>
        <v>5.8450000000000002E-2</v>
      </c>
      <c r="J34" s="41">
        <f t="shared" si="48"/>
        <v>-24.650923243322531</v>
      </c>
      <c r="K34" s="41">
        <f t="shared" si="49"/>
        <v>-24.58449117684216</v>
      </c>
      <c r="L34" s="41">
        <f t="shared" si="50"/>
        <v>10.729817151810412</v>
      </c>
      <c r="M34" s="41">
        <f t="shared" si="51"/>
        <v>27.843978903686963</v>
      </c>
      <c r="N34" s="1">
        <f t="shared" si="52"/>
        <v>7.0992139697939194E-12</v>
      </c>
      <c r="O34" s="1">
        <f t="shared" si="12"/>
        <v>1.8422528661110438E-11</v>
      </c>
      <c r="P34" s="38">
        <f t="shared" si="53"/>
        <v>176806270.10327291</v>
      </c>
      <c r="Q34" s="41">
        <f t="shared" si="54"/>
        <v>-10.734650759144841</v>
      </c>
      <c r="R34" s="18">
        <f t="shared" si="29"/>
        <v>21.185648726852172</v>
      </c>
      <c r="S34" s="20">
        <f t="shared" si="30"/>
        <v>154713527.55972028</v>
      </c>
      <c r="T34" s="21" t="s">
        <v>66</v>
      </c>
      <c r="U34" s="10"/>
    </row>
    <row r="35" spans="1:22" ht="12.75" x14ac:dyDescent="0.15">
      <c r="A35" s="58"/>
      <c r="B35" s="4" t="s">
        <v>26</v>
      </c>
      <c r="C35" s="48">
        <f t="shared" si="43"/>
        <v>247000000000000.03</v>
      </c>
      <c r="D35" s="3">
        <v>3.5</v>
      </c>
      <c r="E35" s="31">
        <v>59.37275800462298</v>
      </c>
      <c r="F35" s="35">
        <f t="shared" si="44"/>
        <v>1326.7392974244951</v>
      </c>
      <c r="G35" s="38">
        <f t="shared" si="45"/>
        <v>68600000</v>
      </c>
      <c r="H35" s="44">
        <f t="shared" si="46"/>
        <v>0.18609754124370345</v>
      </c>
      <c r="I35" s="44">
        <f t="shared" si="47"/>
        <v>5.8450000000000002E-2</v>
      </c>
      <c r="J35" s="41">
        <f t="shared" si="48"/>
        <v>-24.653637724420175</v>
      </c>
      <c r="K35" s="41">
        <f t="shared" si="49"/>
        <v>-24.587158951860097</v>
      </c>
      <c r="L35" s="41">
        <f t="shared" si="50"/>
        <v>10.671711993542166</v>
      </c>
      <c r="M35" s="41">
        <f t="shared" si="51"/>
        <v>27.709360388844139</v>
      </c>
      <c r="N35" s="1">
        <f t="shared" si="52"/>
        <v>7.0477449367375318E-12</v>
      </c>
      <c r="O35" s="1">
        <f t="shared" si="12"/>
        <v>1.8299641566309871E-11</v>
      </c>
      <c r="P35" s="38">
        <f t="shared" si="53"/>
        <v>175688615.28685153</v>
      </c>
      <c r="Q35" s="41">
        <f t="shared" si="54"/>
        <v>-10.73755741667931</v>
      </c>
      <c r="R35" s="18">
        <f t="shared" si="29"/>
        <v>21.152088577019871</v>
      </c>
      <c r="S35" s="20">
        <f t="shared" si="30"/>
        <v>153735528.76396683</v>
      </c>
      <c r="T35" s="21" t="s">
        <v>66</v>
      </c>
      <c r="U35" s="10"/>
    </row>
    <row r="36" spans="1:22" ht="12.75" x14ac:dyDescent="0.15">
      <c r="A36" s="58"/>
      <c r="B36" s="4" t="s">
        <v>27</v>
      </c>
      <c r="C36" s="48">
        <f t="shared" si="43"/>
        <v>247000000000000.03</v>
      </c>
      <c r="D36" s="3">
        <v>3.5</v>
      </c>
      <c r="E36" s="31">
        <v>60.557541729188742</v>
      </c>
      <c r="F36" s="35">
        <f t="shared" si="44"/>
        <v>1306.2070403688713</v>
      </c>
      <c r="G36" s="38">
        <f t="shared" si="45"/>
        <v>68600000</v>
      </c>
      <c r="H36" s="44">
        <f t="shared" si="46"/>
        <v>0.18609754124370345</v>
      </c>
      <c r="I36" s="44">
        <f t="shared" si="47"/>
        <v>5.8450000000000002E-2</v>
      </c>
      <c r="J36" s="41">
        <f t="shared" si="48"/>
        <v>-24.714370212054906</v>
      </c>
      <c r="K36" s="41">
        <f t="shared" si="49"/>
        <v>-24.646846460249758</v>
      </c>
      <c r="L36" s="41">
        <f t="shared" si="50"/>
        <v>9.4500270096327377</v>
      </c>
      <c r="M36" s="41">
        <f t="shared" si="51"/>
        <v>24.857725771767075</v>
      </c>
      <c r="N36" s="1">
        <f t="shared" si="52"/>
        <v>6.014920998785888E-12</v>
      </c>
      <c r="O36" s="1">
        <f t="shared" si="12"/>
        <v>1.5821886707228968E-11</v>
      </c>
      <c r="P36" s="38">
        <f t="shared" si="53"/>
        <v>153089742.77538511</v>
      </c>
      <c r="Q36" s="41">
        <f t="shared" si="54"/>
        <v>-10.800741729581578</v>
      </c>
      <c r="R36" s="18">
        <f t="shared" si="29"/>
        <v>20.43637554605402</v>
      </c>
      <c r="S36" s="20">
        <f t="shared" si="30"/>
        <v>133960487.51074013</v>
      </c>
      <c r="T36" s="21" t="s">
        <v>66</v>
      </c>
      <c r="U36" s="10"/>
    </row>
    <row r="37" spans="1:22" ht="12.75" x14ac:dyDescent="0.15">
      <c r="A37" s="58"/>
      <c r="B37" s="4" t="s">
        <v>28</v>
      </c>
      <c r="C37" s="48">
        <f t="shared" si="43"/>
        <v>247000000000000.03</v>
      </c>
      <c r="D37" s="3">
        <v>3.5</v>
      </c>
      <c r="E37" s="31">
        <v>59.614744731776007</v>
      </c>
      <c r="F37" s="35">
        <f t="shared" si="44"/>
        <v>1322.493388752742</v>
      </c>
      <c r="G37" s="38">
        <f t="shared" si="45"/>
        <v>68600000</v>
      </c>
      <c r="H37" s="44">
        <f t="shared" si="46"/>
        <v>0.18609754124370345</v>
      </c>
      <c r="I37" s="44">
        <f t="shared" si="47"/>
        <v>5.8450000000000002E-2</v>
      </c>
      <c r="J37" s="41">
        <f t="shared" si="48"/>
        <v>-24.666042060848728</v>
      </c>
      <c r="K37" s="41">
        <f t="shared" si="49"/>
        <v>-24.599349855995303</v>
      </c>
      <c r="L37" s="41">
        <f t="shared" si="50"/>
        <v>10.410122218876822</v>
      </c>
      <c r="M37" s="41">
        <f t="shared" si="51"/>
        <v>27.102207557218062</v>
      </c>
      <c r="N37" s="1">
        <f t="shared" si="52"/>
        <v>6.8186932815716476E-12</v>
      </c>
      <c r="O37" s="1">
        <f t="shared" si="12"/>
        <v>1.7752110561301548E-11</v>
      </c>
      <c r="P37" s="38">
        <f t="shared" si="53"/>
        <v>170705326.38366368</v>
      </c>
      <c r="Q37" s="41">
        <f t="shared" si="54"/>
        <v>-10.750750005953288</v>
      </c>
      <c r="R37" s="18">
        <f t="shared" si="29"/>
        <v>21.000475078097693</v>
      </c>
      <c r="S37" s="20">
        <f t="shared" si="30"/>
        <v>149374924.33171976</v>
      </c>
      <c r="T37" s="21" t="s">
        <v>66</v>
      </c>
      <c r="U37" s="10"/>
    </row>
    <row r="38" spans="1:22" ht="12.75" x14ac:dyDescent="0.15">
      <c r="A38" s="58"/>
      <c r="B38" s="4" t="s">
        <v>29</v>
      </c>
      <c r="C38" s="48">
        <f t="shared" si="43"/>
        <v>247000000000000.03</v>
      </c>
      <c r="D38" s="3">
        <v>3.5</v>
      </c>
      <c r="E38" s="31">
        <v>60.594563188001139</v>
      </c>
      <c r="F38" s="35">
        <f t="shared" si="44"/>
        <v>1305.5756941200941</v>
      </c>
      <c r="G38" s="38">
        <f t="shared" si="45"/>
        <v>68600000</v>
      </c>
      <c r="H38" s="44">
        <f t="shared" si="46"/>
        <v>0.18609754124370345</v>
      </c>
      <c r="I38" s="44">
        <f t="shared" si="47"/>
        <v>5.8450000000000002E-2</v>
      </c>
      <c r="J38" s="41">
        <f t="shared" si="48"/>
        <v>-24.716267946842212</v>
      </c>
      <c r="K38" s="41">
        <f t="shared" si="49"/>
        <v>-24.648711542110394</v>
      </c>
      <c r="L38" s="41">
        <f t="shared" si="50"/>
        <v>9.414167937259192</v>
      </c>
      <c r="M38" s="41">
        <f t="shared" si="51"/>
        <v>24.773384215351399</v>
      </c>
      <c r="N38" s="1">
        <f t="shared" si="52"/>
        <v>5.9860111620941339E-12</v>
      </c>
      <c r="O38" s="1">
        <f t="shared" si="12"/>
        <v>1.5752189192315794E-11</v>
      </c>
      <c r="P38" s="38">
        <f t="shared" si="53"/>
        <v>152452209.92096278</v>
      </c>
      <c r="Q38" s="41">
        <f t="shared" si="54"/>
        <v>-10.802659080726887</v>
      </c>
      <c r="R38" s="18">
        <f t="shared" si="29"/>
        <v>20.415065729866406</v>
      </c>
      <c r="S38" s="20">
        <f t="shared" si="30"/>
        <v>133402617.26787326</v>
      </c>
      <c r="T38" s="21" t="s">
        <v>66</v>
      </c>
      <c r="U38" s="10"/>
      <c r="V38" s="10"/>
    </row>
    <row r="39" spans="1:22" ht="12.75" x14ac:dyDescent="0.15">
      <c r="A39" s="56" t="s">
        <v>52</v>
      </c>
      <c r="B39" s="2" t="s">
        <v>20</v>
      </c>
      <c r="C39" s="48">
        <f t="shared" ref="C39:C47" si="55">3.31*100000000000000</f>
        <v>331000000000000</v>
      </c>
      <c r="D39" s="3">
        <v>3.5</v>
      </c>
      <c r="E39" s="31">
        <v>64.956999999999994</v>
      </c>
      <c r="F39" s="35">
        <f>1000/(0.16+0.01*E39)</f>
        <v>1235.2236372395223</v>
      </c>
      <c r="G39" s="38">
        <f>5.6*1000000*D39*D39</f>
        <v>68600000</v>
      </c>
      <c r="H39" s="44">
        <f>0.2366*EXP(-0.35*G39/100000000)</f>
        <v>0.18609754124370345</v>
      </c>
      <c r="I39" s="44">
        <f>0.0167*D39</f>
        <v>5.8450000000000002E-2</v>
      </c>
      <c r="J39" s="41">
        <f>-20.79-5030/F39-1.4*(G39/1000000)/F39</f>
        <v>-24.939888202799999</v>
      </c>
      <c r="K39" s="41">
        <f>-20.79-5030/F39-1.4*5.6/F39</f>
        <v>-24.868484128799999</v>
      </c>
      <c r="L39" s="41">
        <f>0.0167*EXP(K39)*(1+EXP(56+K39+0.0167*(-34.1+44620/F39+57.3*5.6/F39)-SQRT(0.0167)*(0.091+4.77*1000000/(F39*F39))))</f>
        <v>6.0077131927651246</v>
      </c>
      <c r="M39" s="41">
        <f>I39*EXP(J39)*(1+EXP(56+J39+I39*(-34.1+44620/F39+57.3*(G39/1000000)/F39)-SQRT(I39)*(0.091+4.77*1000000/(F39*F39))))</f>
        <v>16.561235255436742</v>
      </c>
      <c r="N39" s="1">
        <f>POWER(10,(-0.757-0.0868*E39)+(-14785+131.7*E39)/F39+(3.079-0.049*E39)*(G39/1000000)/F39)</f>
        <v>3.59095039053633E-12</v>
      </c>
      <c r="O39" s="1">
        <f t="shared" si="12"/>
        <v>9.8990368381588021E-12</v>
      </c>
      <c r="P39" s="38">
        <f t="shared" si="53"/>
        <v>119720357.11389278</v>
      </c>
      <c r="Q39" s="41">
        <f>LOG(O39)</f>
        <v>-11.004407059566283</v>
      </c>
      <c r="R39" s="18">
        <f t="shared" si="29"/>
        <v>19.218051479838845</v>
      </c>
      <c r="S39" s="20">
        <f t="shared" si="30"/>
        <v>104760757.40402678</v>
      </c>
      <c r="T39" s="21" t="s">
        <v>68</v>
      </c>
      <c r="U39" s="10"/>
    </row>
    <row r="40" spans="1:22" ht="12.75" x14ac:dyDescent="0.15">
      <c r="A40" s="56"/>
      <c r="B40" s="4" t="s">
        <v>37</v>
      </c>
      <c r="C40" s="48">
        <f t="shared" si="55"/>
        <v>331000000000000</v>
      </c>
      <c r="D40" s="3">
        <v>3.5</v>
      </c>
      <c r="E40" s="31">
        <v>64.60771940056118</v>
      </c>
      <c r="F40" s="35">
        <f t="shared" ref="F40:F47" si="56">1000/(0.16+0.01*E40)</f>
        <v>1240.5759739098116</v>
      </c>
      <c r="G40" s="38">
        <f t="shared" ref="G40:G47" si="57">5.6*1000000*D40*D40</f>
        <v>68600000</v>
      </c>
      <c r="H40" s="44">
        <f t="shared" ref="H40:H47" si="58">0.2366*EXP(-0.35*G40/100000000)</f>
        <v>0.18609754124370345</v>
      </c>
      <c r="I40" s="44">
        <f t="shared" ref="I40:I47" si="59">0.0167*D40</f>
        <v>5.8450000000000002E-2</v>
      </c>
      <c r="J40" s="41">
        <f t="shared" ref="J40:J47" si="60">-20.79-5030/F40-1.4*(G40/1000000)/F40</f>
        <v>-24.921983939560526</v>
      </c>
      <c r="K40" s="41">
        <f t="shared" ref="K40:K47" si="61">-20.79-5030/F40-1.4*5.6/F40</f>
        <v>-24.850887931049229</v>
      </c>
      <c r="L40" s="41">
        <f t="shared" ref="L40:L47" si="62">0.0167*EXP(K40)*(1+EXP(56+K40+0.0167*(-34.1+44620/F40+57.3*5.6/F40)-SQRT(0.0167)*(0.091+4.77*1000000/(F40*F40))))</f>
        <v>6.2282395765678507</v>
      </c>
      <c r="M40" s="41">
        <f t="shared" ref="M40:M47" si="63">I40*EXP(J40)*(1+EXP(56+J40+I40*(-34.1+44620/F40+57.3*(G40/1000000)/F40)-SQRT(I40)*(0.091+4.77*1000000/(F40*F40))))</f>
        <v>17.106682321301545</v>
      </c>
      <c r="N40" s="1">
        <f t="shared" ref="N40:N47" si="64">POWER(10,(-0.757-0.0868*E40)+(-14785+131.7*E40)/F40+(3.079-0.049*E40)*(G40/1000000)/F40)</f>
        <v>3.7254543137679723E-12</v>
      </c>
      <c r="O40" s="1">
        <f t="shared" si="12"/>
        <v>1.0232452150350718E-11</v>
      </c>
      <c r="P40" s="38">
        <f t="shared" si="53"/>
        <v>123485481.50492448</v>
      </c>
      <c r="Q40" s="41">
        <f t="shared" ref="Q40:Q47" si="65">LOG(O40)</f>
        <v>-10.990020277553667</v>
      </c>
      <c r="R40" s="18">
        <f t="shared" si="29"/>
        <v>19.367400184205529</v>
      </c>
      <c r="S40" s="20">
        <f t="shared" si="30"/>
        <v>108055412.48553158</v>
      </c>
      <c r="T40" s="21" t="s">
        <v>69</v>
      </c>
      <c r="U40" s="10"/>
    </row>
    <row r="41" spans="1:22" ht="14.25" x14ac:dyDescent="0.15">
      <c r="A41" s="56"/>
      <c r="B41" s="4" t="s">
        <v>38</v>
      </c>
      <c r="C41" s="48">
        <f t="shared" si="55"/>
        <v>331000000000000</v>
      </c>
      <c r="D41" s="3">
        <v>3.5</v>
      </c>
      <c r="E41" s="31">
        <v>64.710062979785704</v>
      </c>
      <c r="F41" s="35">
        <f t="shared" si="56"/>
        <v>1239.0028740907508</v>
      </c>
      <c r="G41" s="38">
        <f t="shared" si="57"/>
        <v>68600000</v>
      </c>
      <c r="H41" s="44">
        <f t="shared" si="58"/>
        <v>0.18609754124370345</v>
      </c>
      <c r="I41" s="44">
        <f t="shared" si="59"/>
        <v>5.8450000000000002E-2</v>
      </c>
      <c r="J41" s="41">
        <f t="shared" si="60"/>
        <v>-24.927230112369006</v>
      </c>
      <c r="K41" s="41">
        <f t="shared" si="61"/>
        <v>-24.856043836820835</v>
      </c>
      <c r="L41" s="41">
        <f t="shared" si="62"/>
        <v>6.1628067292570146</v>
      </c>
      <c r="M41" s="41">
        <f t="shared" si="63"/>
        <v>16.945074110198711</v>
      </c>
      <c r="N41" s="1">
        <f t="shared" si="64"/>
        <v>3.6852541676096011E-12</v>
      </c>
      <c r="O41" s="1">
        <f t="shared" si="12"/>
        <v>1.0132867657297427E-11</v>
      </c>
      <c r="P41" s="38">
        <f t="shared" si="53"/>
        <v>122361297.53196965</v>
      </c>
      <c r="Q41" s="41">
        <f t="shared" si="65"/>
        <v>-10.994267629516816</v>
      </c>
      <c r="R41" s="18">
        <f t="shared" si="29"/>
        <v>19.323169786873219</v>
      </c>
      <c r="S41" s="20">
        <f t="shared" si="30"/>
        <v>107071700.38086271</v>
      </c>
      <c r="T41" s="21" t="s">
        <v>69</v>
      </c>
      <c r="U41" s="10"/>
    </row>
    <row r="42" spans="1:22" ht="14.25" x14ac:dyDescent="0.15">
      <c r="A42" s="56"/>
      <c r="B42" s="4" t="s">
        <v>39</v>
      </c>
      <c r="C42" s="48">
        <f t="shared" si="55"/>
        <v>331000000000000</v>
      </c>
      <c r="D42" s="3">
        <v>3.5</v>
      </c>
      <c r="E42" s="31">
        <v>65.069961635780714</v>
      </c>
      <c r="F42" s="35">
        <f t="shared" si="56"/>
        <v>1233.5024956501816</v>
      </c>
      <c r="G42" s="38">
        <f t="shared" si="57"/>
        <v>68600000</v>
      </c>
      <c r="H42" s="44">
        <f t="shared" si="58"/>
        <v>0.18609754124370345</v>
      </c>
      <c r="I42" s="44">
        <f t="shared" si="59"/>
        <v>5.8450000000000002E-2</v>
      </c>
      <c r="J42" s="41">
        <f t="shared" si="60"/>
        <v>-24.945678661434773</v>
      </c>
      <c r="K42" s="41">
        <f t="shared" si="61"/>
        <v>-24.874174955272014</v>
      </c>
      <c r="L42" s="41">
        <f t="shared" si="62"/>
        <v>5.9380576884869454</v>
      </c>
      <c r="M42" s="41">
        <f t="shared" si="63"/>
        <v>16.388481287116399</v>
      </c>
      <c r="N42" s="1">
        <f t="shared" si="64"/>
        <v>3.5490455790300433E-12</v>
      </c>
      <c r="O42" s="1">
        <f t="shared" si="12"/>
        <v>9.7950323338602436E-12</v>
      </c>
      <c r="P42" s="38">
        <f t="shared" si="53"/>
        <v>118545130.13995284</v>
      </c>
      <c r="Q42" s="41">
        <f t="shared" si="65"/>
        <v>-11.008994126040465</v>
      </c>
      <c r="R42" s="18">
        <f t="shared" si="29"/>
        <v>19.170713680479167</v>
      </c>
      <c r="S42" s="20">
        <f t="shared" si="30"/>
        <v>103732380.35203999</v>
      </c>
      <c r="T42" s="21" t="s">
        <v>68</v>
      </c>
      <c r="U42" s="10"/>
    </row>
    <row r="43" spans="1:22" ht="12.75" x14ac:dyDescent="0.15">
      <c r="A43" s="56"/>
      <c r="B43" s="5" t="s">
        <v>16</v>
      </c>
      <c r="C43" s="48">
        <f t="shared" si="55"/>
        <v>331000000000000</v>
      </c>
      <c r="D43" s="3">
        <v>3.5</v>
      </c>
      <c r="E43" s="31">
        <v>62.914000000000001</v>
      </c>
      <c r="F43" s="35">
        <f t="shared" si="56"/>
        <v>1267.2022708264692</v>
      </c>
      <c r="G43" s="38">
        <f t="shared" si="57"/>
        <v>68600000</v>
      </c>
      <c r="H43" s="44">
        <f t="shared" si="58"/>
        <v>0.18609754124370345</v>
      </c>
      <c r="I43" s="44">
        <f t="shared" si="59"/>
        <v>5.8450000000000002E-2</v>
      </c>
      <c r="J43" s="41">
        <f t="shared" si="60"/>
        <v>-24.835163205600001</v>
      </c>
      <c r="K43" s="41">
        <f t="shared" si="61"/>
        <v>-24.765561057599999</v>
      </c>
      <c r="L43" s="41">
        <f t="shared" si="62"/>
        <v>7.4163767570632979</v>
      </c>
      <c r="M43" s="41">
        <f t="shared" si="63"/>
        <v>20.009447768578166</v>
      </c>
      <c r="N43" s="1">
        <f t="shared" si="64"/>
        <v>4.4984249721050845E-12</v>
      </c>
      <c r="O43" s="1">
        <f t="shared" si="12"/>
        <v>1.2136788956208114E-11</v>
      </c>
      <c r="P43" s="38">
        <f t="shared" si="53"/>
        <v>144920121.33203423</v>
      </c>
      <c r="Q43" s="41">
        <f t="shared" si="65"/>
        <v>-10.915896199839098</v>
      </c>
      <c r="R43" s="18">
        <f t="shared" si="29"/>
        <v>20.158096677839662</v>
      </c>
      <c r="S43" s="20">
        <f t="shared" si="30"/>
        <v>126811697.19018152</v>
      </c>
      <c r="T43" s="21" t="s">
        <v>68</v>
      </c>
      <c r="U43" s="10"/>
    </row>
    <row r="44" spans="1:22" ht="12.75" x14ac:dyDescent="0.15">
      <c r="A44" s="56"/>
      <c r="B44" s="5" t="s">
        <v>17</v>
      </c>
      <c r="C44" s="48">
        <f t="shared" si="55"/>
        <v>331000000000000</v>
      </c>
      <c r="D44" s="3">
        <v>3.5</v>
      </c>
      <c r="E44" s="31">
        <v>64.653000000000006</v>
      </c>
      <c r="F44" s="35">
        <f t="shared" si="56"/>
        <v>1239.8794837141829</v>
      </c>
      <c r="G44" s="38">
        <f t="shared" si="57"/>
        <v>68600000</v>
      </c>
      <c r="H44" s="44">
        <f t="shared" si="58"/>
        <v>0.18609754124370345</v>
      </c>
      <c r="I44" s="44">
        <f t="shared" si="59"/>
        <v>5.8450000000000002E-2</v>
      </c>
      <c r="J44" s="41">
        <f t="shared" si="60"/>
        <v>-24.924305041199997</v>
      </c>
      <c r="K44" s="41">
        <f t="shared" si="61"/>
        <v>-24.853169095199998</v>
      </c>
      <c r="L44" s="41">
        <f t="shared" si="62"/>
        <v>6.1992053877322801</v>
      </c>
      <c r="M44" s="41">
        <f t="shared" si="63"/>
        <v>17.034996683625522</v>
      </c>
      <c r="N44" s="1">
        <f t="shared" si="64"/>
        <v>3.7075861604899121E-12</v>
      </c>
      <c r="O44" s="1">
        <f t="shared" si="12"/>
        <v>1.0188195744117056E-11</v>
      </c>
      <c r="P44" s="38">
        <f t="shared" si="53"/>
        <v>122985922.64207342</v>
      </c>
      <c r="Q44" s="41">
        <f t="shared" si="65"/>
        <v>-10.991902719600329</v>
      </c>
      <c r="R44" s="18">
        <f t="shared" si="29"/>
        <v>19.347782758745982</v>
      </c>
      <c r="S44" s="20">
        <f t="shared" si="30"/>
        <v>107618275.76040149</v>
      </c>
      <c r="T44" s="21" t="s">
        <v>68</v>
      </c>
      <c r="U44" s="10"/>
    </row>
    <row r="45" spans="1:22" ht="12.75" x14ac:dyDescent="0.15">
      <c r="A45" s="56"/>
      <c r="B45" s="5" t="s">
        <v>18</v>
      </c>
      <c r="C45" s="48">
        <f t="shared" si="55"/>
        <v>331000000000000</v>
      </c>
      <c r="D45" s="3">
        <v>3.5</v>
      </c>
      <c r="E45" s="32">
        <v>64.7</v>
      </c>
      <c r="F45" s="35">
        <f t="shared" si="56"/>
        <v>1239.1573729863692</v>
      </c>
      <c r="G45" s="38">
        <f t="shared" si="57"/>
        <v>68600000</v>
      </c>
      <c r="H45" s="44">
        <f t="shared" si="58"/>
        <v>0.18609754124370345</v>
      </c>
      <c r="I45" s="44">
        <f t="shared" si="59"/>
        <v>5.8450000000000002E-2</v>
      </c>
      <c r="J45" s="41">
        <f t="shared" si="60"/>
        <v>-24.926714279999999</v>
      </c>
      <c r="K45" s="41">
        <f t="shared" si="61"/>
        <v>-24.855536879999999</v>
      </c>
      <c r="L45" s="41">
        <f t="shared" si="62"/>
        <v>6.1692102067430516</v>
      </c>
      <c r="M45" s="41">
        <f t="shared" si="63"/>
        <v>16.960898215535181</v>
      </c>
      <c r="N45" s="1">
        <f t="shared" si="64"/>
        <v>3.6891774362363713E-12</v>
      </c>
      <c r="O45" s="1">
        <f t="shared" si="12"/>
        <v>1.0142588904923699E-11</v>
      </c>
      <c r="P45" s="38">
        <f t="shared" si="53"/>
        <v>122471052.63978265</v>
      </c>
      <c r="Q45" s="41">
        <f t="shared" si="65"/>
        <v>-10.993851176796074</v>
      </c>
      <c r="R45" s="18">
        <f t="shared" si="29"/>
        <v>19.327501433457364</v>
      </c>
      <c r="S45" s="20">
        <f t="shared" si="30"/>
        <v>107167741.09190495</v>
      </c>
      <c r="T45" s="21" t="s">
        <v>69</v>
      </c>
      <c r="U45" s="10"/>
    </row>
    <row r="46" spans="1:22" ht="12.75" x14ac:dyDescent="0.15">
      <c r="A46" s="56"/>
      <c r="B46" s="6" t="s">
        <v>19</v>
      </c>
      <c r="C46" s="48">
        <f t="shared" si="55"/>
        <v>331000000000000</v>
      </c>
      <c r="D46" s="3">
        <v>3.5</v>
      </c>
      <c r="E46" s="31">
        <v>64.456000000000003</v>
      </c>
      <c r="F46" s="35">
        <f t="shared" si="56"/>
        <v>1242.9153823207714</v>
      </c>
      <c r="G46" s="38">
        <f t="shared" si="57"/>
        <v>68600000</v>
      </c>
      <c r="H46" s="44">
        <f t="shared" si="58"/>
        <v>0.18609754124370345</v>
      </c>
      <c r="I46" s="44">
        <f t="shared" si="59"/>
        <v>5.8450000000000002E-2</v>
      </c>
      <c r="J46" s="41">
        <f t="shared" si="60"/>
        <v>-24.914206742400001</v>
      </c>
      <c r="K46" s="41">
        <f t="shared" si="61"/>
        <v>-24.843244550400001</v>
      </c>
      <c r="L46" s="41">
        <f t="shared" si="62"/>
        <v>6.3265060859879334</v>
      </c>
      <c r="M46" s="41">
        <f t="shared" si="63"/>
        <v>17.349021948197219</v>
      </c>
      <c r="N46" s="1">
        <f t="shared" si="64"/>
        <v>3.7862886615737112E-12</v>
      </c>
      <c r="O46" s="1">
        <f t="shared" si="12"/>
        <v>1.0383046218408059E-11</v>
      </c>
      <c r="P46" s="38">
        <f t="shared" si="53"/>
        <v>125184876.67442462</v>
      </c>
      <c r="Q46" s="41">
        <f t="shared" si="65"/>
        <v>-10.983675212792056</v>
      </c>
      <c r="R46" s="18">
        <f t="shared" si="29"/>
        <v>19.433692113480717</v>
      </c>
      <c r="S46" s="20">
        <f t="shared" si="30"/>
        <v>109542460.54801117</v>
      </c>
      <c r="T46" s="21" t="s">
        <v>69</v>
      </c>
      <c r="U46" s="10"/>
    </row>
    <row r="47" spans="1:22" ht="12.75" x14ac:dyDescent="0.15">
      <c r="A47" s="57"/>
      <c r="B47" s="15" t="s">
        <v>75</v>
      </c>
      <c r="C47" s="49">
        <f t="shared" si="55"/>
        <v>331000000000000</v>
      </c>
      <c r="D47" s="16">
        <v>3.5</v>
      </c>
      <c r="E47" s="33">
        <v>64.05</v>
      </c>
      <c r="F47" s="36">
        <f t="shared" si="56"/>
        <v>1249.2192379762648</v>
      </c>
      <c r="G47" s="39">
        <f t="shared" si="57"/>
        <v>68600000</v>
      </c>
      <c r="H47" s="45">
        <f t="shared" si="58"/>
        <v>0.18609754124370345</v>
      </c>
      <c r="I47" s="45">
        <f t="shared" si="59"/>
        <v>5.8450000000000002E-2</v>
      </c>
      <c r="J47" s="42">
        <f t="shared" si="60"/>
        <v>-24.89339502</v>
      </c>
      <c r="K47" s="42">
        <f t="shared" si="61"/>
        <v>-24.822790919999999</v>
      </c>
      <c r="L47" s="42">
        <f t="shared" si="62"/>
        <v>6.5970674775238063</v>
      </c>
      <c r="M47" s="42">
        <f t="shared" si="63"/>
        <v>18.014070009499886</v>
      </c>
      <c r="N47" s="17">
        <f t="shared" si="64"/>
        <v>3.9566582223700043E-12</v>
      </c>
      <c r="O47" s="1">
        <f t="shared" si="12"/>
        <v>1.0804121447032663E-11</v>
      </c>
      <c r="P47" s="38">
        <f t="shared" si="53"/>
        <v>129932557.10270414</v>
      </c>
      <c r="Q47" s="42">
        <f t="shared" si="65"/>
        <v>-10.966410542637151</v>
      </c>
      <c r="R47" s="18">
        <f t="shared" si="29"/>
        <v>19.615385507734317</v>
      </c>
      <c r="S47" s="20">
        <f t="shared" si="30"/>
        <v>113696896.84914646</v>
      </c>
      <c r="T47" s="22" t="s">
        <v>69</v>
      </c>
      <c r="U47" s="10"/>
      <c r="V47" s="10"/>
    </row>
    <row r="48" spans="1:22" ht="30" customHeight="1" x14ac:dyDescent="0.15">
      <c r="A48" s="53" t="s">
        <v>87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10"/>
    </row>
    <row r="49" spans="1:21" ht="15.75" customHeight="1" x14ac:dyDescent="0.15">
      <c r="A49" s="54" t="s">
        <v>82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10"/>
    </row>
  </sheetData>
  <mergeCells count="8">
    <mergeCell ref="A48:T48"/>
    <mergeCell ref="A49:T49"/>
    <mergeCell ref="A1:T1"/>
    <mergeCell ref="A39:A47"/>
    <mergeCell ref="A32:A38"/>
    <mergeCell ref="A3:A11"/>
    <mergeCell ref="A12:A23"/>
    <mergeCell ref="A24:A31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dzj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cp:lastPrinted>2019-02-12T01:54:55Z</cp:lastPrinted>
  <dcterms:created xsi:type="dcterms:W3CDTF">2010-12-16T14:14:05Z</dcterms:created>
  <dcterms:modified xsi:type="dcterms:W3CDTF">2023-11-02T08:12:15Z</dcterms:modified>
</cp:coreProperties>
</file>