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Ex1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Ex2.xml" ContentType="application/vnd.ms-office.chartex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Ex3.xml" ContentType="application/vnd.ms-office.chartex+xml"/>
  <Override PartName="/xl/charts/style9.xml" ContentType="application/vnd.ms-office.chartstyle+xml"/>
  <Override PartName="/xl/charts/colors9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Ex4.xml" ContentType="application/vnd.ms-office.chartex+xml"/>
  <Override PartName="/xl/charts/style11.xml" ContentType="application/vnd.ms-office.chartstyle+xml"/>
  <Override PartName="/xl/charts/colors11.xml" ContentType="application/vnd.ms-office.chartcolorstyle+xml"/>
  <Override PartName="/xl/drawings/drawing8.xml" ContentType="application/vnd.openxmlformats-officedocument.drawing+xml"/>
  <Override PartName="/xl/charts/chartEx5.xml" ContentType="application/vnd.ms-office.chartex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AIC\ProChondrix Journal Article\"/>
    </mc:Choice>
  </mc:AlternateContent>
  <xr:revisionPtr revIDLastSave="0" documentId="13_ncr:1_{3591577A-F96F-4964-85E5-D0CB1CEA51F2}" xr6:coauthVersionLast="44" xr6:coauthVersionMax="44" xr10:uidLastSave="{00000000-0000-0000-0000-000000000000}"/>
  <bookViews>
    <workbookView xWindow="-120" yWindow="-120" windowWidth="24240" windowHeight="13140" xr2:uid="{BA05814D-676A-4FF0-B6EE-201BE8E8D1E3}"/>
  </bookViews>
  <sheets>
    <sheet name="Fresh and T-LE Viability" sheetId="1" r:id="rId1"/>
    <sheet name="Explant Presto Blue" sheetId="2" r:id="rId2"/>
    <sheet name="Standardization Volume &amp; Weight" sheetId="11" r:id="rId3"/>
    <sheet name="sGAG Raw Data " sheetId="5" r:id="rId4"/>
    <sheet name="TGF-Beta Raw Data" sheetId="6" r:id="rId5"/>
    <sheet name="bmp-7 Raw Data " sheetId="7" r:id="rId6"/>
    <sheet name="bFGF Raw Data " sheetId="8" r:id="rId7"/>
    <sheet name="PRG-4 Raw Data" sheetId="9" r:id="rId8"/>
  </sheets>
  <externalReferences>
    <externalReference r:id="rId9"/>
    <externalReference r:id="rId10"/>
  </externalReferences>
  <definedNames>
    <definedName name="_xlchart.v1.0" hidden="1">[1]Sheet1!$R$11:$R$20</definedName>
    <definedName name="_xlchart.v1.1" hidden="1">[1]Sheet1!$R$3:$R$10</definedName>
    <definedName name="_xlchart.v1.2" hidden="1">[1]Sheet1!$B$12:$B$30</definedName>
    <definedName name="_xlchart.v1.3" hidden="1">[1]Sheet1!$B$3:$B$11</definedName>
    <definedName name="_xlchart.v1.4" hidden="1">[1]Sheet1!$F$13:$F$30</definedName>
    <definedName name="_xlchart.v1.5" hidden="1">[1]Sheet1!$F$3:$F$11</definedName>
    <definedName name="_xlchart.v1.6" hidden="1">[1]Sheet1!$J$11:$J$19</definedName>
    <definedName name="_xlchart.v1.7" hidden="1">[1]Sheet1!$J$3:$J$10</definedName>
    <definedName name="_xlchart.v1.8" hidden="1">[1]Sheet1!$N$12:$N$30</definedName>
    <definedName name="_xlchart.v1.9" hidden="1">[1]Sheet1!$N$3:$N$11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6" i="2" l="1"/>
  <c r="D14" i="2"/>
  <c r="C14" i="2"/>
  <c r="B14" i="2"/>
  <c r="E15" i="2"/>
  <c r="D12" i="6" l="1"/>
  <c r="E12" i="6" s="1"/>
  <c r="F12" i="6" s="1"/>
  <c r="D40" i="9"/>
  <c r="D41" i="9"/>
  <c r="D42" i="9"/>
  <c r="D43" i="9"/>
  <c r="D44" i="9"/>
  <c r="D45" i="9"/>
  <c r="D46" i="9"/>
  <c r="D47" i="9"/>
  <c r="D39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14" i="9"/>
  <c r="E47" i="9" l="1"/>
  <c r="F47" i="9" s="1"/>
  <c r="E46" i="9"/>
  <c r="F46" i="9" s="1"/>
  <c r="E45" i="9"/>
  <c r="F45" i="9" s="1"/>
  <c r="E44" i="9"/>
  <c r="F44" i="9" s="1"/>
  <c r="E43" i="9"/>
  <c r="F43" i="9" s="1"/>
  <c r="E42" i="9"/>
  <c r="F42" i="9" s="1"/>
  <c r="E41" i="9"/>
  <c r="F41" i="9" s="1"/>
  <c r="E40" i="9"/>
  <c r="F40" i="9" s="1"/>
  <c r="E39" i="9"/>
  <c r="F39" i="9" s="1"/>
  <c r="E32" i="9"/>
  <c r="F32" i="9" s="1"/>
  <c r="E31" i="9"/>
  <c r="F31" i="9" s="1"/>
  <c r="E30" i="9"/>
  <c r="F30" i="9" s="1"/>
  <c r="E29" i="9"/>
  <c r="F29" i="9" s="1"/>
  <c r="E28" i="9"/>
  <c r="F28" i="9" s="1"/>
  <c r="E27" i="9"/>
  <c r="F27" i="9" s="1"/>
  <c r="E26" i="9"/>
  <c r="F26" i="9" s="1"/>
  <c r="E25" i="9"/>
  <c r="F25" i="9" s="1"/>
  <c r="E24" i="9"/>
  <c r="F24" i="9" s="1"/>
  <c r="E23" i="9"/>
  <c r="F23" i="9" s="1"/>
  <c r="E22" i="9"/>
  <c r="F22" i="9" s="1"/>
  <c r="E21" i="9"/>
  <c r="F21" i="9" s="1"/>
  <c r="E20" i="9"/>
  <c r="F20" i="9" s="1"/>
  <c r="E19" i="9"/>
  <c r="F19" i="9" s="1"/>
  <c r="E18" i="9"/>
  <c r="F18" i="9" s="1"/>
  <c r="E17" i="9"/>
  <c r="F17" i="9" s="1"/>
  <c r="E16" i="9"/>
  <c r="F16" i="9" s="1"/>
  <c r="E15" i="9"/>
  <c r="F15" i="9" s="1"/>
  <c r="E14" i="9"/>
  <c r="F14" i="9" s="1"/>
  <c r="D27" i="8"/>
  <c r="E27" i="8" s="1"/>
  <c r="F27" i="8" s="1"/>
  <c r="D28" i="8"/>
  <c r="E28" i="8" s="1"/>
  <c r="F28" i="8" s="1"/>
  <c r="D29" i="8"/>
  <c r="E29" i="8" s="1"/>
  <c r="F29" i="8" s="1"/>
  <c r="D30" i="8"/>
  <c r="E30" i="8" s="1"/>
  <c r="F30" i="8" s="1"/>
  <c r="D31" i="8"/>
  <c r="E31" i="8" s="1"/>
  <c r="F31" i="8" s="1"/>
  <c r="D32" i="8"/>
  <c r="E32" i="8" s="1"/>
  <c r="F32" i="8" s="1"/>
  <c r="D33" i="8"/>
  <c r="E33" i="8" s="1"/>
  <c r="F33" i="8" s="1"/>
  <c r="D26" i="8"/>
  <c r="E26" i="8" s="1"/>
  <c r="F26" i="8" s="1"/>
  <c r="G35" i="8" s="1"/>
  <c r="U5" i="8"/>
  <c r="U6" i="8"/>
  <c r="U7" i="8"/>
  <c r="U8" i="8"/>
  <c r="U9" i="8"/>
  <c r="U4" i="8"/>
  <c r="U3" i="8"/>
  <c r="U2" i="8"/>
  <c r="B33" i="8"/>
  <c r="B32" i="8"/>
  <c r="B31" i="8"/>
  <c r="B30" i="8"/>
  <c r="B29" i="8"/>
  <c r="B28" i="8"/>
  <c r="B27" i="8"/>
  <c r="B26" i="8"/>
  <c r="B20" i="8"/>
  <c r="C20" i="8" s="1"/>
  <c r="D20" i="8" s="1"/>
  <c r="E20" i="8" s="1"/>
  <c r="F20" i="8" s="1"/>
  <c r="B19" i="8"/>
  <c r="C19" i="8" s="1"/>
  <c r="D19" i="8" s="1"/>
  <c r="E19" i="8" s="1"/>
  <c r="F19" i="8" s="1"/>
  <c r="B18" i="8"/>
  <c r="C18" i="8" s="1"/>
  <c r="D18" i="8" s="1"/>
  <c r="E18" i="8" s="1"/>
  <c r="F18" i="8" s="1"/>
  <c r="B17" i="8"/>
  <c r="C17" i="8" s="1"/>
  <c r="D17" i="8" s="1"/>
  <c r="E17" i="8" s="1"/>
  <c r="F17" i="8" s="1"/>
  <c r="B16" i="8"/>
  <c r="C16" i="8" s="1"/>
  <c r="D16" i="8" s="1"/>
  <c r="E16" i="8" s="1"/>
  <c r="F16" i="8" s="1"/>
  <c r="B15" i="8"/>
  <c r="C15" i="8" s="1"/>
  <c r="D15" i="8" s="1"/>
  <c r="E15" i="8" s="1"/>
  <c r="F15" i="8" s="1"/>
  <c r="B14" i="8"/>
  <c r="C14" i="8" s="1"/>
  <c r="D14" i="8" s="1"/>
  <c r="E14" i="8" s="1"/>
  <c r="F14" i="8" s="1"/>
  <c r="B13" i="8"/>
  <c r="C13" i="8" s="1"/>
  <c r="D13" i="8" s="1"/>
  <c r="E13" i="8" s="1"/>
  <c r="F13" i="8" s="1"/>
  <c r="B12" i="8"/>
  <c r="C12" i="8" s="1"/>
  <c r="D12" i="8" s="1"/>
  <c r="E12" i="8" s="1"/>
  <c r="F12" i="8" s="1"/>
  <c r="D21" i="7"/>
  <c r="E21" i="7" s="1"/>
  <c r="D20" i="7"/>
  <c r="E20" i="7" s="1"/>
  <c r="E19" i="7"/>
  <c r="D19" i="7"/>
  <c r="D18" i="7"/>
  <c r="E18" i="7" s="1"/>
  <c r="E17" i="7"/>
  <c r="D17" i="7"/>
  <c r="D16" i="7"/>
  <c r="E16" i="7" s="1"/>
  <c r="E15" i="7"/>
  <c r="D15" i="7"/>
  <c r="D14" i="7"/>
  <c r="E14" i="7" s="1"/>
  <c r="E13" i="7"/>
  <c r="D13" i="7"/>
  <c r="D12" i="7"/>
  <c r="E12" i="7" s="1"/>
  <c r="G23" i="8" l="1"/>
  <c r="G21" i="8"/>
  <c r="G22" i="8"/>
  <c r="G34" i="8"/>
  <c r="G35" i="9"/>
  <c r="G34" i="9"/>
  <c r="G33" i="9"/>
  <c r="G48" i="9"/>
  <c r="G49" i="9"/>
  <c r="D38" i="7"/>
  <c r="D39" i="7"/>
  <c r="D40" i="7"/>
  <c r="D41" i="7"/>
  <c r="E41" i="7" s="1"/>
  <c r="D42" i="7"/>
  <c r="D43" i="7"/>
  <c r="D44" i="7"/>
  <c r="E44" i="7" s="1"/>
  <c r="D45" i="7"/>
  <c r="E45" i="7" s="1"/>
  <c r="D37" i="7"/>
  <c r="D22" i="7"/>
  <c r="D23" i="7"/>
  <c r="D24" i="7"/>
  <c r="E24" i="7" s="1"/>
  <c r="D25" i="7"/>
  <c r="D26" i="7"/>
  <c r="D27" i="7"/>
  <c r="D28" i="7"/>
  <c r="E28" i="7" s="1"/>
  <c r="D29" i="7"/>
  <c r="D30" i="7"/>
  <c r="U9" i="7"/>
  <c r="U8" i="7"/>
  <c r="U7" i="7"/>
  <c r="U6" i="7"/>
  <c r="U5" i="7"/>
  <c r="U4" i="7"/>
  <c r="U3" i="7"/>
  <c r="U2" i="7"/>
  <c r="E42" i="7"/>
  <c r="E38" i="7"/>
  <c r="E43" i="7"/>
  <c r="E40" i="7"/>
  <c r="E39" i="7"/>
  <c r="E37" i="7"/>
  <c r="E30" i="7"/>
  <c r="E29" i="7"/>
  <c r="E27" i="7"/>
  <c r="E26" i="7"/>
  <c r="E25" i="7"/>
  <c r="E23" i="7"/>
  <c r="E22" i="7"/>
  <c r="F48" i="7" l="1"/>
  <c r="F32" i="7"/>
  <c r="F31" i="7"/>
  <c r="F47" i="7"/>
  <c r="F46" i="7"/>
  <c r="D44" i="6" l="1"/>
  <c r="E44" i="6" s="1"/>
  <c r="F44" i="6" s="1"/>
  <c r="D43" i="6"/>
  <c r="E43" i="6" s="1"/>
  <c r="F43" i="6" s="1"/>
  <c r="D42" i="6"/>
  <c r="E42" i="6" s="1"/>
  <c r="F42" i="6" s="1"/>
  <c r="D41" i="6"/>
  <c r="E41" i="6" s="1"/>
  <c r="F41" i="6" s="1"/>
  <c r="D40" i="6"/>
  <c r="E40" i="6" s="1"/>
  <c r="F40" i="6" s="1"/>
  <c r="D39" i="6"/>
  <c r="E39" i="6" s="1"/>
  <c r="F39" i="6" s="1"/>
  <c r="D38" i="6"/>
  <c r="E38" i="6" s="1"/>
  <c r="F38" i="6" s="1"/>
  <c r="D37" i="6"/>
  <c r="E37" i="6" s="1"/>
  <c r="F37" i="6" s="1"/>
  <c r="D36" i="6"/>
  <c r="E36" i="6" s="1"/>
  <c r="F36" i="6" s="1"/>
  <c r="D30" i="6"/>
  <c r="D29" i="6"/>
  <c r="D28" i="6"/>
  <c r="D27" i="6"/>
  <c r="D26" i="6"/>
  <c r="E26" i="6" s="1"/>
  <c r="F26" i="6" s="1"/>
  <c r="D25" i="6"/>
  <c r="D24" i="6"/>
  <c r="D23" i="6"/>
  <c r="D22" i="6"/>
  <c r="D21" i="6"/>
  <c r="D14" i="6"/>
  <c r="D15" i="6"/>
  <c r="D16" i="6"/>
  <c r="D17" i="6"/>
  <c r="D18" i="6"/>
  <c r="D19" i="6"/>
  <c r="D20" i="6"/>
  <c r="D13" i="6"/>
  <c r="T4" i="6"/>
  <c r="T3" i="6"/>
  <c r="T2" i="6"/>
  <c r="E13" i="6" l="1"/>
  <c r="F13" i="6" s="1"/>
  <c r="E25" i="6"/>
  <c r="F25" i="6" s="1"/>
  <c r="E19" i="6"/>
  <c r="F19" i="6" s="1"/>
  <c r="E15" i="6"/>
  <c r="F15" i="6" s="1"/>
  <c r="E23" i="6"/>
  <c r="F23" i="6" s="1"/>
  <c r="E27" i="6"/>
  <c r="F27" i="6" s="1"/>
  <c r="E17" i="6"/>
  <c r="F17" i="6" s="1"/>
  <c r="E21" i="6"/>
  <c r="F21" i="6" s="1"/>
  <c r="E29" i="6"/>
  <c r="F29" i="6" s="1"/>
  <c r="E20" i="6"/>
  <c r="F20" i="6" s="1"/>
  <c r="E16" i="6"/>
  <c r="F16" i="6" s="1"/>
  <c r="E22" i="6"/>
  <c r="F22" i="6" s="1"/>
  <c r="E30" i="6"/>
  <c r="F30" i="6" s="1"/>
  <c r="E18" i="6"/>
  <c r="F18" i="6" s="1"/>
  <c r="E14" i="6"/>
  <c r="F14" i="6" s="1"/>
  <c r="E24" i="6"/>
  <c r="F24" i="6" s="1"/>
  <c r="E28" i="6"/>
  <c r="F28" i="6" s="1"/>
  <c r="G46" i="6"/>
  <c r="G45" i="6"/>
  <c r="C44" i="5"/>
  <c r="D44" i="5" s="1"/>
  <c r="E44" i="5" s="1"/>
  <c r="F44" i="5" s="1"/>
  <c r="I44" i="5" s="1"/>
  <c r="C43" i="5"/>
  <c r="D43" i="5" s="1"/>
  <c r="E43" i="5" s="1"/>
  <c r="F43" i="5" s="1"/>
  <c r="I43" i="5" s="1"/>
  <c r="C42" i="5"/>
  <c r="D42" i="5" s="1"/>
  <c r="E42" i="5" s="1"/>
  <c r="F42" i="5" s="1"/>
  <c r="I42" i="5" s="1"/>
  <c r="C41" i="5"/>
  <c r="D41" i="5" s="1"/>
  <c r="E41" i="5" s="1"/>
  <c r="F41" i="5" s="1"/>
  <c r="I41" i="5" s="1"/>
  <c r="C40" i="5"/>
  <c r="D40" i="5" s="1"/>
  <c r="E40" i="5" s="1"/>
  <c r="F40" i="5" s="1"/>
  <c r="I40" i="5" s="1"/>
  <c r="C39" i="5"/>
  <c r="D39" i="5" s="1"/>
  <c r="E39" i="5" s="1"/>
  <c r="F39" i="5" s="1"/>
  <c r="I39" i="5" s="1"/>
  <c r="C38" i="5"/>
  <c r="D38" i="5" s="1"/>
  <c r="E38" i="5" s="1"/>
  <c r="F38" i="5" s="1"/>
  <c r="I38" i="5" s="1"/>
  <c r="C37" i="5"/>
  <c r="C36" i="5"/>
  <c r="C35" i="5"/>
  <c r="P32" i="5"/>
  <c r="P31" i="5"/>
  <c r="P30" i="5"/>
  <c r="P29" i="5"/>
  <c r="P28" i="5"/>
  <c r="P27" i="5"/>
  <c r="P26" i="5"/>
  <c r="P25" i="5"/>
  <c r="G47" i="6" l="1"/>
  <c r="G31" i="6"/>
  <c r="G32" i="6"/>
  <c r="C16" i="5"/>
  <c r="D16" i="5" s="1"/>
  <c r="E16" i="5" s="1"/>
  <c r="F16" i="5" s="1"/>
  <c r="I16" i="5" s="1"/>
  <c r="C17" i="5"/>
  <c r="D17" i="5" s="1"/>
  <c r="E17" i="5" s="1"/>
  <c r="F17" i="5" s="1"/>
  <c r="C18" i="5"/>
  <c r="D18" i="5" s="1"/>
  <c r="E18" i="5" s="1"/>
  <c r="F18" i="5" s="1"/>
  <c r="C19" i="5"/>
  <c r="D19" i="5" s="1"/>
  <c r="E19" i="5" s="1"/>
  <c r="F19" i="5" s="1"/>
  <c r="C15" i="5"/>
  <c r="D15" i="5" s="1"/>
  <c r="E15" i="5" s="1"/>
  <c r="F15" i="5" s="1"/>
  <c r="I15" i="5" s="1"/>
  <c r="C14" i="5"/>
  <c r="D14" i="5" s="1"/>
  <c r="E14" i="5" s="1"/>
  <c r="F14" i="5" s="1"/>
  <c r="I14" i="5" s="1"/>
  <c r="C13" i="5"/>
  <c r="D13" i="5" s="1"/>
  <c r="E13" i="5" s="1"/>
  <c r="F13" i="5" s="1"/>
  <c r="I13" i="5" s="1"/>
  <c r="C12" i="5"/>
  <c r="D12" i="5" s="1"/>
  <c r="E12" i="5" s="1"/>
  <c r="F12" i="5" s="1"/>
  <c r="I12" i="5" s="1"/>
  <c r="D36" i="5" l="1"/>
  <c r="E36" i="5" s="1"/>
  <c r="F36" i="5" s="1"/>
  <c r="I36" i="5" s="1"/>
  <c r="I18" i="5"/>
  <c r="D35" i="5"/>
  <c r="E35" i="5" s="1"/>
  <c r="F35" i="5" s="1"/>
  <c r="I35" i="5" s="1"/>
  <c r="I17" i="5"/>
  <c r="I21" i="5" s="1"/>
  <c r="D37" i="5"/>
  <c r="E37" i="5" s="1"/>
  <c r="F37" i="5" s="1"/>
  <c r="I37" i="5" s="1"/>
  <c r="I19" i="5"/>
  <c r="I46" i="5" l="1"/>
  <c r="I22" i="5"/>
  <c r="I45" i="5"/>
  <c r="I20" i="5"/>
  <c r="P4" i="5"/>
  <c r="P5" i="5"/>
  <c r="P6" i="5"/>
  <c r="P7" i="5"/>
  <c r="P8" i="5"/>
  <c r="P9" i="5"/>
  <c r="P3" i="5"/>
  <c r="P2" i="5"/>
  <c r="E17" i="2" l="1"/>
  <c r="E20" i="2" s="1"/>
  <c r="F16" i="2"/>
  <c r="F17" i="2" s="1"/>
  <c r="F20" i="2" s="1"/>
  <c r="L22" i="2"/>
  <c r="L23" i="2" s="1"/>
  <c r="L26" i="2" s="1"/>
  <c r="M22" i="2"/>
  <c r="M23" i="2" s="1"/>
  <c r="M26" i="2" s="1"/>
  <c r="J22" i="2"/>
  <c r="J23" i="2" s="1"/>
  <c r="J26" i="2" s="1"/>
  <c r="K22" i="2"/>
  <c r="K23" i="2" s="1"/>
  <c r="K26" i="2" s="1"/>
  <c r="I22" i="2"/>
  <c r="I23" i="2" s="1"/>
  <c r="I26" i="2" s="1"/>
  <c r="C16" i="2"/>
  <c r="C17" i="2" s="1"/>
  <c r="C20" i="2" s="1"/>
  <c r="D16" i="2"/>
  <c r="D17" i="2" s="1"/>
  <c r="D20" i="2" s="1"/>
  <c r="B16" i="2"/>
  <c r="B17" i="2" s="1"/>
  <c r="B20" i="2" s="1"/>
  <c r="L15" i="2" l="1"/>
  <c r="F6" i="2" l="1"/>
  <c r="F10" i="2"/>
  <c r="M15" i="2"/>
  <c r="M20" i="2"/>
  <c r="E6" i="2"/>
  <c r="E10" i="2"/>
  <c r="L20" i="2"/>
  <c r="F15" i="2" l="1"/>
  <c r="E19" i="2"/>
  <c r="L21" i="2"/>
  <c r="L25" i="2" s="1"/>
  <c r="F19" i="2"/>
  <c r="M21" i="2"/>
  <c r="M25" i="2" s="1"/>
  <c r="K20" i="2"/>
  <c r="J20" i="2"/>
  <c r="I20" i="2"/>
  <c r="K15" i="2"/>
  <c r="J15" i="2"/>
  <c r="I15" i="2"/>
  <c r="K7" i="2"/>
  <c r="J7" i="2"/>
  <c r="I7" i="2"/>
  <c r="D10" i="2"/>
  <c r="C10" i="2"/>
  <c r="B10" i="2"/>
  <c r="D6" i="2"/>
  <c r="C6" i="2"/>
  <c r="B6" i="2"/>
  <c r="B15" i="2" l="1"/>
  <c r="B19" i="2" s="1"/>
  <c r="C15" i="2"/>
  <c r="C19" i="2" s="1"/>
  <c r="D15" i="2"/>
  <c r="D19" i="2" s="1"/>
  <c r="K21" i="2"/>
  <c r="K25" i="2" s="1"/>
  <c r="I21" i="2"/>
  <c r="I25" i="2" s="1"/>
  <c r="J21" i="2"/>
  <c r="J25" i="2" s="1"/>
  <c r="B14" i="1"/>
  <c r="B16" i="1"/>
  <c r="C16" i="1" l="1"/>
  <c r="C14" i="1"/>
</calcChain>
</file>

<file path=xl/sharedStrings.xml><?xml version="1.0" encoding="utf-8"?>
<sst xmlns="http://schemas.openxmlformats.org/spreadsheetml/2006/main" count="524" uniqueCount="218">
  <si>
    <t>Week 1</t>
  </si>
  <si>
    <t>Week 3</t>
  </si>
  <si>
    <t>Week 6</t>
  </si>
  <si>
    <t>Week 9</t>
  </si>
  <si>
    <t>Week 12</t>
  </si>
  <si>
    <t>Range</t>
  </si>
  <si>
    <t>Mean</t>
  </si>
  <si>
    <t>86.67-98.67</t>
  </si>
  <si>
    <t>S. Deviation S</t>
  </si>
  <si>
    <t>Viability (%) Fresh Cartilage</t>
  </si>
  <si>
    <t>Viability (%) 2-Yr T-LE Allograft</t>
  </si>
  <si>
    <t>98.00-99.5</t>
  </si>
  <si>
    <t>214-1</t>
  </si>
  <si>
    <t>214-13</t>
  </si>
  <si>
    <t>214-16</t>
  </si>
  <si>
    <t>321-2</t>
  </si>
  <si>
    <t>321-14</t>
  </si>
  <si>
    <t>321-16</t>
  </si>
  <si>
    <t>239-1</t>
  </si>
  <si>
    <t>239-2</t>
  </si>
  <si>
    <t>239-4</t>
  </si>
  <si>
    <t>267-1</t>
  </si>
  <si>
    <t>267-2</t>
  </si>
  <si>
    <t>267-3</t>
  </si>
  <si>
    <t>267-4</t>
  </si>
  <si>
    <t>382-1</t>
  </si>
  <si>
    <t>382-2</t>
  </si>
  <si>
    <t>382-3</t>
  </si>
  <si>
    <t>382-4</t>
  </si>
  <si>
    <t>382-5</t>
  </si>
  <si>
    <t>382-6</t>
  </si>
  <si>
    <t>382-7</t>
  </si>
  <si>
    <t>018-1</t>
  </si>
  <si>
    <t>018-2</t>
  </si>
  <si>
    <t>018-3</t>
  </si>
  <si>
    <t>018-4</t>
  </si>
  <si>
    <t>Cryo T-LE</t>
  </si>
  <si>
    <t>Fresh T-LE</t>
  </si>
  <si>
    <t>Average 214</t>
  </si>
  <si>
    <t>Average 321</t>
  </si>
  <si>
    <t>Average 239</t>
  </si>
  <si>
    <t>Average 267</t>
  </si>
  <si>
    <t>Average 382</t>
  </si>
  <si>
    <t>Average 018</t>
  </si>
  <si>
    <t>F</t>
  </si>
  <si>
    <t>Donor Number</t>
  </si>
  <si>
    <t>X</t>
  </si>
  <si>
    <t>Fresh Articular Cartilage</t>
  </si>
  <si>
    <t>ALL SD</t>
  </si>
  <si>
    <t>All SD</t>
  </si>
  <si>
    <t>Cryo T-LE/10^5</t>
  </si>
  <si>
    <t>Fresh T-LE/10^5</t>
  </si>
  <si>
    <t>Values / 10^5</t>
  </si>
  <si>
    <t>A</t>
  </si>
  <si>
    <t>B</t>
  </si>
  <si>
    <t>C</t>
  </si>
  <si>
    <t>D</t>
  </si>
  <si>
    <t>E</t>
  </si>
  <si>
    <t>G</t>
  </si>
  <si>
    <t>H</t>
  </si>
  <si>
    <t xml:space="preserve">FRESH </t>
  </si>
  <si>
    <t>Y</t>
  </si>
  <si>
    <t>Y (Avg. Abs.)</t>
  </si>
  <si>
    <r>
      <t xml:space="preserve">X (Std. </t>
    </r>
    <r>
      <rPr>
        <b/>
        <sz val="11"/>
        <color theme="1"/>
        <rFont val="Calibri"/>
        <family val="2"/>
      </rPr>
      <t>μg)</t>
    </r>
  </si>
  <si>
    <t xml:space="preserve">Donor </t>
  </si>
  <si>
    <t xml:space="preserve">Sample </t>
  </si>
  <si>
    <t>Average</t>
  </si>
  <si>
    <r>
      <t>[ug]</t>
    </r>
    <r>
      <rPr>
        <b/>
        <sz val="11"/>
        <color theme="1"/>
        <rFont val="Calibri"/>
        <family val="2"/>
      </rPr>
      <t>¹</t>
    </r>
  </si>
  <si>
    <r>
      <t xml:space="preserve">ug/mL </t>
    </r>
    <r>
      <rPr>
        <b/>
        <sz val="11"/>
        <color theme="1"/>
        <rFont val="Calibri"/>
        <family val="2"/>
      </rPr>
      <t>²</t>
    </r>
  </si>
  <si>
    <t>Vol. (mL)</t>
  </si>
  <si>
    <t>Mass(g)</t>
  </si>
  <si>
    <r>
      <t>Total sGAG (ug/g of Tissue)</t>
    </r>
    <r>
      <rPr>
        <b/>
        <sz val="11"/>
        <color theme="1"/>
        <rFont val="Calibri"/>
        <family val="2"/>
      </rPr>
      <t>³</t>
    </r>
  </si>
  <si>
    <t xml:space="preserve">Fresh </t>
  </si>
  <si>
    <t>[ug]x DF</t>
  </si>
  <si>
    <t xml:space="preserve">Average </t>
  </si>
  <si>
    <t>STD</t>
  </si>
  <si>
    <t>†</t>
  </si>
  <si>
    <t xml:space="preserve">2 Yr. </t>
  </si>
  <si>
    <t>2yr. Cryo</t>
  </si>
  <si>
    <t>P-Value</t>
  </si>
  <si>
    <t xml:space="preserve">STD </t>
  </si>
  <si>
    <t>² ug/mL = (([ug]*1000uL)/200uL)</t>
  </si>
  <si>
    <t>³ Total sGAG=((ug/mL)*Volume)/mass(g)</t>
  </si>
  <si>
    <t>¹ [ug]= (Average-.0284/.0744)</t>
  </si>
  <si>
    <t>¹ [ug]= (Average-.0801/.0607)</t>
  </si>
  <si>
    <t xml:space="preserve">Cryopreserved Samples </t>
  </si>
  <si>
    <t xml:space="preserve">Absorbance </t>
  </si>
  <si>
    <t>Solve for X</t>
  </si>
  <si>
    <t xml:space="preserve">pg/g </t>
  </si>
  <si>
    <t>pg (pg*Vol)</t>
  </si>
  <si>
    <t xml:space="preserve">Vol. </t>
  </si>
  <si>
    <t xml:space="preserve">Weight </t>
  </si>
  <si>
    <t>214-2</t>
  </si>
  <si>
    <t>195-2</t>
  </si>
  <si>
    <t>454-2</t>
  </si>
  <si>
    <t>920-2</t>
  </si>
  <si>
    <t>428-2</t>
  </si>
  <si>
    <t>549-2</t>
  </si>
  <si>
    <t>308-2</t>
  </si>
  <si>
    <t xml:space="preserve">P-Value </t>
  </si>
  <si>
    <t>479-F</t>
  </si>
  <si>
    <t>905-F</t>
  </si>
  <si>
    <t>080-F</t>
  </si>
  <si>
    <t>541-F</t>
  </si>
  <si>
    <t>678-F</t>
  </si>
  <si>
    <t>426-F</t>
  </si>
  <si>
    <t>075-F</t>
  </si>
  <si>
    <t>495-F</t>
  </si>
  <si>
    <t>353-F</t>
  </si>
  <si>
    <t xml:space="preserve"> </t>
  </si>
  <si>
    <t>X (pg/mL)</t>
  </si>
  <si>
    <t>Y (Abs.)</t>
  </si>
  <si>
    <t>Multiply by DF (20)</t>
  </si>
  <si>
    <t>&lt;0.000</t>
  </si>
  <si>
    <t>Multiply by DF (100)</t>
  </si>
  <si>
    <t>Solve for X*</t>
  </si>
  <si>
    <t>Absorbance</t>
  </si>
  <si>
    <t>*</t>
  </si>
  <si>
    <t>Curve Name</t>
  </si>
  <si>
    <t>Curve Formula</t>
  </si>
  <si>
    <t>R2</t>
  </si>
  <si>
    <t>Fit F Prob</t>
  </si>
  <si>
    <t>Curve</t>
  </si>
  <si>
    <t>Y = (A-D)/(1+(X/C)^B) + D</t>
  </si>
  <si>
    <t>?????</t>
  </si>
  <si>
    <t xml:space="preserve">The 4-PL Curve was constructed on the synergyH1 plate reader software and the concentrations were output in the rows to the left. These concentrations were standardized with the DF, Volume and weight. </t>
  </si>
  <si>
    <t>OVERFLOW</t>
  </si>
  <si>
    <t xml:space="preserve">OVERFLOW </t>
  </si>
  <si>
    <t xml:space="preserve">Growth Factor Sample Volumes and Weights </t>
  </si>
  <si>
    <t xml:space="preserve">Sample Weight </t>
  </si>
  <si>
    <t xml:space="preserve">Buffer Volume </t>
  </si>
  <si>
    <t>0.51 g</t>
  </si>
  <si>
    <t>10 mL</t>
  </si>
  <si>
    <t>0.53 g</t>
  </si>
  <si>
    <t>0.58 g</t>
  </si>
  <si>
    <t>0.64 g</t>
  </si>
  <si>
    <t>0.42 g</t>
  </si>
  <si>
    <t>1.10 g</t>
  </si>
  <si>
    <t>20 mL</t>
  </si>
  <si>
    <t>0.18 g</t>
  </si>
  <si>
    <t>5 mL</t>
  </si>
  <si>
    <t>0.54 g</t>
  </si>
  <si>
    <t>15 mL</t>
  </si>
  <si>
    <t>0.75 g</t>
  </si>
  <si>
    <t>0.74 g</t>
  </si>
  <si>
    <t>0.27 g</t>
  </si>
  <si>
    <t>12.5 mL</t>
  </si>
  <si>
    <t>0.71 g</t>
  </si>
  <si>
    <t>1.70 g</t>
  </si>
  <si>
    <t>30 mL</t>
  </si>
  <si>
    <t>1.34 g</t>
  </si>
  <si>
    <t>25 mL</t>
  </si>
  <si>
    <t>0.39 g</t>
  </si>
  <si>
    <t>1.31 g</t>
  </si>
  <si>
    <t>0.44 g</t>
  </si>
  <si>
    <t>0.40 g</t>
  </si>
  <si>
    <t>0.43 g</t>
  </si>
  <si>
    <t>0.545 g</t>
  </si>
  <si>
    <t>0.56 g</t>
  </si>
  <si>
    <t>0.46 g</t>
  </si>
  <si>
    <t>0.38 g</t>
  </si>
  <si>
    <t>7 mL</t>
  </si>
  <si>
    <t>0.52 g</t>
  </si>
  <si>
    <t xml:space="preserve">Donor Number </t>
  </si>
  <si>
    <t>Sample Weight</t>
  </si>
  <si>
    <t xml:space="preserve">Volume of Media </t>
  </si>
  <si>
    <t>2 mL</t>
  </si>
  <si>
    <t>4 mL</t>
  </si>
  <si>
    <t>8 mL</t>
  </si>
  <si>
    <t>6 mL</t>
  </si>
  <si>
    <t>3 mL</t>
  </si>
  <si>
    <t>9 mL</t>
  </si>
  <si>
    <t>pg/mL (*10 DF)</t>
  </si>
  <si>
    <t>200080-Fresh</t>
  </si>
  <si>
    <t>200479-Fresh</t>
  </si>
  <si>
    <t>200678-Fresh</t>
  </si>
  <si>
    <t>201075-Fresh</t>
  </si>
  <si>
    <t>201353-Fresh</t>
  </si>
  <si>
    <t>201426 -Fresh</t>
  </si>
  <si>
    <t>201495 -Fresh</t>
  </si>
  <si>
    <t>201541-Fresh</t>
  </si>
  <si>
    <t>201905 -Fresh</t>
  </si>
  <si>
    <t>201495-Fresh</t>
  </si>
  <si>
    <t>201905-Fresh</t>
  </si>
  <si>
    <r>
      <t>Used for Sgag, TGF-</t>
    </r>
    <r>
      <rPr>
        <sz val="14"/>
        <color theme="1"/>
        <rFont val="Calibri"/>
        <family val="2"/>
      </rPr>
      <t>β</t>
    </r>
    <r>
      <rPr>
        <i/>
        <sz val="14"/>
        <color theme="1"/>
        <rFont val="Arial Narrow"/>
        <family val="2"/>
      </rPr>
      <t>1, and bFGF</t>
    </r>
  </si>
  <si>
    <t xml:space="preserve">Used for BMP-7 and PRG-4 </t>
  </si>
  <si>
    <t xml:space="preserve">Cell Culture Supernatants/Extract Sample Volume and Weights </t>
  </si>
  <si>
    <t xml:space="preserve">Units = ng/g </t>
  </si>
  <si>
    <r>
      <t xml:space="preserve">Units = 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g/g</t>
    </r>
  </si>
  <si>
    <t xml:space="preserve">184628-Cryo </t>
  </si>
  <si>
    <t xml:space="preserve">182969-Cryo </t>
  </si>
  <si>
    <t xml:space="preserve">192511-Cryo </t>
  </si>
  <si>
    <t xml:space="preserve">183682-Cryo </t>
  </si>
  <si>
    <t xml:space="preserve">183076-Cryo </t>
  </si>
  <si>
    <t>183630-Cryo</t>
  </si>
  <si>
    <t xml:space="preserve">190832-Cryo </t>
  </si>
  <si>
    <t xml:space="preserve">190863-Cryo </t>
  </si>
  <si>
    <t xml:space="preserve">182861-Cryo </t>
  </si>
  <si>
    <t xml:space="preserve">173428-Cryo </t>
  </si>
  <si>
    <t xml:space="preserve">175195-Cryo </t>
  </si>
  <si>
    <t>175308-Cryo</t>
  </si>
  <si>
    <t xml:space="preserve">174549-Cryo </t>
  </si>
  <si>
    <t xml:space="preserve">174454-Cryo </t>
  </si>
  <si>
    <t xml:space="preserve">165214-Cryo </t>
  </si>
  <si>
    <t xml:space="preserve">174791-Cryo </t>
  </si>
  <si>
    <t xml:space="preserve">165321-Cryo </t>
  </si>
  <si>
    <t xml:space="preserve">164920-Cryo </t>
  </si>
  <si>
    <t xml:space="preserve">165239-Cryo </t>
  </si>
  <si>
    <t xml:space="preserve">183630-Cryo </t>
  </si>
  <si>
    <t xml:space="preserve">175308-Cryo </t>
  </si>
  <si>
    <t>076</t>
  </si>
  <si>
    <t>Cryopreserved T-LE Allografts</t>
  </si>
  <si>
    <t>Fresh T-LE Allografts</t>
  </si>
  <si>
    <t>Samples that showed signs of contamination were discarded and no further measurements were taken</t>
  </si>
  <si>
    <t>Donor-Lot</t>
  </si>
  <si>
    <t>SEM/10^5</t>
  </si>
  <si>
    <t>All SEM</t>
  </si>
  <si>
    <t>ALL SEM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</si>
</sst>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Arial"/>
      <family val="2"/>
    </font>
    <font>
      <sz val="10"/>
      <color rgb="FF00008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sz val="12"/>
      <color theme="1"/>
      <name val="Arial"/>
      <family val="2"/>
    </font>
    <font>
      <i/>
      <sz val="14"/>
      <color theme="1"/>
      <name val="Arial Narrow"/>
      <family val="2"/>
    </font>
    <font>
      <b/>
      <sz val="12"/>
      <color theme="1"/>
      <name val="Arial"/>
      <family val="2"/>
    </font>
    <font>
      <sz val="12"/>
      <color rgb="FFFFFFFF"/>
      <name val="Arial"/>
      <family val="2"/>
    </font>
    <font>
      <sz val="14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n">
        <color theme="2" tint="-9.9978637043366805E-2"/>
      </bottom>
      <diagonal/>
    </border>
    <border>
      <left style="thick">
        <color indexed="64"/>
      </left>
      <right/>
      <top style="thin">
        <color theme="2" tint="-9.9978637043366805E-2"/>
      </top>
      <bottom/>
      <diagonal/>
    </border>
    <border>
      <left style="thin">
        <color theme="2" tint="-9.9978637043366805E-2"/>
      </left>
      <right/>
      <top/>
      <bottom/>
      <diagonal/>
    </border>
    <border>
      <left style="thick">
        <color indexed="64"/>
      </left>
      <right style="thin">
        <color theme="2" tint="-9.9978637043366805E-2"/>
      </right>
      <top style="thin">
        <color theme="2" tint="-9.9978637043366805E-2"/>
      </top>
      <bottom/>
      <diagonal/>
    </border>
    <border>
      <left style="thick">
        <color indexed="64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ck">
        <color indexed="64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thick">
        <color rgb="FF666666"/>
      </bottom>
      <diagonal/>
    </border>
    <border>
      <left/>
      <right style="medium">
        <color rgb="FF999999"/>
      </right>
      <top/>
      <bottom style="thick">
        <color rgb="FF66666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2" borderId="0" applyNumberFormat="0" applyBorder="0" applyAlignment="0" applyProtection="0"/>
    <xf numFmtId="0" fontId="1" fillId="3" borderId="0" applyNumberFormat="0" applyBorder="0" applyAlignment="0" applyProtection="0"/>
  </cellStyleXfs>
  <cellXfs count="184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5" xfId="0" applyBorder="1"/>
    <xf numFmtId="0" fontId="0" fillId="0" borderId="7" xfId="0" applyBorder="1"/>
    <xf numFmtId="2" fontId="0" fillId="0" borderId="2" xfId="0" applyNumberFormat="1" applyBorder="1"/>
    <xf numFmtId="0" fontId="0" fillId="0" borderId="5" xfId="0" applyBorder="1" applyAlignment="1">
      <alignment horizontal="right"/>
    </xf>
    <xf numFmtId="2" fontId="0" fillId="0" borderId="5" xfId="0" applyNumberFormat="1" applyBorder="1"/>
    <xf numFmtId="2" fontId="0" fillId="0" borderId="7" xfId="0" applyNumberFormat="1" applyBorder="1"/>
    <xf numFmtId="2" fontId="0" fillId="0" borderId="12" xfId="0" applyNumberFormat="1" applyBorder="1"/>
    <xf numFmtId="2" fontId="0" fillId="0" borderId="13" xfId="0" applyNumberFormat="1" applyBorder="1" applyAlignment="1">
      <alignment horizontal="right"/>
    </xf>
    <xf numFmtId="2" fontId="0" fillId="0" borderId="13" xfId="0" applyNumberFormat="1" applyBorder="1"/>
    <xf numFmtId="2" fontId="0" fillId="0" borderId="10" xfId="0" applyNumberFormat="1" applyBorder="1"/>
    <xf numFmtId="0" fontId="2" fillId="0" borderId="12" xfId="0" applyFont="1" applyBorder="1"/>
    <xf numFmtId="0" fontId="2" fillId="0" borderId="13" xfId="0" applyFont="1" applyBorder="1"/>
    <xf numFmtId="0" fontId="2" fillId="0" borderId="10" xfId="0" applyFont="1" applyBorder="1"/>
    <xf numFmtId="0" fontId="2" fillId="3" borderId="1" xfId="3" applyFont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horizontal="left"/>
    </xf>
    <xf numFmtId="0" fontId="2" fillId="3" borderId="11" xfId="3" applyFont="1" applyBorder="1" applyAlignment="1">
      <alignment horizontal="center" wrapText="1"/>
    </xf>
    <xf numFmtId="2" fontId="0" fillId="0" borderId="5" xfId="1" applyNumberFormat="1" applyFont="1" applyBorder="1"/>
    <xf numFmtId="0" fontId="3" fillId="2" borderId="5" xfId="2" applyBorder="1"/>
    <xf numFmtId="0" fontId="4" fillId="0" borderId="0" xfId="0" applyFont="1" applyBorder="1" applyAlignment="1">
      <alignment horizontal="center"/>
    </xf>
    <xf numFmtId="0" fontId="2" fillId="0" borderId="11" xfId="0" applyFont="1" applyBorder="1"/>
    <xf numFmtId="0" fontId="2" fillId="0" borderId="15" xfId="0" applyFont="1" applyBorder="1"/>
    <xf numFmtId="0" fontId="2" fillId="0" borderId="14" xfId="0" applyFont="1" applyBorder="1"/>
    <xf numFmtId="0" fontId="0" fillId="5" borderId="0" xfId="0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5" borderId="6" xfId="0" applyFill="1" applyBorder="1"/>
    <xf numFmtId="0" fontId="5" fillId="5" borderId="6" xfId="0" applyFont="1" applyFill="1" applyBorder="1"/>
    <xf numFmtId="0" fontId="0" fillId="5" borderId="4" xfId="0" applyFill="1" applyBorder="1"/>
    <xf numFmtId="0" fontId="0" fillId="0" borderId="8" xfId="0" applyBorder="1"/>
    <xf numFmtId="0" fontId="0" fillId="0" borderId="9" xfId="0" applyBorder="1"/>
    <xf numFmtId="0" fontId="2" fillId="5" borderId="14" xfId="0" applyFont="1" applyFill="1" applyBorder="1"/>
    <xf numFmtId="0" fontId="0" fillId="7" borderId="12" xfId="0" applyFill="1" applyBorder="1"/>
    <xf numFmtId="0" fontId="0" fillId="7" borderId="13" xfId="0" applyFill="1" applyBorder="1"/>
    <xf numFmtId="0" fontId="2" fillId="7" borderId="1" xfId="0" applyFont="1" applyFill="1" applyBorder="1"/>
    <xf numFmtId="0" fontId="0" fillId="5" borderId="3" xfId="0" applyFill="1" applyBorder="1"/>
    <xf numFmtId="0" fontId="6" fillId="6" borderId="1" xfId="0" applyFont="1" applyFill="1" applyBorder="1"/>
    <xf numFmtId="0" fontId="7" fillId="6" borderId="1" xfId="0" applyFont="1" applyFill="1" applyBorder="1"/>
    <xf numFmtId="0" fontId="2" fillId="7" borderId="1" xfId="0" applyFont="1" applyFill="1" applyBorder="1" applyAlignment="1"/>
    <xf numFmtId="0" fontId="2" fillId="7" borderId="15" xfId="0" applyFont="1" applyFill="1" applyBorder="1" applyAlignment="1"/>
    <xf numFmtId="165" fontId="2" fillId="7" borderId="14" xfId="0" applyNumberFormat="1" applyFont="1" applyFill="1" applyBorder="1" applyAlignment="1"/>
    <xf numFmtId="0" fontId="2" fillId="6" borderId="1" xfId="0" applyFont="1" applyFill="1" applyBorder="1" applyAlignment="1"/>
    <xf numFmtId="0" fontId="2" fillId="6" borderId="15" xfId="0" applyFont="1" applyFill="1" applyBorder="1" applyAlignment="1"/>
    <xf numFmtId="165" fontId="2" fillId="6" borderId="14" xfId="0" applyNumberFormat="1" applyFont="1" applyFill="1" applyBorder="1" applyAlignment="1"/>
    <xf numFmtId="0" fontId="2" fillId="7" borderId="14" xfId="0" applyFont="1" applyFill="1" applyBorder="1" applyAlignment="1"/>
    <xf numFmtId="0" fontId="0" fillId="6" borderId="3" xfId="0" applyFill="1" applyBorder="1"/>
    <xf numFmtId="0" fontId="0" fillId="6" borderId="4" xfId="0" applyFill="1" applyBorder="1"/>
    <xf numFmtId="0" fontId="7" fillId="6" borderId="12" xfId="0" applyFont="1" applyFill="1" applyBorder="1"/>
    <xf numFmtId="0" fontId="0" fillId="0" borderId="1" xfId="0" applyBorder="1"/>
    <xf numFmtId="0" fontId="2" fillId="7" borderId="2" xfId="0" applyFont="1" applyFill="1" applyBorder="1"/>
    <xf numFmtId="0" fontId="0" fillId="7" borderId="3" xfId="0" applyFill="1" applyBorder="1"/>
    <xf numFmtId="0" fontId="0" fillId="7" borderId="4" xfId="0" applyFill="1" applyBorder="1"/>
    <xf numFmtId="0" fontId="2" fillId="7" borderId="7" xfId="0" applyFont="1" applyFill="1" applyBorder="1"/>
    <xf numFmtId="0" fontId="2" fillId="6" borderId="2" xfId="0" applyFont="1" applyFill="1" applyBorder="1"/>
    <xf numFmtId="0" fontId="2" fillId="6" borderId="7" xfId="0" applyFont="1" applyFill="1" applyBorder="1"/>
    <xf numFmtId="0" fontId="0" fillId="9" borderId="16" xfId="0" applyFill="1" applyBorder="1" applyAlignment="1">
      <alignment horizontal="left" vertical="center" wrapText="1" indent="1"/>
    </xf>
    <xf numFmtId="0" fontId="8" fillId="9" borderId="16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13" fillId="0" borderId="0" xfId="0" applyFont="1"/>
    <xf numFmtId="0" fontId="0" fillId="10" borderId="1" xfId="0" applyFill="1" applyBorder="1"/>
    <xf numFmtId="0" fontId="6" fillId="0" borderId="16" xfId="0" applyFont="1" applyBorder="1" applyAlignment="1">
      <alignment horizontal="center" vertical="center" wrapText="1"/>
    </xf>
    <xf numFmtId="0" fontId="8" fillId="9" borderId="17" xfId="0" applyFont="1" applyFill="1" applyBorder="1" applyAlignment="1">
      <alignment horizontal="center" vertical="center" wrapText="1"/>
    </xf>
    <xf numFmtId="0" fontId="8" fillId="9" borderId="18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9" fillId="8" borderId="16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4" fillId="9" borderId="16" xfId="0" applyFont="1" applyFill="1" applyBorder="1" applyAlignment="1">
      <alignment vertical="center" wrapText="1"/>
    </xf>
    <xf numFmtId="0" fontId="13" fillId="0" borderId="1" xfId="0" applyFont="1" applyBorder="1"/>
    <xf numFmtId="0" fontId="10" fillId="4" borderId="16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0" fillId="5" borderId="0" xfId="0" applyFill="1"/>
    <xf numFmtId="0" fontId="2" fillId="0" borderId="24" xfId="0" applyFont="1" applyBorder="1" applyAlignment="1">
      <alignment horizontal="center"/>
    </xf>
    <xf numFmtId="0" fontId="0" fillId="0" borderId="23" xfId="0" applyBorder="1"/>
    <xf numFmtId="0" fontId="2" fillId="0" borderId="9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/>
    <xf numFmtId="0" fontId="0" fillId="0" borderId="15" xfId="0" applyBorder="1"/>
    <xf numFmtId="0" fontId="2" fillId="0" borderId="27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0" fillId="11" borderId="14" xfId="0" applyFont="1" applyFill="1" applyBorder="1" applyAlignment="1">
      <alignment horizontal="center" vertical="center" wrapText="1"/>
    </xf>
    <xf numFmtId="0" fontId="0" fillId="11" borderId="22" xfId="0" applyFill="1" applyBorder="1" applyAlignment="1">
      <alignment horizontal="center"/>
    </xf>
    <xf numFmtId="0" fontId="10" fillId="11" borderId="4" xfId="0" applyFont="1" applyFill="1" applyBorder="1" applyAlignment="1">
      <alignment horizontal="center" vertical="center" wrapText="1"/>
    </xf>
    <xf numFmtId="0" fontId="0" fillId="11" borderId="30" xfId="0" applyFill="1" applyBorder="1" applyAlignment="1">
      <alignment horizontal="center"/>
    </xf>
    <xf numFmtId="0" fontId="10" fillId="11" borderId="26" xfId="0" applyFont="1" applyFill="1" applyBorder="1" applyAlignment="1">
      <alignment horizontal="center" vertical="center" wrapText="1"/>
    </xf>
    <xf numFmtId="0" fontId="10" fillId="11" borderId="16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12" borderId="16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0" fillId="12" borderId="0" xfId="0" applyFill="1"/>
    <xf numFmtId="0" fontId="0" fillId="4" borderId="0" xfId="0" applyFill="1"/>
    <xf numFmtId="0" fontId="10" fillId="12" borderId="14" xfId="0" applyFont="1" applyFill="1" applyBorder="1" applyAlignment="1">
      <alignment horizontal="center" vertical="center" wrapText="1"/>
    </xf>
    <xf numFmtId="0" fontId="0" fillId="12" borderId="22" xfId="0" applyFill="1" applyBorder="1" applyAlignment="1">
      <alignment horizontal="center"/>
    </xf>
    <xf numFmtId="0" fontId="10" fillId="12" borderId="4" xfId="0" applyFont="1" applyFill="1" applyBorder="1" applyAlignment="1">
      <alignment horizontal="center" vertical="center" wrapText="1"/>
    </xf>
    <xf numFmtId="0" fontId="0" fillId="12" borderId="30" xfId="0" applyFill="1" applyBorder="1" applyAlignment="1">
      <alignment horizontal="center"/>
    </xf>
    <xf numFmtId="0" fontId="15" fillId="0" borderId="16" xfId="0" applyFont="1" applyBorder="1" applyAlignment="1">
      <alignment horizontal="center" vertical="center" wrapText="1"/>
    </xf>
    <xf numFmtId="0" fontId="0" fillId="5" borderId="11" xfId="0" applyFill="1" applyBorder="1"/>
    <xf numFmtId="0" fontId="0" fillId="12" borderId="11" xfId="0" applyFill="1" applyBorder="1"/>
    <xf numFmtId="0" fontId="0" fillId="0" borderId="11" xfId="0" applyBorder="1"/>
    <xf numFmtId="0" fontId="5" fillId="0" borderId="1" xfId="0" applyFont="1" applyBorder="1" applyAlignment="1">
      <alignment horizontal="center"/>
    </xf>
    <xf numFmtId="0" fontId="0" fillId="12" borderId="22" xfId="0" applyFill="1" applyBorder="1" applyAlignment="1">
      <alignment horizontal="center" vertical="center"/>
    </xf>
    <xf numFmtId="0" fontId="0" fillId="12" borderId="30" xfId="0" applyFill="1" applyBorder="1" applyAlignment="1">
      <alignment horizontal="center" vertical="center"/>
    </xf>
    <xf numFmtId="0" fontId="0" fillId="0" borderId="32" xfId="0" applyBorder="1"/>
    <xf numFmtId="0" fontId="13" fillId="4" borderId="33" xfId="0" applyFont="1" applyFill="1" applyBorder="1"/>
    <xf numFmtId="0" fontId="0" fillId="0" borderId="34" xfId="0" applyBorder="1"/>
    <xf numFmtId="0" fontId="0" fillId="4" borderId="33" xfId="0" applyFill="1" applyBorder="1"/>
    <xf numFmtId="0" fontId="0" fillId="4" borderId="35" xfId="0" applyFill="1" applyBorder="1"/>
    <xf numFmtId="0" fontId="0" fillId="4" borderId="36" xfId="0" applyFill="1" applyBorder="1"/>
    <xf numFmtId="0" fontId="0" fillId="4" borderId="37" xfId="0" applyFill="1" applyBorder="1"/>
    <xf numFmtId="0" fontId="16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6" fillId="0" borderId="38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0" fillId="11" borderId="19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0" xfId="0" applyFill="1"/>
    <xf numFmtId="0" fontId="18" fillId="0" borderId="40" xfId="0" applyFont="1" applyBorder="1" applyAlignment="1">
      <alignment vertical="center" wrapText="1"/>
    </xf>
    <xf numFmtId="0" fontId="18" fillId="0" borderId="4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49" fontId="0" fillId="0" borderId="26" xfId="0" applyNumberFormat="1" applyBorder="1" applyAlignment="1">
      <alignment horizontal="center"/>
    </xf>
    <xf numFmtId="0" fontId="0" fillId="4" borderId="1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5" borderId="1" xfId="0" applyFill="1" applyBorder="1"/>
    <xf numFmtId="0" fontId="2" fillId="0" borderId="0" xfId="0" applyFont="1" applyFill="1" applyBorder="1"/>
    <xf numFmtId="0" fontId="6" fillId="7" borderId="13" xfId="0" applyFont="1" applyFill="1" applyBorder="1"/>
    <xf numFmtId="0" fontId="6" fillId="0" borderId="5" xfId="0" applyFont="1" applyBorder="1"/>
    <xf numFmtId="0" fontId="6" fillId="0" borderId="0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7" borderId="8" xfId="0" applyFill="1" applyBorder="1"/>
    <xf numFmtId="0" fontId="0" fillId="7" borderId="9" xfId="0" applyFill="1" applyBorder="1"/>
    <xf numFmtId="0" fontId="0" fillId="6" borderId="8" xfId="0" applyFill="1" applyBorder="1"/>
    <xf numFmtId="0" fontId="0" fillId="6" borderId="9" xfId="0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4" xfId="0" applyFont="1" applyFill="1" applyBorder="1" applyAlignment="1"/>
    <xf numFmtId="0" fontId="7" fillId="0" borderId="15" xfId="0" applyFont="1" applyBorder="1"/>
  </cellXfs>
  <cellStyles count="4">
    <cellStyle name="20% - Accent3" xfId="3" builtinId="38"/>
    <cellStyle name="Accent3" xfId="2" builtinId="37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Ex5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>
                <a:solidFill>
                  <a:sysClr val="windowText" lastClr="000000"/>
                </a:solidFill>
                <a:latin typeface="Lucida Sans" panose="020B0602030504020204" pitchFamily="34" charset="0"/>
              </a:rPr>
              <a:t>Viability</a:t>
            </a:r>
            <a:r>
              <a:rPr lang="en-US" sz="1100" baseline="0">
                <a:solidFill>
                  <a:sysClr val="windowText" lastClr="000000"/>
                </a:solidFill>
                <a:latin typeface="Lucida Sans" panose="020B0602030504020204" pitchFamily="34" charset="0"/>
              </a:rPr>
              <a:t> of Fresh and 2-Year Cryopreserved T-LE Allograft</a:t>
            </a:r>
            <a:endParaRPr lang="en-US" sz="1100">
              <a:solidFill>
                <a:sysClr val="windowText" lastClr="000000"/>
              </a:solidFill>
              <a:latin typeface="Lucida Sans" panose="020B0602030504020204" pitchFamily="34" charset="0"/>
            </a:endParaRPr>
          </a:p>
        </c:rich>
      </c:tx>
      <c:layout>
        <c:manualLayout>
          <c:xMode val="edge"/>
          <c:yMode val="edge"/>
          <c:x val="0.16039653998790132"/>
          <c:y val="2.97951582867783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0389417295116877"/>
          <c:y val="0.15718839862200623"/>
          <c:w val="0.64141656540475533"/>
          <c:h val="0.66346303031094234"/>
        </c:manualLayout>
      </c:layout>
      <c:barChart>
        <c:barDir val="col"/>
        <c:grouping val="clustered"/>
        <c:varyColors val="0"/>
        <c:ser>
          <c:idx val="0"/>
          <c:order val="0"/>
          <c:tx>
            <c:v>Fresh Articular Cartilage (n=9)</c:v>
          </c:tx>
          <c:spPr>
            <a:solidFill>
              <a:schemeClr val="accent3">
                <a:shade val="76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'Fresh and T-LE Viability'!$B$16</c:f>
                <c:numCache>
                  <c:formatCode>General</c:formatCode>
                  <c:ptCount val="1"/>
                  <c:pt idx="0">
                    <c:v>0.43301270189221935</c:v>
                  </c:pt>
                </c:numCache>
              </c:numRef>
            </c:plus>
            <c:minus>
              <c:numRef>
                <c:f>'Fresh and T-LE Viability'!$B$16</c:f>
                <c:numCache>
                  <c:formatCode>General</c:formatCode>
                  <c:ptCount val="1"/>
                  <c:pt idx="0">
                    <c:v>0.43301270189221935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'Fresh and T-LE Viability'!$B$14</c:f>
              <c:numCache>
                <c:formatCode>0.00</c:formatCode>
                <c:ptCount val="1"/>
                <c:pt idx="0">
                  <c:v>98.833333333333329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B53-4C8D-A99F-7E0DFBF64A8F}"/>
            </c:ext>
          </c:extLst>
        </c:ser>
        <c:ser>
          <c:idx val="1"/>
          <c:order val="1"/>
          <c:tx>
            <c:v>2-Year Cryopreserved T-LE Allograft (n=12)</c:v>
          </c:tx>
          <c:spPr>
            <a:solidFill>
              <a:schemeClr val="accent3">
                <a:tint val="77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'Fresh and T-LE Viability'!$C$16</c:f>
                <c:numCache>
                  <c:formatCode>General</c:formatCode>
                  <c:ptCount val="1"/>
                  <c:pt idx="0">
                    <c:v>3.3823427419826073</c:v>
                  </c:pt>
                </c:numCache>
              </c:numRef>
            </c:plus>
            <c:minus>
              <c:numRef>
                <c:f>'Fresh and T-LE Viability'!$C$16</c:f>
                <c:numCache>
                  <c:formatCode>General</c:formatCode>
                  <c:ptCount val="1"/>
                  <c:pt idx="0">
                    <c:v>3.3823427419826073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'Fresh and T-LE Viability'!$C$14</c:f>
              <c:numCache>
                <c:formatCode>0.00</c:formatCode>
                <c:ptCount val="1"/>
                <c:pt idx="0">
                  <c:v>94.973333333333343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B53-4C8D-A99F-7E0DFBF64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16"/>
        <c:axId val="1063274079"/>
        <c:axId val="1225199119"/>
      </c:barChart>
      <c:catAx>
        <c:axId val="1063274079"/>
        <c:scaling>
          <c:orientation val="minMax"/>
        </c:scaling>
        <c:delete val="1"/>
        <c:axPos val="b"/>
        <c:majorTickMark val="none"/>
        <c:minorTickMark val="none"/>
        <c:tickLblPos val="nextTo"/>
        <c:crossAx val="1225199119"/>
        <c:crosses val="autoZero"/>
        <c:auto val="1"/>
        <c:lblAlgn val="ctr"/>
        <c:lblOffset val="100"/>
        <c:noMultiLvlLbl val="0"/>
      </c:catAx>
      <c:valAx>
        <c:axId val="1225199119"/>
        <c:scaling>
          <c:orientation val="minMax"/>
          <c:max val="10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>
                    <a:solidFill>
                      <a:sysClr val="windowText" lastClr="000000"/>
                    </a:solidFill>
                    <a:latin typeface="Lucida Sans" panose="020B0602030504020204" pitchFamily="34" charset="0"/>
                  </a:rPr>
                  <a:t>% Viability</a:t>
                </a:r>
              </a:p>
            </c:rich>
          </c:tx>
          <c:layout>
            <c:manualLayout>
              <c:xMode val="edge"/>
              <c:yMode val="edge"/>
              <c:x val="7.9115826923558744E-2"/>
              <c:y val="0.4304071958957882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32740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270150076416205"/>
          <c:y val="0.83340505153919653"/>
          <c:w val="0.86917287287349987"/>
          <c:h val="0.115580458035811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554996151358692"/>
          <c:y val="5.0925925925925923E-2"/>
          <c:w val="0.82773749559488907"/>
          <c:h val="0.78669728783902027"/>
        </c:manualLayout>
      </c:layout>
      <c:barChart>
        <c:barDir val="col"/>
        <c:grouping val="clustered"/>
        <c:varyColors val="0"/>
        <c:ser>
          <c:idx val="0"/>
          <c:order val="0"/>
          <c:tx>
            <c:v>Fresh T-LE Allograft</c:v>
          </c:tx>
          <c:spPr>
            <a:solidFill>
              <a:schemeClr val="accent3">
                <a:shade val="76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'Explant Presto Blue'!$I$26:$M$26</c:f>
                <c:numCache>
                  <c:formatCode>General</c:formatCode>
                  <c:ptCount val="5"/>
                  <c:pt idx="0">
                    <c:v>8.1966810874162799E-2</c:v>
                  </c:pt>
                  <c:pt idx="1">
                    <c:v>0.15091335335727549</c:v>
                  </c:pt>
                  <c:pt idx="2">
                    <c:v>0.44634323498823292</c:v>
                  </c:pt>
                  <c:pt idx="3">
                    <c:v>0.62624775848085756</c:v>
                  </c:pt>
                  <c:pt idx="4">
                    <c:v>0.75871900720665097</c:v>
                  </c:pt>
                </c:numCache>
              </c:numRef>
            </c:plus>
            <c:minus>
              <c:numRef>
                <c:f>'Explant Presto Blue'!$I$26:$M$26</c:f>
                <c:numCache>
                  <c:formatCode>General</c:formatCode>
                  <c:ptCount val="5"/>
                  <c:pt idx="0">
                    <c:v>8.1966810874162799E-2</c:v>
                  </c:pt>
                  <c:pt idx="1">
                    <c:v>0.15091335335727549</c:v>
                  </c:pt>
                  <c:pt idx="2">
                    <c:v>0.44634323498823292</c:v>
                  </c:pt>
                  <c:pt idx="3">
                    <c:v>0.62624775848085756</c:v>
                  </c:pt>
                  <c:pt idx="4">
                    <c:v>0.75871900720665097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[2]Explant!$B$3:$F$3</c:f>
              <c:strCache>
                <c:ptCount val="5"/>
                <c:pt idx="0">
                  <c:v>Week 1</c:v>
                </c:pt>
                <c:pt idx="1">
                  <c:v>Week 3</c:v>
                </c:pt>
                <c:pt idx="2">
                  <c:v>Week 6</c:v>
                </c:pt>
                <c:pt idx="3">
                  <c:v>Week 9</c:v>
                </c:pt>
                <c:pt idx="4">
                  <c:v>Week 12</c:v>
                </c:pt>
              </c:strCache>
            </c:strRef>
          </c:cat>
          <c:val>
            <c:numRef>
              <c:f>'Explant Presto Blue'!$I$25:$M$25</c:f>
              <c:numCache>
                <c:formatCode>General</c:formatCode>
                <c:ptCount val="5"/>
                <c:pt idx="0">
                  <c:v>0.29574926222664932</c:v>
                </c:pt>
                <c:pt idx="1">
                  <c:v>0.94041984717009164</c:v>
                </c:pt>
                <c:pt idx="2">
                  <c:v>1.492690960714818</c:v>
                </c:pt>
                <c:pt idx="3">
                  <c:v>2.2175691247739158</c:v>
                </c:pt>
                <c:pt idx="4">
                  <c:v>3.2471655156779335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9-433D-8571-1F40F750297E}"/>
            </c:ext>
          </c:extLst>
        </c:ser>
        <c:ser>
          <c:idx val="1"/>
          <c:order val="1"/>
          <c:tx>
            <c:v>Cryopreserved T-LE Allograft</c:v>
          </c:tx>
          <c:spPr>
            <a:solidFill>
              <a:schemeClr val="accent3">
                <a:tint val="77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'Explant Presto Blue'!$B$20:$F$20</c:f>
                <c:numCache>
                  <c:formatCode>General</c:formatCode>
                  <c:ptCount val="5"/>
                  <c:pt idx="0">
                    <c:v>9.6537539770080755E-2</c:v>
                  </c:pt>
                  <c:pt idx="1">
                    <c:v>0.61066994593091861</c:v>
                  </c:pt>
                  <c:pt idx="2">
                    <c:v>0.59425844481900325</c:v>
                  </c:pt>
                  <c:pt idx="3">
                    <c:v>1.3287414357903298</c:v>
                  </c:pt>
                  <c:pt idx="4">
                    <c:v>1.1149128620821125</c:v>
                  </c:pt>
                </c:numCache>
              </c:numRef>
            </c:plus>
            <c:minus>
              <c:numRef>
                <c:f>'Explant Presto Blue'!$B$20:$F$20</c:f>
                <c:numCache>
                  <c:formatCode>General</c:formatCode>
                  <c:ptCount val="5"/>
                  <c:pt idx="0">
                    <c:v>9.6537539770080755E-2</c:v>
                  </c:pt>
                  <c:pt idx="1">
                    <c:v>0.61066994593091861</c:v>
                  </c:pt>
                  <c:pt idx="2">
                    <c:v>0.59425844481900325</c:v>
                  </c:pt>
                  <c:pt idx="3">
                    <c:v>1.3287414357903298</c:v>
                  </c:pt>
                  <c:pt idx="4">
                    <c:v>1.1149128620821125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[2]Explant!$B$3:$F$3</c:f>
              <c:strCache>
                <c:ptCount val="5"/>
                <c:pt idx="0">
                  <c:v>Week 1</c:v>
                </c:pt>
                <c:pt idx="1">
                  <c:v>Week 3</c:v>
                </c:pt>
                <c:pt idx="2">
                  <c:v>Week 6</c:v>
                </c:pt>
                <c:pt idx="3">
                  <c:v>Week 9</c:v>
                </c:pt>
                <c:pt idx="4">
                  <c:v>Week 12</c:v>
                </c:pt>
              </c:strCache>
            </c:strRef>
          </c:cat>
          <c:val>
            <c:numRef>
              <c:f>'Explant Presto Blue'!$B$19:$F$19</c:f>
              <c:numCache>
                <c:formatCode>General</c:formatCode>
                <c:ptCount val="5"/>
                <c:pt idx="0">
                  <c:v>0.29338557082560623</c:v>
                </c:pt>
                <c:pt idx="1">
                  <c:v>1.4063446209811161</c:v>
                </c:pt>
                <c:pt idx="2">
                  <c:v>2.5598410515054262</c:v>
                </c:pt>
                <c:pt idx="3">
                  <c:v>3.9083837775291435</c:v>
                </c:pt>
                <c:pt idx="4">
                  <c:v>5.189491888582797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A9-433D-8571-1F40F75029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6"/>
        <c:overlap val="-15"/>
        <c:axId val="1671134592"/>
        <c:axId val="1674801840"/>
      </c:barChart>
      <c:catAx>
        <c:axId val="1671134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4801840"/>
        <c:crosses val="autoZero"/>
        <c:auto val="1"/>
        <c:lblAlgn val="ctr"/>
        <c:lblOffset val="1"/>
        <c:tickLblSkip val="1"/>
        <c:noMultiLvlLbl val="0"/>
      </c:catAx>
      <c:valAx>
        <c:axId val="167480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/>
                    </a:solidFill>
                    <a:latin typeface="Lucida Sans" panose="020B0602030504020204" pitchFamily="34" charset="0"/>
                    <a:ea typeface="+mn-ea"/>
                    <a:cs typeface="+mn-cs"/>
                  </a:defRPr>
                </a:pPr>
                <a:r>
                  <a:rPr lang="en-US" sz="1050">
                    <a:solidFill>
                      <a:schemeClr val="tx1"/>
                    </a:solidFill>
                    <a:latin typeface="Lucida Sans" panose="020B0602030504020204" pitchFamily="34" charset="0"/>
                  </a:rPr>
                  <a:t>Viabl</a:t>
                </a:r>
                <a:r>
                  <a:rPr lang="en-US" sz="1050" baseline="0">
                    <a:solidFill>
                      <a:schemeClr val="tx1"/>
                    </a:solidFill>
                    <a:latin typeface="Lucida Sans" panose="020B0602030504020204" pitchFamily="34" charset="0"/>
                  </a:rPr>
                  <a:t>e Cell Count 10</a:t>
                </a:r>
                <a:r>
                  <a:rPr lang="en-US" sz="1050" baseline="30000">
                    <a:solidFill>
                      <a:schemeClr val="tx1"/>
                    </a:solidFill>
                    <a:latin typeface="Lucida Sans" panose="020B0602030504020204" pitchFamily="34" charset="0"/>
                  </a:rPr>
                  <a:t>5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/>
                  </a:solidFill>
                  <a:latin typeface="Lucida Sans" panose="020B0602030504020204" pitchFamily="34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1134592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layout>
        <c:manualLayout>
          <c:xMode val="edge"/>
          <c:yMode val="edge"/>
          <c:x val="0.10922336284264929"/>
          <c:y val="0.91724482356372106"/>
          <c:w val="0.78155327431470134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Lucida Sans" panose="020B0602030504020204" pitchFamily="34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Fresh sGAG</a:t>
            </a:r>
            <a:r>
              <a:rPr lang="en-US" baseline="0"/>
              <a:t> Samples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4.8458005249343829E-2"/>
                  <c:y val="0.411620370370370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'sGAG Raw Data '!$O$2:$O$9</c:f>
              <c:numCache>
                <c:formatCode>General</c:formatCode>
                <c:ptCount val="8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</c:numCache>
            </c:numRef>
          </c:xVal>
          <c:yVal>
            <c:numRef>
              <c:f>'sGAG Raw Data '!$P$2:$P$9</c:f>
              <c:numCache>
                <c:formatCode>General</c:formatCode>
                <c:ptCount val="8"/>
                <c:pt idx="0">
                  <c:v>0.52649999999999997</c:v>
                </c:pt>
                <c:pt idx="1">
                  <c:v>0.48199999999999998</c:v>
                </c:pt>
                <c:pt idx="2">
                  <c:v>0.41299999999999998</c:v>
                </c:pt>
                <c:pt idx="3">
                  <c:v>0.34399999999999997</c:v>
                </c:pt>
                <c:pt idx="4">
                  <c:v>0.27450000000000002</c:v>
                </c:pt>
                <c:pt idx="5">
                  <c:v>0.156</c:v>
                </c:pt>
                <c:pt idx="6">
                  <c:v>6.25E-2</c:v>
                </c:pt>
                <c:pt idx="7">
                  <c:v>5.2999999999999999E-2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25C-4BEB-AD4B-106384D00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4028863"/>
        <c:axId val="1737889855"/>
      </c:scatterChart>
      <c:valAx>
        <c:axId val="18240288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</a:t>
                </a:r>
                <a:r>
                  <a:rPr lang="el-GR">
                    <a:latin typeface="Calibri" panose="020F0502020204030204" pitchFamily="34" charset="0"/>
                    <a:cs typeface="Calibri" panose="020F0502020204030204" pitchFamily="34" charset="0"/>
                  </a:rPr>
                  <a:t>μ</a:t>
                </a:r>
                <a:r>
                  <a:rPr lang="en-US">
                    <a:latin typeface="Calibri" panose="020F0502020204030204" pitchFamily="34" charset="0"/>
                    <a:cs typeface="Calibri" panose="020F0502020204030204" pitchFamily="34" charset="0"/>
                  </a:rPr>
                  <a:t>g)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7889855"/>
        <c:crosses val="autoZero"/>
        <c:crossBetween val="midCat"/>
      </c:valAx>
      <c:valAx>
        <c:axId val="1737889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Absorbance</a:t>
                </a:r>
              </a:p>
              <a:p>
                <a:pPr>
                  <a:defRPr/>
                </a:pPr>
                <a:r>
                  <a:rPr lang="en-US" baseline="0"/>
                  <a:t> 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40288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Cryopreserved</a:t>
            </a:r>
            <a:r>
              <a:rPr lang="en-US" baseline="0"/>
              <a:t> T-LE Allograft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6235783027121609E-2"/>
                  <c:y val="0.401944079906678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'sGAG Raw Data '!$O$25:$O$32</c:f>
              <c:numCache>
                <c:formatCode>General</c:formatCode>
                <c:ptCount val="8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</c:numCache>
            </c:numRef>
          </c:xVal>
          <c:yVal>
            <c:numRef>
              <c:f>'sGAG Raw Data '!$P$25:$P$32</c:f>
              <c:numCache>
                <c:formatCode>General</c:formatCode>
                <c:ptCount val="8"/>
                <c:pt idx="0">
                  <c:v>0.48833333333333329</c:v>
                </c:pt>
                <c:pt idx="1">
                  <c:v>0.46200000000000002</c:v>
                </c:pt>
                <c:pt idx="2">
                  <c:v>0.35966666666666663</c:v>
                </c:pt>
                <c:pt idx="3">
                  <c:v>0.35666666666666663</c:v>
                </c:pt>
                <c:pt idx="4">
                  <c:v>0.26666666666666666</c:v>
                </c:pt>
                <c:pt idx="5">
                  <c:v>0.20666666666666667</c:v>
                </c:pt>
                <c:pt idx="6">
                  <c:v>0.11833333333333333</c:v>
                </c:pt>
                <c:pt idx="7">
                  <c:v>8.3333333333333329E-2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670-4539-8F6F-6414D0796F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9825343"/>
        <c:axId val="1596446351"/>
      </c:scatterChart>
      <c:valAx>
        <c:axId val="18798253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baseline="0">
                    <a:effectLst/>
                  </a:rPr>
                  <a:t>Concentration (</a:t>
                </a:r>
                <a:r>
                  <a:rPr lang="el-GR" sz="1000" b="0" i="0" baseline="0">
                    <a:effectLst/>
                  </a:rPr>
                  <a:t>μ</a:t>
                </a:r>
                <a:r>
                  <a:rPr lang="en-US" sz="1000" b="0" i="0" baseline="0">
                    <a:effectLst/>
                  </a:rPr>
                  <a:t>g)</a:t>
                </a:r>
                <a:endParaRPr lang="en-US" sz="10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6446351"/>
        <c:crosses val="autoZero"/>
        <c:crossBetween val="midCat"/>
      </c:valAx>
      <c:valAx>
        <c:axId val="1596446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Absorbance</a:t>
                </a:r>
                <a:endParaRPr lang="en-US" baseline="0"/>
              </a:p>
              <a:p>
                <a:pPr>
                  <a:defRPr/>
                </a:pPr>
                <a:endParaRPr lang="en-US"/>
              </a:p>
            </c:rich>
          </c:tx>
          <c:layout>
            <c:manualLayout>
              <c:xMode val="edge"/>
              <c:yMode val="edge"/>
              <c:x val="2.7777777777777776E-2"/>
              <c:y val="0.384992344706911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253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TGF-</a:t>
            </a:r>
            <a:r>
              <a:rPr lang="el-GR"/>
              <a:t>β</a:t>
            </a:r>
            <a:r>
              <a:rPr lang="en-US"/>
              <a:t> Growth</a:t>
            </a:r>
            <a:r>
              <a:rPr lang="en-US" baseline="0"/>
              <a:t> Factor ELISA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1.7968066491688538E-2"/>
                  <c:y val="0.3282870370370370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'TGF-Beta Raw Data'!$S$2:$S$4</c:f>
              <c:numCache>
                <c:formatCode>General</c:formatCode>
                <c:ptCount val="3"/>
                <c:pt idx="0">
                  <c:v>100</c:v>
                </c:pt>
                <c:pt idx="1">
                  <c:v>50</c:v>
                </c:pt>
                <c:pt idx="2">
                  <c:v>0</c:v>
                </c:pt>
              </c:numCache>
            </c:numRef>
          </c:xVal>
          <c:yVal>
            <c:numRef>
              <c:f>'TGF-Beta Raw Data'!$T$2:$T$4</c:f>
              <c:numCache>
                <c:formatCode>General</c:formatCode>
                <c:ptCount val="3"/>
                <c:pt idx="0">
                  <c:v>2.7264999999999997</c:v>
                </c:pt>
                <c:pt idx="1">
                  <c:v>1.6875</c:v>
                </c:pt>
                <c:pt idx="2">
                  <c:v>0.94700000000000006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9B-43C3-9094-8F6CA9D5FB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7820047"/>
        <c:axId val="1836073583"/>
      </c:scatterChart>
      <c:valAx>
        <c:axId val="1827820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</a:t>
                </a:r>
                <a:r>
                  <a:rPr lang="en-US">
                    <a:latin typeface="Calibri" panose="020F0502020204030204" pitchFamily="34" charset="0"/>
                    <a:cs typeface="Calibri" panose="020F0502020204030204" pitchFamily="34" charset="0"/>
                  </a:rPr>
                  <a:t>pg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6073583"/>
        <c:crosses val="autoZero"/>
        <c:crossBetween val="midCat"/>
      </c:valAx>
      <c:valAx>
        <c:axId val="1836073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Absorbance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78200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BMP-7</a:t>
            </a:r>
            <a:r>
              <a:rPr lang="en-US" baseline="0"/>
              <a:t> Growth Factor ELISA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1836395450568686E-2"/>
                  <c:y val="0.35143518518518518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200" baseline="0"/>
                      <a:t>y = 0.0011x + 0.0151</a:t>
                    </a:r>
                    <a:br>
                      <a:rPr lang="en-US" sz="1200" baseline="0"/>
                    </a:br>
                    <a:r>
                      <a:rPr lang="en-US" sz="1200" baseline="0"/>
                      <a:t>R² = 0.9954</a:t>
                    </a:r>
                    <a:endParaRPr lang="en-US" sz="12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'bmp-7 Raw Data '!$T$2:$T$9</c:f>
              <c:numCache>
                <c:formatCode>General</c:formatCode>
                <c:ptCount val="8"/>
                <c:pt idx="0">
                  <c:v>2000</c:v>
                </c:pt>
                <c:pt idx="1">
                  <c:v>1000</c:v>
                </c:pt>
                <c:pt idx="2">
                  <c:v>500</c:v>
                </c:pt>
                <c:pt idx="3">
                  <c:v>250</c:v>
                </c:pt>
                <c:pt idx="4">
                  <c:v>125</c:v>
                </c:pt>
                <c:pt idx="5">
                  <c:v>62.5</c:v>
                </c:pt>
                <c:pt idx="6">
                  <c:v>31.25</c:v>
                </c:pt>
                <c:pt idx="7">
                  <c:v>0</c:v>
                </c:pt>
              </c:numCache>
            </c:numRef>
          </c:xVal>
          <c:yVal>
            <c:numRef>
              <c:f>'bmp-7 Raw Data '!$U$2:$U$9</c:f>
              <c:numCache>
                <c:formatCode>General</c:formatCode>
                <c:ptCount val="8"/>
                <c:pt idx="0">
                  <c:v>2.3605</c:v>
                </c:pt>
                <c:pt idx="1">
                  <c:v>1.0934999999999999</c:v>
                </c:pt>
                <c:pt idx="2">
                  <c:v>0.5665</c:v>
                </c:pt>
                <c:pt idx="3">
                  <c:v>0.23199999999999998</c:v>
                </c:pt>
                <c:pt idx="4">
                  <c:v>0.14950000000000002</c:v>
                </c:pt>
                <c:pt idx="5">
                  <c:v>9.7000000000000003E-2</c:v>
                </c:pt>
                <c:pt idx="6">
                  <c:v>8.2000000000000003E-2</c:v>
                </c:pt>
                <c:pt idx="7">
                  <c:v>9.6500000000000002E-2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958-45A1-9342-E053BACF54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3241663"/>
        <c:axId val="1836078991"/>
      </c:scatterChart>
      <c:valAx>
        <c:axId val="17332416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(pg/mL)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6078991"/>
        <c:crosses val="autoZero"/>
        <c:crossBetween val="midCat"/>
      </c:valAx>
      <c:valAx>
        <c:axId val="1836078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Absorbance </a:t>
                </a:r>
              </a:p>
              <a:p>
                <a:pPr>
                  <a:defRPr/>
                </a:pPr>
                <a:endParaRPr lang="en-US"/>
              </a:p>
            </c:rich>
          </c:tx>
          <c:layout>
            <c:manualLayout>
              <c:xMode val="edge"/>
              <c:yMode val="edge"/>
              <c:x val="3.0555555555555555E-2"/>
              <c:y val="0.3988812335958005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32416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bFGF Growth</a:t>
            </a:r>
            <a:r>
              <a:rPr lang="en-US" baseline="0"/>
              <a:t> Factor ELISA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1850174978127735E-2"/>
                  <c:y val="0.40699074074074076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400" baseline="0"/>
                      <a:t>y = 0.0033x + 0.0483</a:t>
                    </a:r>
                    <a:br>
                      <a:rPr lang="en-US" sz="1400" baseline="0"/>
                    </a:br>
                    <a:r>
                      <a:rPr lang="en-US" sz="1400" baseline="0"/>
                      <a:t>R² = 0.9999</a:t>
                    </a:r>
                    <a:endParaRPr lang="en-US" sz="14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'bFGF Raw Data '!$T$2:$T$9</c:f>
              <c:numCache>
                <c:formatCode>General</c:formatCode>
                <c:ptCount val="8"/>
                <c:pt idx="0">
                  <c:v>640</c:v>
                </c:pt>
                <c:pt idx="1">
                  <c:v>320</c:v>
                </c:pt>
                <c:pt idx="2">
                  <c:v>160</c:v>
                </c:pt>
                <c:pt idx="3">
                  <c:v>80</c:v>
                </c:pt>
                <c:pt idx="4">
                  <c:v>40</c:v>
                </c:pt>
                <c:pt idx="5">
                  <c:v>20</c:v>
                </c:pt>
                <c:pt idx="6">
                  <c:v>10</c:v>
                </c:pt>
                <c:pt idx="7">
                  <c:v>0</c:v>
                </c:pt>
              </c:numCache>
            </c:numRef>
          </c:xVal>
          <c:yVal>
            <c:numRef>
              <c:f>'bFGF Raw Data '!$U$2:$U$9</c:f>
              <c:numCache>
                <c:formatCode>General</c:formatCode>
                <c:ptCount val="8"/>
                <c:pt idx="0">
                  <c:v>2.170666666666667</c:v>
                </c:pt>
                <c:pt idx="1">
                  <c:v>1.1226666666666667</c:v>
                </c:pt>
                <c:pt idx="2">
                  <c:v>0.57466666666666666</c:v>
                </c:pt>
                <c:pt idx="3">
                  <c:v>0.30499999999999999</c:v>
                </c:pt>
                <c:pt idx="4">
                  <c:v>0.16933333333333334</c:v>
                </c:pt>
                <c:pt idx="5">
                  <c:v>0.12</c:v>
                </c:pt>
                <c:pt idx="6">
                  <c:v>8.7000000000000008E-2</c:v>
                </c:pt>
                <c:pt idx="7">
                  <c:v>5.4666666666666669E-2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047-4237-B7DB-A44407DD2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6168415"/>
        <c:axId val="1836108943"/>
      </c:scatterChart>
      <c:valAx>
        <c:axId val="1746168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(pg/mL)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6108943"/>
        <c:crosses val="autoZero"/>
        <c:crossBetween val="midCat"/>
      </c:valAx>
      <c:valAx>
        <c:axId val="1836108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Absorbance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61684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  <cx:data id="1">
      <cx:numDim type="val">
        <cx:f>_xlchart.v1.0</cx:f>
      </cx:numDim>
    </cx:data>
  </cx:chartData>
  <cx:chart>
    <cx:plotArea>
      <cx:plotAreaRegion>
        <cx:plotSurface>
          <cx:spPr>
            <a:noFill/>
            <a:ln cap="sq" cmpd="sng">
              <a:solidFill>
                <a:schemeClr val="tx1"/>
              </a:solidFill>
              <a:round/>
            </a:ln>
          </cx:spPr>
        </cx:plotSurface>
        <cx:series layoutId="boxWhisker" uniqueId="{00000001-0303-4037-A15F-DFC3ACBAA06B}">
          <cx:tx>
            <cx:txData>
              <cx:f/>
              <cx:v>Fresh Articular Cartilage</cx:v>
            </cx:txData>
          </cx:tx>
          <cx:spPr>
            <a:ln>
              <a:solidFill>
                <a:schemeClr val="tx1"/>
              </a:solidFill>
            </a:ln>
          </cx:spPr>
          <cx:dataId val="0"/>
          <cx:layoutPr>
            <cx:statistics quartileMethod="exclusive"/>
          </cx:layoutPr>
        </cx:series>
        <cx:series layoutId="boxWhisker" uniqueId="{00000002-0303-4037-A15F-DFC3ACBAA06B}">
          <cx:tx>
            <cx:txData>
              <cx:f/>
              <cx:v>Cryopreserved T-LE Allograft</cx:v>
            </cx:txData>
          </cx:tx>
          <cx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x:spPr>
          <cx:dataId val="1"/>
          <cx:layoutPr>
            <cx:visibility meanLine="0" meanMarker="1" nonoutliers="1" outliers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  <cx:axis id="1">
        <cx:valScaling min="0"/>
        <cx:majorGridlines>
          <cx:spPr>
            <a:ln cap="sq">
              <a:solidFill>
                <a:schemeClr val="tx1"/>
              </a:solidFill>
            </a:ln>
          </cx:spPr>
        </cx:majorGridlines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  <cx:data id="1">
      <cx:numDim type="val">
        <cx:f>_xlchart.v1.2</cx:f>
      </cx:numDim>
    </cx:data>
  </cx:chartData>
  <cx:chart>
    <cx:plotArea>
      <cx:plotAreaRegion>
        <cx:plotSurface>
          <cx:spPr>
            <a:ln>
              <a:solidFill>
                <a:schemeClr val="tx1"/>
              </a:solidFill>
            </a:ln>
          </cx:spPr>
        </cx:plotSurface>
        <cx:series layoutId="boxWhisker" uniqueId="{00000001-0303-4037-A15F-DFC3ACBAA06B}">
          <cx:tx>
            <cx:txData>
              <cx:f/>
              <cx:v>Fresh Articular Cartilage</cx:v>
            </cx:txData>
          </cx:tx>
          <cx:spPr>
            <a:ln>
              <a:solidFill>
                <a:schemeClr val="tx1"/>
              </a:solidFill>
            </a:ln>
          </cx:spPr>
          <cx:dataId val="0"/>
          <cx:layoutPr>
            <cx:visibility meanLine="0" meanMarker="1" nonoutliers="1" outliers="1"/>
            <cx:statistics quartileMethod="exclusive"/>
          </cx:layoutPr>
        </cx:series>
        <cx:series layoutId="boxWhisker" uniqueId="{00000002-0303-4037-A15F-DFC3ACBAA06B}">
          <cx:tx>
            <cx:txData>
              <cx:f/>
              <cx:v>Cryopreserved T-LE Allograft</cx:v>
            </cx:txData>
          </cx:tx>
          <cx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x:spPr>
          <cx:dataId val="1"/>
          <cx:layoutPr>
            <cx:visibility meanLine="0" meanMarker="1" nonoutliers="1" outliers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  <cx:axis id="1">
        <cx:valScaling/>
        <cx:majorGridlines>
          <cx:spPr>
            <a:ln>
              <a:solidFill>
                <a:schemeClr val="tx1"/>
              </a:solidFill>
            </a:ln>
          </cx:spPr>
        </cx:majorGridlines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</cx:f>
      </cx:numDim>
    </cx:data>
    <cx:data id="1">
      <cx:numDim type="val">
        <cx:f>_xlchart.v1.4</cx:f>
      </cx:numDim>
    </cx:data>
  </cx:chartData>
  <cx:chart>
    <cx:plotArea>
      <cx:plotAreaRegion>
        <cx:plotSurface>
          <cx:spPr>
            <a:ln>
              <a:solidFill>
                <a:schemeClr val="tx1"/>
              </a:solidFill>
            </a:ln>
          </cx:spPr>
        </cx:plotSurface>
        <cx:series layoutId="boxWhisker" uniqueId="{00000001-0303-4037-A15F-DFC3ACBAA06B}">
          <cx:tx>
            <cx:txData>
              <cx:f/>
              <cx:v>Fresh Articular Cartilage</cx:v>
            </cx:txData>
          </cx:tx>
          <cx:spPr>
            <a:ln>
              <a:solidFill>
                <a:schemeClr val="tx1"/>
              </a:solidFill>
            </a:ln>
          </cx:spPr>
          <cx:dataId val="0"/>
          <cx:layoutPr>
            <cx:statistics quartileMethod="exclusive"/>
          </cx:layoutPr>
        </cx:series>
        <cx:series layoutId="boxWhisker" uniqueId="{00000002-0303-4037-A15F-DFC3ACBAA06B}">
          <cx:tx>
            <cx:txData>
              <cx:f/>
              <cx:v>Cryopreserved T-LE Allograft</cx:v>
            </cx:txData>
          </cx:tx>
          <cx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x:spPr>
          <cx:dataId val="1"/>
          <cx:layoutPr>
            <cx:visibility meanLine="0" meanMarker="1" nonoutliers="1" outliers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  <cx:axis id="1">
        <cx:valScaling min="0"/>
        <cx:majorGridlines>
          <cx:spPr>
            <a:ln>
              <a:solidFill>
                <a:schemeClr val="tx1"/>
              </a:solidFill>
            </a:ln>
          </cx:spPr>
        </cx:majorGridlines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</cx:plotArea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_xlchart.v1.7</cx:f>
      </cx:numDim>
    </cx:data>
    <cx:data id="1">
      <cx:numDim type="val">
        <cx:f>_xlchart.v1.6</cx:f>
      </cx:numDim>
    </cx:data>
  </cx:chartData>
  <cx:chart>
    <cx:plotArea>
      <cx:plotAreaRegion>
        <cx:plotSurface>
          <cx:spPr>
            <a:ln>
              <a:solidFill>
                <a:schemeClr val="tx1"/>
              </a:solidFill>
            </a:ln>
          </cx:spPr>
        </cx:plotSurface>
        <cx:series layoutId="boxWhisker" uniqueId="{00000001-0303-4037-A15F-DFC3ACBAA06B}">
          <cx:tx>
            <cx:txData>
              <cx:f/>
              <cx:v>Fresh Articular Cartilage</cx:v>
            </cx:txData>
          </cx:tx>
          <cx:spPr>
            <a:ln>
              <a:solidFill>
                <a:schemeClr val="tx1"/>
              </a:solidFill>
            </a:ln>
          </cx:spPr>
          <cx:dataId val="0"/>
          <cx:layoutPr>
            <cx:statistics quartileMethod="exclusive"/>
          </cx:layoutPr>
        </cx:series>
        <cx:series layoutId="boxWhisker" uniqueId="{00000002-0303-4037-A15F-DFC3ACBAA06B}">
          <cx:tx>
            <cx:txData>
              <cx:f/>
              <cx:v>Cryopreserved T-LE Allograft</cx:v>
            </cx:txData>
          </cx:tx>
          <cx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x:spPr>
          <cx:dataId val="1"/>
          <cx:layoutPr>
            <cx:visibility meanLine="0" meanMarker="1" nonoutliers="1" outliers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  <cx:axis id="1">
        <cx:valScaling min="0"/>
        <cx:majorGridlines>
          <cx:spPr>
            <a:ln>
              <a:solidFill>
                <a:schemeClr val="tx1"/>
              </a:solidFill>
            </a:ln>
          </cx:spPr>
        </cx:majorGridlines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</cx:plotArea>
  </cx:chart>
</cx:chartSpace>
</file>

<file path=xl/charts/chartEx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_xlchart.v1.9</cx:f>
      </cx:numDim>
    </cx:data>
    <cx:data id="1">
      <cx:numDim type="val">
        <cx:f>_xlchart.v1.8</cx:f>
      </cx:numDim>
    </cx:data>
  </cx:chartData>
  <cx:chart>
    <cx:plotArea>
      <cx:plotAreaRegion>
        <cx:plotSurface>
          <cx:spPr>
            <a:ln>
              <a:solidFill>
                <a:schemeClr val="tx1"/>
              </a:solidFill>
            </a:ln>
          </cx:spPr>
        </cx:plotSurface>
        <cx:series layoutId="boxWhisker" uniqueId="{00000001-0303-4037-A15F-DFC3ACBAA06B}">
          <cx:tx>
            <cx:txData>
              <cx:f/>
              <cx:v>Fresh Articular Cartilage</cx:v>
            </cx:txData>
          </cx:tx>
          <cx:spPr>
            <a:ln>
              <a:solidFill>
                <a:schemeClr val="tx1"/>
              </a:solidFill>
            </a:ln>
          </cx:spPr>
          <cx:dataId val="0"/>
          <cx:layoutPr>
            <cx:statistics quartileMethod="exclusive"/>
          </cx:layoutPr>
        </cx:series>
        <cx:series layoutId="boxWhisker" uniqueId="{00000002-0303-4037-A15F-DFC3ACBAA06B}">
          <cx:tx>
            <cx:txData>
              <cx:f/>
              <cx:v>Cryopreserved T-LE Allograft</cx:v>
            </cx:txData>
          </cx:tx>
          <cx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x:spPr>
          <cx:dataId val="1"/>
          <cx:layoutPr>
            <cx:visibility meanLine="0" meanMarker="1" nonoutliers="1" outliers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  <cx:axis id="1">
        <cx:valScaling min="0"/>
        <cx:majorGridlines>
          <cx:spPr>
            <a:ln>
              <a:solidFill>
                <a:schemeClr val="tx1"/>
              </a:solidFill>
            </a:ln>
          </cx:spPr>
        </cx:majorGridlines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0" i="0">
                <a:solidFill>
                  <a:schemeClr val="tx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>
              <a:solidFill>
                <a:schemeClr val="tx1"/>
              </a:solidFill>
            </a:endParaRPr>
          </a:p>
        </cx:txPr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microsoft.com/office/2014/relationships/chartEx" Target="../charts/chartEx1.xml"/></Relationships>
</file>

<file path=xl/drawings/_rels/drawing5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openxmlformats.org/officeDocument/2006/relationships/image" Target="../media/image2.emf"/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2" Type="http://schemas.microsoft.com/office/2014/relationships/chartEx" Target="../charts/chartEx4.xml"/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3" Type="http://schemas.microsoft.com/office/2014/relationships/chartEx" Target="../charts/chartEx5.xml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218209</xdr:colOff>
      <xdr:row>0</xdr:row>
      <xdr:rowOff>866</xdr:rowOff>
    </xdr:from>
    <xdr:to>
      <xdr:col>4</xdr:col>
      <xdr:colOff>1255569</xdr:colOff>
      <xdr:row>19</xdr:row>
      <xdr:rowOff>174048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FB0652-1CF8-40FE-852D-866A53BAD3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0.31586</cdr:x>
      <cdr:y>0.5557</cdr:y>
    </cdr:from>
    <cdr:to>
      <cdr:x>0.94925</cdr:x>
      <cdr:y>0.5557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81160E1A-06B2-4EBA-A607-6E5F6AD61946}"/>
            </a:ext>
          </a:extLst>
        </cdr:cNvPr>
        <cdr:cNvCxnSpPr/>
      </cdr:nvCxnSpPr>
      <cdr:spPr>
        <a:xfrm xmlns:a="http://schemas.openxmlformats.org/drawingml/2006/main" flipV="1">
          <a:off x="806836" y="2213443"/>
          <a:ext cx="1617952" cy="0"/>
        </a:xfrm>
        <a:prstGeom xmlns:a="http://schemas.openxmlformats.org/drawingml/2006/main" prst="line">
          <a:avLst/>
        </a:prstGeom>
        <a:ln xmlns:a="http://schemas.openxmlformats.org/drawingml/2006/main" w="19050" cap="flat" cmpd="sng" algn="ctr">
          <a:solidFill>
            <a:schemeClr val="tx1"/>
          </a:solidFill>
          <a:prstDash val="dash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0.11718</cdr:x>
      <cdr:y>0.97311</cdr:y>
    </cdr:from>
    <cdr:to>
      <cdr:x>0.17627</cdr:x>
      <cdr:y>0.97319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CAD99FDF-52E2-4C7E-8940-2A30D9CEAF69}"/>
            </a:ext>
          </a:extLst>
        </cdr:cNvPr>
        <cdr:cNvCxnSpPr/>
      </cdr:nvCxnSpPr>
      <cdr:spPr>
        <a:xfrm xmlns:a="http://schemas.openxmlformats.org/drawingml/2006/main">
          <a:off x="299338" y="3876061"/>
          <a:ext cx="150936" cy="318"/>
        </a:xfrm>
        <a:prstGeom xmlns:a="http://schemas.openxmlformats.org/drawingml/2006/main" prst="line">
          <a:avLst/>
        </a:prstGeom>
        <a:ln xmlns:a="http://schemas.openxmlformats.org/drawingml/2006/main" w="19050" cap="flat" cmpd="sng" algn="ctr">
          <a:solidFill>
            <a:schemeClr val="tx1"/>
          </a:solidFill>
          <a:prstDash val="sysDash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0.15932</cdr:x>
      <cdr:y>0.9413</cdr:y>
    </cdr:from>
    <cdr:to>
      <cdr:x>0.87458</cdr:x>
      <cdr:y>0.98478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984EC9EF-51BC-4099-8F10-48BF61EB27D7}"/>
            </a:ext>
          </a:extLst>
        </cdr:cNvPr>
        <cdr:cNvSpPr txBox="1"/>
      </cdr:nvSpPr>
      <cdr:spPr>
        <a:xfrm xmlns:a="http://schemas.openxmlformats.org/drawingml/2006/main">
          <a:off x="406976" y="3749386"/>
          <a:ext cx="1827069" cy="1731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900">
              <a:latin typeface="Calibri" panose="020F0502020204030204" pitchFamily="34" charset="0"/>
              <a:cs typeface="Calibri" panose="020F0502020204030204" pitchFamily="34" charset="0"/>
            </a:rPr>
            <a:t>Clincal 70% Viability Threshold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7792</xdr:colOff>
      <xdr:row>3</xdr:row>
      <xdr:rowOff>36370</xdr:rowOff>
    </xdr:from>
    <xdr:to>
      <xdr:col>23</xdr:col>
      <xdr:colOff>295275</xdr:colOff>
      <xdr:row>21</xdr:row>
      <xdr:rowOff>114300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9F5636E-17C4-4ADA-9EE1-86F732E33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276225</xdr:colOff>
      <xdr:row>0</xdr:row>
      <xdr:rowOff>142875</xdr:rowOff>
    </xdr:from>
    <xdr:to>
      <xdr:col>23</xdr:col>
      <xdr:colOff>581025</xdr:colOff>
      <xdr:row>15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55D2B91-B6FE-48C0-A2AD-CF5BABE3D8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119062</xdr:colOff>
      <xdr:row>24</xdr:row>
      <xdr:rowOff>0</xdr:rowOff>
    </xdr:from>
    <xdr:to>
      <xdr:col>23</xdr:col>
      <xdr:colOff>423862</xdr:colOff>
      <xdr:row>38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A60883F-B0DA-4F75-85BD-5B7C92ABE7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247650</xdr:colOff>
      <xdr:row>49</xdr:row>
      <xdr:rowOff>19050</xdr:rowOff>
    </xdr:from>
    <xdr:to>
      <xdr:col>9</xdr:col>
      <xdr:colOff>54552</xdr:colOff>
      <xdr:row>68</xdr:row>
      <xdr:rowOff>57150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2082061-FBE6-41ED-BD79-3DF84B90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353550"/>
          <a:ext cx="5455227" cy="3657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66675</xdr:colOff>
      <xdr:row>50</xdr:row>
      <xdr:rowOff>19050</xdr:rowOff>
    </xdr:from>
    <xdr:to>
      <xdr:col>13</xdr:col>
      <xdr:colOff>440749</xdr:colOff>
      <xdr:row>63</xdr:row>
      <xdr:rowOff>9893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Chart 4">
              <a:extLst>
                <a:ext uri="{FF2B5EF4-FFF2-40B4-BE49-F238E27FC236}">
                  <a16:creationId xmlns:a16="http://schemas.microsoft.com/office/drawing/2014/main" id="{F8A884B6-71E9-4A1E-A435-8B6AC010019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934200" y="9544050"/>
              <a:ext cx="1593274" cy="246734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</xdr:colOff>
      <xdr:row>4</xdr:row>
      <xdr:rowOff>152400</xdr:rowOff>
    </xdr:from>
    <xdr:to>
      <xdr:col>20</xdr:col>
      <xdr:colOff>0</xdr:colOff>
      <xdr:row>19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490E25B-8B19-4760-A67D-11A761279F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247650</xdr:colOff>
      <xdr:row>17</xdr:row>
      <xdr:rowOff>9525</xdr:rowOff>
    </xdr:from>
    <xdr:to>
      <xdr:col>12</xdr:col>
      <xdr:colOff>332445</xdr:colOff>
      <xdr:row>31</xdr:row>
      <xdr:rowOff>112749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93B8790-FA75-4346-B2E4-29071A6202E1}"/>
            </a:ext>
          </a:extLst>
        </xdr:cNvPr>
        <xdr:cNvGrpSpPr/>
      </xdr:nvGrpSpPr>
      <xdr:grpSpPr>
        <a:xfrm>
          <a:off x="6410325" y="3267075"/>
          <a:ext cx="2523195" cy="2770224"/>
          <a:chOff x="-1270384" y="6200775"/>
          <a:chExt cx="2513674" cy="2770224"/>
        </a:xfrm>
      </xdr:grpSpPr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4" name="Chart 3">
                <a:extLst>
                  <a:ext uri="{FF2B5EF4-FFF2-40B4-BE49-F238E27FC236}">
                    <a16:creationId xmlns:a16="http://schemas.microsoft.com/office/drawing/2014/main" id="{94E6952C-681E-4C72-8C87-1DFABB03DEA3}"/>
                  </a:ext>
                </a:extLst>
              </xdr:cNvPr>
              <xdr:cNvGraphicFramePr/>
            </xdr:nvGraphicFramePr>
            <xdr:xfrm>
              <a:off x="-1270384" y="6200775"/>
              <a:ext cx="1600200" cy="2468880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2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-1270384" y="6200775"/>
                <a:ext cx="1600200" cy="2468880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n-US" sz="1100"/>
                  <a:t>This chart isn't available in your version of Excel.
Editing this shape or saving this workbook into a different file format will permanently break the chart.</a:t>
                </a:r>
              </a:p>
            </xdr:txBody>
          </xdr:sp>
        </mc:Fallback>
      </mc:AlternateContent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95BBC7C5-8C5C-4657-BE75-54D7FE48D212}"/>
              </a:ext>
            </a:extLst>
          </xdr:cNvPr>
          <xdr:cNvSpPr txBox="1"/>
        </xdr:nvSpPr>
        <xdr:spPr>
          <a:xfrm>
            <a:off x="1014557" y="8806143"/>
            <a:ext cx="228733" cy="16485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400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309562</xdr:colOff>
      <xdr:row>10</xdr:row>
      <xdr:rowOff>9525</xdr:rowOff>
    </xdr:from>
    <xdr:to>
      <xdr:col>16</xdr:col>
      <xdr:colOff>4762</xdr:colOff>
      <xdr:row>24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48186BE-EBA6-4A17-B16B-3F1E662073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228600</xdr:colOff>
      <xdr:row>49</xdr:row>
      <xdr:rowOff>180975</xdr:rowOff>
    </xdr:from>
    <xdr:to>
      <xdr:col>7</xdr:col>
      <xdr:colOff>352425</xdr:colOff>
      <xdr:row>69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26FDF83-B733-431A-B4E3-D98D49335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553575"/>
          <a:ext cx="5486400" cy="3657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9525</xdr:colOff>
      <xdr:row>35</xdr:row>
      <xdr:rowOff>0</xdr:rowOff>
    </xdr:from>
    <xdr:to>
      <xdr:col>10</xdr:col>
      <xdr:colOff>387061</xdr:colOff>
      <xdr:row>47</xdr:row>
      <xdr:rowOff>173355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Chart 4">
              <a:extLst>
                <a:ext uri="{FF2B5EF4-FFF2-40B4-BE49-F238E27FC236}">
                  <a16:creationId xmlns:a16="http://schemas.microsoft.com/office/drawing/2014/main" id="{D9880C3F-5121-40F4-8CCD-9A681941037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81700" y="6696075"/>
              <a:ext cx="1596736" cy="24688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10</xdr:row>
      <xdr:rowOff>19050</xdr:rowOff>
    </xdr:from>
    <xdr:to>
      <xdr:col>17</xdr:col>
      <xdr:colOff>304800</xdr:colOff>
      <xdr:row>24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539819F-7C18-483C-9D1F-CED0D787A2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27</xdr:row>
      <xdr:rowOff>0</xdr:rowOff>
    </xdr:from>
    <xdr:to>
      <xdr:col>11</xdr:col>
      <xdr:colOff>377537</xdr:colOff>
      <xdr:row>39</xdr:row>
      <xdr:rowOff>182880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94EAFF89-6494-4BEF-98BE-18E9FAC80DE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724650" y="5181600"/>
              <a:ext cx="1596737" cy="24688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600075</xdr:colOff>
      <xdr:row>10</xdr:row>
      <xdr:rowOff>180975</xdr:rowOff>
    </xdr:from>
    <xdr:to>
      <xdr:col>21</xdr:col>
      <xdr:colOff>304824</xdr:colOff>
      <xdr:row>37</xdr:row>
      <xdr:rowOff>88900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FC2362-AF31-4303-B934-A6578A53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3725" y="2085975"/>
          <a:ext cx="7629549" cy="508000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5</xdr:col>
      <xdr:colOff>57150</xdr:colOff>
      <xdr:row>69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8C4C384-1FDF-4126-8FF1-CF0FA09312C8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20375"/>
          <a:ext cx="4572000" cy="30480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11</xdr:col>
      <xdr:colOff>238125</xdr:colOff>
      <xdr:row>43</xdr:row>
      <xdr:rowOff>0</xdr:rowOff>
    </xdr:from>
    <xdr:to>
      <xdr:col>14</xdr:col>
      <xdr:colOff>6062</xdr:colOff>
      <xdr:row>55</xdr:row>
      <xdr:rowOff>182880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DC83E86C-F9B6-471D-8B97-F674774C118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410575" y="8715375"/>
              <a:ext cx="1596737" cy="24688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x%20Plots%20Working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Viability%20graph%20Journal%20article%20(version%20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B3">
            <v>25.020890140845069</v>
          </cell>
          <cell r="F3">
            <v>1.720226843100189</v>
          </cell>
          <cell r="J3">
            <v>14.130434782608694</v>
          </cell>
          <cell r="N3">
            <v>1.720226843100189</v>
          </cell>
          <cell r="R3">
            <v>754.45504568630429</v>
          </cell>
        </row>
        <row r="4">
          <cell r="B4">
            <v>11.811622641509434</v>
          </cell>
          <cell r="F4">
            <v>2.1701969528056488</v>
          </cell>
          <cell r="J4">
            <v>26.727688787185357</v>
          </cell>
          <cell r="N4">
            <v>2.3510466988727856</v>
          </cell>
          <cell r="R4">
            <v>308.56956663408272</v>
          </cell>
        </row>
        <row r="5">
          <cell r="B5">
            <v>32.492844444444437</v>
          </cell>
          <cell r="F5">
            <v>1.6981132075471697</v>
          </cell>
          <cell r="J5">
            <v>6.6055045871559637</v>
          </cell>
          <cell r="N5">
            <v>1.6981132075471697</v>
          </cell>
          <cell r="R5">
            <v>220.24146387474065</v>
          </cell>
        </row>
        <row r="6">
          <cell r="B6">
            <v>11.514709615384616</v>
          </cell>
          <cell r="F6">
            <v>2.6561264822134385</v>
          </cell>
          <cell r="J6">
            <v>19.054820415879018</v>
          </cell>
          <cell r="N6">
            <v>2.6561264822134385</v>
          </cell>
          <cell r="R6">
            <v>550.29430140409715</v>
          </cell>
        </row>
        <row r="7">
          <cell r="B7">
            <v>14.615381818181817</v>
          </cell>
          <cell r="F7">
            <v>2.3729332516840174</v>
          </cell>
          <cell r="J7">
            <v>19.60474308300395</v>
          </cell>
          <cell r="N7">
            <v>2.3729332516840174</v>
          </cell>
          <cell r="R7">
            <v>197.08391771856006</v>
          </cell>
        </row>
        <row r="8">
          <cell r="B8">
            <v>12.264332608695652</v>
          </cell>
          <cell r="F8">
            <v>2.3546910755148747</v>
          </cell>
          <cell r="J8">
            <v>14.749163879598663</v>
          </cell>
          <cell r="N8">
            <v>2.3546910755148747</v>
          </cell>
          <cell r="R8">
            <v>233.81496415770604</v>
          </cell>
        </row>
        <row r="9">
          <cell r="B9">
            <v>6.8728210526315783</v>
          </cell>
          <cell r="F9">
            <v>1.9254658385093166</v>
          </cell>
          <cell r="J9">
            <v>12.206726825266612</v>
          </cell>
          <cell r="N9">
            <v>1.9254658385093166</v>
          </cell>
          <cell r="R9">
            <v>824.41583953680731</v>
          </cell>
        </row>
        <row r="10">
          <cell r="B10">
            <v>15.023114285714284</v>
          </cell>
          <cell r="F10">
            <v>1.3294314381270904</v>
          </cell>
          <cell r="J10">
            <v>15.5786895284752</v>
          </cell>
          <cell r="N10">
            <v>1.3294314381270904</v>
          </cell>
          <cell r="R10">
            <v>146.96185838912561</v>
          </cell>
        </row>
        <row r="11">
          <cell r="B11">
            <v>25.968045454545457</v>
          </cell>
          <cell r="F11">
            <v>1.2445153570003988</v>
          </cell>
          <cell r="J11">
            <v>19.146853146853147</v>
          </cell>
          <cell r="N11">
            <v>1.2445153570003988</v>
          </cell>
          <cell r="R11">
            <v>271.15030526213781</v>
          </cell>
        </row>
        <row r="12">
          <cell r="B12">
            <v>14.452612213740457</v>
          </cell>
          <cell r="J12">
            <v>6.5939393939393929</v>
          </cell>
          <cell r="N12">
            <v>5.0919444444444446</v>
          </cell>
          <cell r="R12">
            <v>210.66414222134793</v>
          </cell>
        </row>
        <row r="13">
          <cell r="B13">
            <v>19.270853846153845</v>
          </cell>
          <cell r="F13">
            <v>1.199400299850075</v>
          </cell>
          <cell r="J13">
            <v>10.824242424242422</v>
          </cell>
          <cell r="N13">
            <v>5.4045689655172415</v>
          </cell>
          <cell r="R13">
            <v>377.84489596680697</v>
          </cell>
        </row>
        <row r="14">
          <cell r="B14">
            <v>12.184254117647058</v>
          </cell>
          <cell r="F14">
            <v>1.2702472293265132</v>
          </cell>
          <cell r="J14">
            <v>22.370370370370374</v>
          </cell>
          <cell r="N14">
            <v>2.5145490196078426</v>
          </cell>
          <cell r="R14">
            <v>261.32619439868205</v>
          </cell>
        </row>
        <row r="15">
          <cell r="B15">
            <v>21.821036363636363</v>
          </cell>
          <cell r="F15">
            <v>0.65217391304347827</v>
          </cell>
          <cell r="J15">
            <v>16.022551092318537</v>
          </cell>
          <cell r="N15">
            <v>0.94489090909090911</v>
          </cell>
          <cell r="R15">
            <v>73.607062898660899</v>
          </cell>
        </row>
        <row r="16">
          <cell r="B16">
            <v>26.268766666666671</v>
          </cell>
          <cell r="F16">
            <v>0.98707403055229159</v>
          </cell>
          <cell r="J16">
            <v>18.798898071625345</v>
          </cell>
          <cell r="N16">
            <v>0.90393243243243249</v>
          </cell>
          <cell r="R16">
            <v>123.49462983538308</v>
          </cell>
        </row>
        <row r="17">
          <cell r="B17">
            <v>13.060054999999998</v>
          </cell>
          <cell r="F17">
            <v>5.8229813664596284</v>
          </cell>
          <cell r="J17">
            <v>29.855477855477854</v>
          </cell>
          <cell r="N17">
            <v>1.4746428571428574</v>
          </cell>
          <cell r="R17">
            <v>266.64109561477414</v>
          </cell>
        </row>
        <row r="18">
          <cell r="B18">
            <v>18.982466666666667</v>
          </cell>
          <cell r="F18">
            <v>0.6997282608695653</v>
          </cell>
          <cell r="J18">
            <v>19.717171717171716</v>
          </cell>
          <cell r="N18">
            <v>1.6931562499999997</v>
          </cell>
        </row>
        <row r="19">
          <cell r="B19">
            <v>37.837892307692307</v>
          </cell>
          <cell r="F19">
            <v>8.0515297906602239</v>
          </cell>
          <cell r="J19">
            <v>5.1614654002713696</v>
          </cell>
          <cell r="R19">
            <v>228.02156657181371</v>
          </cell>
        </row>
        <row r="20">
          <cell r="B20">
            <v>19.756325581395352</v>
          </cell>
          <cell r="F20">
            <v>0.5304347826086957</v>
          </cell>
          <cell r="N20">
            <v>4.0887000000000002</v>
          </cell>
          <cell r="R20">
            <v>248.84577053714881</v>
          </cell>
        </row>
        <row r="21">
          <cell r="B21">
            <v>9.1024432835820903</v>
          </cell>
          <cell r="F21">
            <v>1.9286510590858414</v>
          </cell>
          <cell r="N21">
            <v>2.6120000000000005</v>
          </cell>
        </row>
        <row r="22">
          <cell r="B22">
            <v>22.412299999999998</v>
          </cell>
          <cell r="F22">
            <v>1.3725490196078431</v>
          </cell>
          <cell r="N22">
            <v>1.9613725490196077</v>
          </cell>
        </row>
        <row r="23">
          <cell r="B23">
            <v>5.6331689655172417</v>
          </cell>
          <cell r="F23">
            <v>1.6770186335403727</v>
          </cell>
          <cell r="N23">
            <v>2.9173333333333336</v>
          </cell>
        </row>
        <row r="24">
          <cell r="B24">
            <v>6.5474901960784315</v>
          </cell>
          <cell r="F24">
            <v>1.7166416791604202</v>
          </cell>
          <cell r="N24">
            <v>1.5327241379310346</v>
          </cell>
        </row>
        <row r="25">
          <cell r="B25">
            <v>7.4128909090909092</v>
          </cell>
          <cell r="F25">
            <v>1.5136876006441222</v>
          </cell>
          <cell r="N25">
            <v>0.7626953125</v>
          </cell>
        </row>
        <row r="26">
          <cell r="B26">
            <v>11.572237837837838</v>
          </cell>
          <cell r="F26">
            <v>2.1739130434782608</v>
          </cell>
          <cell r="N26">
            <v>1.8225272727272728</v>
          </cell>
        </row>
        <row r="27">
          <cell r="B27">
            <v>9.4936142857142851</v>
          </cell>
          <cell r="F27">
            <v>4.1908212560386469</v>
          </cell>
          <cell r="N27">
            <v>2.0832800000000002</v>
          </cell>
        </row>
        <row r="28">
          <cell r="B28">
            <v>12.215993750000001</v>
          </cell>
          <cell r="F28">
            <v>2.4412455934195068</v>
          </cell>
          <cell r="N28">
            <v>1.6992972972972973</v>
          </cell>
        </row>
        <row r="29">
          <cell r="B29">
            <v>29.003466666666668</v>
          </cell>
          <cell r="F29">
            <v>0.97826086956521718</v>
          </cell>
          <cell r="N29">
            <v>1.8395370370370367</v>
          </cell>
        </row>
        <row r="30">
          <cell r="B30">
            <v>11.817621333333335</v>
          </cell>
          <cell r="F30">
            <v>1.5739130434782611</v>
          </cell>
          <cell r="N30">
            <v>1.9300277777777777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ability"/>
      <sheetName val="Explant"/>
      <sheetName val="Sheet3"/>
    </sheetNames>
    <sheetDataSet>
      <sheetData sheetId="0">
        <row r="2">
          <cell r="B2" t="str">
            <v>Fresh Articular Cartilage(n=9)</v>
          </cell>
        </row>
      </sheetData>
      <sheetData sheetId="1">
        <row r="3">
          <cell r="B3" t="str">
            <v>Week 1</v>
          </cell>
          <cell r="C3" t="str">
            <v>Week 3</v>
          </cell>
          <cell r="D3" t="str">
            <v>Week 6</v>
          </cell>
          <cell r="E3" t="str">
            <v>Week 9</v>
          </cell>
          <cell r="F3" t="str">
            <v>Week 12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D57D1-A513-45E8-908D-426B73857A65}">
  <dimension ref="A1:C16"/>
  <sheetViews>
    <sheetView showGridLines="0" tabSelected="1" zoomScaleNormal="100" workbookViewId="0">
      <selection activeCell="H14" sqref="H14"/>
    </sheetView>
  </sheetViews>
  <sheetFormatPr defaultRowHeight="15" x14ac:dyDescent="0.25"/>
  <cols>
    <col min="1" max="1" width="15.140625" style="1" customWidth="1"/>
    <col min="2" max="3" width="15.7109375" style="1" customWidth="1"/>
    <col min="4" max="4" width="22.85546875" style="1" customWidth="1"/>
    <col min="5" max="5" width="42.85546875" style="1" customWidth="1"/>
    <col min="6" max="7" width="9.140625" style="1"/>
    <col min="8" max="8" width="18.42578125" style="1" customWidth="1"/>
    <col min="9" max="9" width="12.5703125" style="1" customWidth="1"/>
    <col min="10" max="10" width="10.42578125" style="1" customWidth="1"/>
    <col min="11" max="16384" width="9.140625" style="1"/>
  </cols>
  <sheetData>
    <row r="1" spans="1:3" s="2" customFormat="1" ht="30" x14ac:dyDescent="0.25">
      <c r="A1" s="17"/>
      <c r="B1" s="19" t="s">
        <v>9</v>
      </c>
      <c r="C1" s="16" t="s">
        <v>10</v>
      </c>
    </row>
    <row r="2" spans="1:3" x14ac:dyDescent="0.25">
      <c r="A2" s="18"/>
      <c r="B2" s="7">
        <v>99.5</v>
      </c>
      <c r="C2" s="9">
        <v>97.33</v>
      </c>
    </row>
    <row r="3" spans="1:3" x14ac:dyDescent="0.25">
      <c r="A3" s="18"/>
      <c r="B3" s="20">
        <v>99</v>
      </c>
      <c r="C3" s="11">
        <v>95</v>
      </c>
    </row>
    <row r="4" spans="1:3" x14ac:dyDescent="0.25">
      <c r="A4" s="18"/>
      <c r="B4" s="20">
        <v>99</v>
      </c>
      <c r="C4" s="11">
        <v>92.67</v>
      </c>
    </row>
    <row r="5" spans="1:3" x14ac:dyDescent="0.25">
      <c r="A5" s="18"/>
      <c r="B5" s="20">
        <v>99</v>
      </c>
      <c r="C5" s="11">
        <v>98</v>
      </c>
    </row>
    <row r="6" spans="1:3" x14ac:dyDescent="0.25">
      <c r="A6" s="18"/>
      <c r="B6" s="20">
        <v>99</v>
      </c>
      <c r="C6" s="11">
        <v>94.67</v>
      </c>
    </row>
    <row r="7" spans="1:3" x14ac:dyDescent="0.25">
      <c r="A7" s="18"/>
      <c r="B7" s="20">
        <v>98</v>
      </c>
      <c r="C7" s="11">
        <v>97.67</v>
      </c>
    </row>
    <row r="8" spans="1:3" x14ac:dyDescent="0.25">
      <c r="A8" s="18"/>
      <c r="B8" s="20">
        <v>98.5</v>
      </c>
      <c r="C8" s="11">
        <v>98.67</v>
      </c>
    </row>
    <row r="9" spans="1:3" x14ac:dyDescent="0.25">
      <c r="A9" s="18"/>
      <c r="B9" s="20">
        <v>98.5</v>
      </c>
      <c r="C9" s="11">
        <v>98</v>
      </c>
    </row>
    <row r="10" spans="1:3" x14ac:dyDescent="0.25">
      <c r="A10" s="18"/>
      <c r="B10" s="7">
        <v>99</v>
      </c>
      <c r="C10" s="11">
        <v>93.33</v>
      </c>
    </row>
    <row r="11" spans="1:3" x14ac:dyDescent="0.25">
      <c r="A11" s="18"/>
      <c r="B11" s="21"/>
      <c r="C11" s="11">
        <v>94.67</v>
      </c>
    </row>
    <row r="12" spans="1:3" x14ac:dyDescent="0.25">
      <c r="A12" s="18"/>
      <c r="B12" s="21"/>
      <c r="C12" s="11">
        <v>93</v>
      </c>
    </row>
    <row r="13" spans="1:3" x14ac:dyDescent="0.25">
      <c r="A13" s="18"/>
      <c r="B13" s="21"/>
      <c r="C13" s="12">
        <v>86.67</v>
      </c>
    </row>
    <row r="14" spans="1:3" x14ac:dyDescent="0.25">
      <c r="A14" s="13" t="s">
        <v>6</v>
      </c>
      <c r="B14" s="5">
        <f>AVERAGE(B2:B10)</f>
        <v>98.833333333333329</v>
      </c>
      <c r="C14" s="9">
        <f>AVERAGE(C2:C13)</f>
        <v>94.973333333333343</v>
      </c>
    </row>
    <row r="15" spans="1:3" x14ac:dyDescent="0.25">
      <c r="A15" s="14" t="s">
        <v>5</v>
      </c>
      <c r="B15" s="6" t="s">
        <v>11</v>
      </c>
      <c r="C15" s="10" t="s">
        <v>7</v>
      </c>
    </row>
    <row r="16" spans="1:3" x14ac:dyDescent="0.25">
      <c r="A16" s="15" t="s">
        <v>8</v>
      </c>
      <c r="B16" s="8">
        <f>_xlfn.STDEV.S(B2:B10)</f>
        <v>0.43301270189221935</v>
      </c>
      <c r="C16" s="12">
        <f>_xlfn.STDEV.S(C2:C13)</f>
        <v>3.3823427419826073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B48BC-6501-4A20-8F89-0688929DC526}">
  <dimension ref="A1:U55"/>
  <sheetViews>
    <sheetView showGridLines="0" zoomScale="90" zoomScaleNormal="90" workbookViewId="0">
      <selection activeCell="F27" sqref="F27"/>
    </sheetView>
  </sheetViews>
  <sheetFormatPr defaultRowHeight="15" x14ac:dyDescent="0.25"/>
  <cols>
    <col min="1" max="1" width="18.42578125" style="1" bestFit="1" customWidth="1"/>
    <col min="2" max="5" width="9.140625" style="1"/>
    <col min="6" max="6" width="11.7109375" style="1" customWidth="1"/>
    <col min="7" max="7" width="3.7109375" style="1" customWidth="1"/>
    <col min="8" max="8" width="13.140625" style="1" bestFit="1" customWidth="1"/>
    <col min="9" max="9" width="7.7109375" bestFit="1" customWidth="1"/>
    <col min="14" max="14" width="4.85546875" customWidth="1"/>
    <col min="20" max="20" width="9.140625" style="1"/>
  </cols>
  <sheetData>
    <row r="1" spans="1:21" s="1" customFormat="1" x14ac:dyDescent="0.25">
      <c r="A1" s="173" t="s">
        <v>211</v>
      </c>
      <c r="B1" s="174"/>
      <c r="C1" s="174"/>
      <c r="D1" s="174"/>
      <c r="E1" s="174"/>
      <c r="F1" s="175"/>
      <c r="H1" s="173" t="s">
        <v>212</v>
      </c>
      <c r="I1" s="174"/>
      <c r="J1" s="174"/>
      <c r="K1" s="174"/>
      <c r="L1" s="174"/>
      <c r="M1" s="175"/>
    </row>
    <row r="2" spans="1:21" x14ac:dyDescent="0.25">
      <c r="A2" s="69" t="s">
        <v>214</v>
      </c>
      <c r="B2" s="23" t="s">
        <v>0</v>
      </c>
      <c r="C2" s="24" t="s">
        <v>1</v>
      </c>
      <c r="D2" s="24" t="s">
        <v>2</v>
      </c>
      <c r="E2" s="24" t="s">
        <v>3</v>
      </c>
      <c r="F2" s="25" t="s">
        <v>4</v>
      </c>
      <c r="H2" s="69" t="s">
        <v>214</v>
      </c>
      <c r="I2" s="23" t="s">
        <v>0</v>
      </c>
      <c r="J2" s="24" t="s">
        <v>1</v>
      </c>
      <c r="K2" s="24" t="s">
        <v>2</v>
      </c>
      <c r="L2" s="24" t="s">
        <v>3</v>
      </c>
      <c r="M2" s="25" t="s">
        <v>4</v>
      </c>
      <c r="O2" s="168"/>
      <c r="P2" s="169" t="s">
        <v>213</v>
      </c>
      <c r="T2"/>
    </row>
    <row r="3" spans="1:21" ht="15" customHeight="1" x14ac:dyDescent="0.25">
      <c r="A3" s="37" t="s">
        <v>12</v>
      </c>
      <c r="B3" s="27">
        <v>30297.336133524928</v>
      </c>
      <c r="C3" s="28">
        <v>64133.36543090998</v>
      </c>
      <c r="D3" s="28">
        <v>165921.13709307657</v>
      </c>
      <c r="E3" s="28">
        <v>401828.04027885362</v>
      </c>
      <c r="F3" s="29">
        <v>158075.29843893481</v>
      </c>
      <c r="H3" s="41" t="s">
        <v>21</v>
      </c>
      <c r="I3" s="27">
        <v>0</v>
      </c>
      <c r="J3" s="28">
        <v>37261.382218779589</v>
      </c>
      <c r="K3" s="28">
        <v>104953.16804407712</v>
      </c>
      <c r="L3" s="40"/>
      <c r="M3" s="33"/>
      <c r="T3"/>
    </row>
    <row r="4" spans="1:21" ht="15" customHeight="1" x14ac:dyDescent="0.25">
      <c r="A4" s="38" t="s">
        <v>13</v>
      </c>
      <c r="B4" s="3">
        <v>34033.381231347412</v>
      </c>
      <c r="C4" s="17">
        <v>172759.58915101914</v>
      </c>
      <c r="D4" s="17">
        <v>243775.33241632281</v>
      </c>
      <c r="E4" s="17">
        <v>586663.22402960667</v>
      </c>
      <c r="F4" s="30">
        <v>423814.50872359966</v>
      </c>
      <c r="H4" s="41" t="s">
        <v>22</v>
      </c>
      <c r="I4" s="3">
        <v>30418.414220091876</v>
      </c>
      <c r="J4" s="17">
        <v>64303.296324984956</v>
      </c>
      <c r="K4" s="17">
        <v>44659.320477502297</v>
      </c>
      <c r="L4" s="26"/>
      <c r="M4" s="31"/>
      <c r="T4"/>
    </row>
    <row r="5" spans="1:21" x14ac:dyDescent="0.25">
      <c r="A5" s="38" t="s">
        <v>14</v>
      </c>
      <c r="B5" s="3">
        <v>0</v>
      </c>
      <c r="C5" s="17">
        <v>542138.50104317127</v>
      </c>
      <c r="D5" s="17">
        <v>274949.10591471801</v>
      </c>
      <c r="E5" s="17">
        <v>916373.18185730278</v>
      </c>
      <c r="F5" s="30">
        <v>419535.3535353535</v>
      </c>
      <c r="H5" s="41" t="s">
        <v>23</v>
      </c>
      <c r="I5" s="3">
        <v>11534.85120830837</v>
      </c>
      <c r="J5" s="17">
        <v>50687.666752732592</v>
      </c>
      <c r="K5" s="17">
        <v>39921.028466483011</v>
      </c>
      <c r="L5" s="26"/>
      <c r="M5" s="31"/>
      <c r="T5"/>
    </row>
    <row r="6" spans="1:21" x14ac:dyDescent="0.25">
      <c r="A6" s="39" t="s">
        <v>38</v>
      </c>
      <c r="B6" s="23">
        <f>AVERAGE(B3:B5)</f>
        <v>21443.572454957448</v>
      </c>
      <c r="C6" s="24">
        <f t="shared" ref="C6" si="0">AVERAGE(C3:C5)</f>
        <v>259677.15187503348</v>
      </c>
      <c r="D6" s="24">
        <f t="shared" ref="D6" si="1">AVERAGE(D3:D5)</f>
        <v>228215.19180803912</v>
      </c>
      <c r="E6" s="24">
        <f t="shared" ref="E6" si="2">AVERAGE(E3:E5)</f>
        <v>634954.81538858765</v>
      </c>
      <c r="F6" s="25">
        <f t="shared" ref="F6" si="3">AVERAGE(F3:F5)</f>
        <v>333808.38689929596</v>
      </c>
      <c r="H6" s="41" t="s">
        <v>24</v>
      </c>
      <c r="I6" s="17">
        <v>54424.80527261833</v>
      </c>
      <c r="J6" s="17">
        <v>141719.59721146399</v>
      </c>
      <c r="K6" s="17">
        <v>577772.26813590445</v>
      </c>
      <c r="L6" s="26"/>
      <c r="M6" s="31"/>
      <c r="T6"/>
    </row>
    <row r="7" spans="1:21" x14ac:dyDescent="0.25">
      <c r="A7" s="38" t="s">
        <v>15</v>
      </c>
      <c r="B7" s="3">
        <v>58977.193176375236</v>
      </c>
      <c r="C7" s="17">
        <v>0</v>
      </c>
      <c r="D7" s="17">
        <v>290.69234296194236</v>
      </c>
      <c r="E7" s="17">
        <v>75732.851364144939</v>
      </c>
      <c r="F7" s="31"/>
      <c r="H7" s="42" t="s">
        <v>41</v>
      </c>
      <c r="I7" s="24">
        <f>AVERAGE(I3:I6)</f>
        <v>24094.517675254647</v>
      </c>
      <c r="J7" s="24">
        <f t="shared" ref="J7" si="4">AVERAGE(J3:J6)</f>
        <v>73492.985626990281</v>
      </c>
      <c r="K7" s="24">
        <f t="shared" ref="K7" si="5">AVERAGE(K3:K6)</f>
        <v>191826.44628099172</v>
      </c>
      <c r="L7" s="24"/>
      <c r="M7" s="25"/>
      <c r="T7"/>
    </row>
    <row r="8" spans="1:21" x14ac:dyDescent="0.25">
      <c r="A8" s="38" t="s">
        <v>16</v>
      </c>
      <c r="B8" s="3">
        <v>39965.366051361401</v>
      </c>
      <c r="C8" s="17">
        <v>195813.67356764563</v>
      </c>
      <c r="D8" s="17">
        <v>297447.95965153602</v>
      </c>
      <c r="E8" s="17">
        <v>598282.12410706608</v>
      </c>
      <c r="F8" s="31"/>
      <c r="H8" s="41" t="s">
        <v>25</v>
      </c>
      <c r="I8" s="17">
        <v>33838.625923706793</v>
      </c>
      <c r="J8" s="17">
        <v>108136.67269128155</v>
      </c>
      <c r="K8" s="17">
        <v>0</v>
      </c>
      <c r="L8" s="17">
        <v>0</v>
      </c>
      <c r="M8" s="30">
        <v>0</v>
      </c>
      <c r="T8"/>
    </row>
    <row r="9" spans="1:21" x14ac:dyDescent="0.25">
      <c r="A9" s="38" t="s">
        <v>17</v>
      </c>
      <c r="B9" s="3">
        <v>0</v>
      </c>
      <c r="C9" s="17">
        <v>0</v>
      </c>
      <c r="D9" s="17">
        <v>355416.7812929849</v>
      </c>
      <c r="E9" s="17">
        <v>867109.04552887531</v>
      </c>
      <c r="F9" s="30">
        <v>704089.99081726349</v>
      </c>
      <c r="H9" s="41" t="s">
        <v>26</v>
      </c>
      <c r="I9" s="3">
        <v>102257.8390253645</v>
      </c>
      <c r="J9" s="17">
        <v>247658.14613994322</v>
      </c>
      <c r="K9" s="17">
        <v>20885.2157943067</v>
      </c>
      <c r="L9" s="17">
        <v>167840.76227390178</v>
      </c>
      <c r="M9" s="30">
        <v>215346.07843137253</v>
      </c>
      <c r="T9" s="17"/>
      <c r="U9" s="17"/>
    </row>
    <row r="10" spans="1:21" x14ac:dyDescent="0.25">
      <c r="A10" s="39" t="s">
        <v>39</v>
      </c>
      <c r="B10" s="23">
        <f>AVERAGE(B7:B9)</f>
        <v>32980.853075912215</v>
      </c>
      <c r="C10" s="24">
        <f t="shared" ref="C10" si="6">AVERAGE(C7:C9)</f>
        <v>65271.224522548546</v>
      </c>
      <c r="D10" s="24">
        <f t="shared" ref="D10" si="7">AVERAGE(D7:D9)</f>
        <v>217718.47776249432</v>
      </c>
      <c r="E10" s="24">
        <f t="shared" ref="E10" si="8">AVERAGE(E7:E9)</f>
        <v>513708.0070000288</v>
      </c>
      <c r="F10" s="25">
        <f t="shared" ref="F10" si="9">AVERAGE(F7:F9)</f>
        <v>704089.99081726349</v>
      </c>
      <c r="H10" s="41" t="s">
        <v>27</v>
      </c>
      <c r="I10" s="3">
        <v>44413.820651088463</v>
      </c>
      <c r="J10" s="17">
        <v>44473.70685945436</v>
      </c>
      <c r="K10" s="17">
        <v>24163.452708907251</v>
      </c>
      <c r="L10" s="17">
        <v>3427.0025839792961</v>
      </c>
      <c r="M10" s="30">
        <v>36081.372549019623</v>
      </c>
      <c r="T10" s="17"/>
      <c r="U10" s="17"/>
    </row>
    <row r="11" spans="1:21" x14ac:dyDescent="0.25">
      <c r="A11" s="38" t="s">
        <v>18</v>
      </c>
      <c r="B11" s="3">
        <v>83758.888766073491</v>
      </c>
      <c r="C11" s="17">
        <v>283247.47231584019</v>
      </c>
      <c r="D11" s="17">
        <v>479025.21779000468</v>
      </c>
      <c r="E11" s="26"/>
      <c r="F11" s="31"/>
      <c r="H11" s="41" t="s">
        <v>28</v>
      </c>
      <c r="I11" s="3">
        <v>63641.901338126627</v>
      </c>
      <c r="J11" s="17">
        <v>95278.423272226559</v>
      </c>
      <c r="K11" s="17">
        <v>0</v>
      </c>
      <c r="L11" s="17">
        <v>96022.286821705406</v>
      </c>
      <c r="M11" s="30">
        <v>41453.921568627477</v>
      </c>
      <c r="U11" s="17"/>
    </row>
    <row r="12" spans="1:21" x14ac:dyDescent="0.25">
      <c r="A12" s="38" t="s">
        <v>19</v>
      </c>
      <c r="B12" s="3">
        <v>17014.848384363147</v>
      </c>
      <c r="C12" s="17">
        <v>7617.5573744182329</v>
      </c>
      <c r="D12" s="17">
        <v>487030.71985327842</v>
      </c>
      <c r="E12" s="26"/>
      <c r="F12" s="31"/>
      <c r="H12" s="41" t="s">
        <v>29</v>
      </c>
      <c r="I12" s="3">
        <v>35076.892350709015</v>
      </c>
      <c r="J12" s="17">
        <v>116028.91815130392</v>
      </c>
      <c r="K12" s="17">
        <v>376064.27915518818</v>
      </c>
      <c r="L12" s="17">
        <v>100350.45219638239</v>
      </c>
      <c r="M12" s="30">
        <v>539963.72549019614</v>
      </c>
      <c r="U12" s="17"/>
    </row>
    <row r="13" spans="1:21" x14ac:dyDescent="0.25">
      <c r="A13" s="170" t="s">
        <v>20</v>
      </c>
      <c r="B13" s="171">
        <v>0</v>
      </c>
      <c r="C13" s="172">
        <v>0</v>
      </c>
      <c r="D13" s="172">
        <v>0</v>
      </c>
      <c r="E13" s="172">
        <v>23852.310870126523</v>
      </c>
      <c r="F13" s="32"/>
      <c r="H13" s="41" t="s">
        <v>30</v>
      </c>
      <c r="I13" s="3">
        <v>0</v>
      </c>
      <c r="J13" s="17">
        <v>59053.274808503309</v>
      </c>
      <c r="K13" s="17">
        <v>0</v>
      </c>
      <c r="L13" s="17">
        <v>24437.984496124012</v>
      </c>
      <c r="M13" s="30">
        <v>40963.72549019607</v>
      </c>
    </row>
    <row r="14" spans="1:21" x14ac:dyDescent="0.25">
      <c r="A14" s="39" t="s">
        <v>40</v>
      </c>
      <c r="B14" s="23">
        <f>AVERAGE(B11:B13)</f>
        <v>33591.245716812213</v>
      </c>
      <c r="C14" s="24">
        <f>AVERAGE(C11:C13)</f>
        <v>96955.009896752817</v>
      </c>
      <c r="D14" s="24">
        <f>AVERAGE(D11:D13)</f>
        <v>322018.64588109433</v>
      </c>
      <c r="E14" s="183">
        <v>23852.310870126501</v>
      </c>
      <c r="F14" s="36"/>
      <c r="H14" s="41" t="s">
        <v>31</v>
      </c>
      <c r="I14" s="4">
        <v>81936.28919512681</v>
      </c>
      <c r="J14" s="34">
        <v>60146.3120750495</v>
      </c>
      <c r="K14" s="34">
        <v>0</v>
      </c>
      <c r="L14" s="34">
        <v>0</v>
      </c>
      <c r="M14" s="35">
        <v>20267.647058823539</v>
      </c>
    </row>
    <row r="15" spans="1:21" s="1" customFormat="1" x14ac:dyDescent="0.25">
      <c r="A15" s="43" t="s">
        <v>36</v>
      </c>
      <c r="B15" s="44">
        <f>AVERAGE(B6,B10,B14)</f>
        <v>29338.557082560623</v>
      </c>
      <c r="C15" s="44">
        <f>AVERAGE(C6,C10,C14)</f>
        <v>140634.4620981116</v>
      </c>
      <c r="D15" s="44">
        <f>AVERAGE(D6,D10,D14)</f>
        <v>255984.1051505426</v>
      </c>
      <c r="E15" s="44">
        <f>AVERAGE(E6,E10,E14)</f>
        <v>390838.37775291433</v>
      </c>
      <c r="F15" s="45">
        <f>AVERAGE(F6,F10)</f>
        <v>518949.18885827973</v>
      </c>
      <c r="H15" s="42" t="s">
        <v>42</v>
      </c>
      <c r="I15" s="24">
        <f>AVERAGE(I8:I14)</f>
        <v>51595.052640588889</v>
      </c>
      <c r="J15" s="24">
        <f t="shared" ref="J15" si="10">AVERAGE(J8:J14)</f>
        <v>104396.49342825178</v>
      </c>
      <c r="K15" s="24">
        <f t="shared" ref="K15" si="11">AVERAGE(K8:K14)</f>
        <v>60158.992522628876</v>
      </c>
      <c r="L15" s="24">
        <f>AVERAGE(L8:L14)</f>
        <v>56011.21262458471</v>
      </c>
      <c r="M15" s="25">
        <f t="shared" ref="M15" si="12">AVERAGE(M8:M14)</f>
        <v>127725.21008403362</v>
      </c>
    </row>
    <row r="16" spans="1:21" x14ac:dyDescent="0.25">
      <c r="A16" s="43" t="s">
        <v>49</v>
      </c>
      <c r="B16" s="44">
        <f>_xlfn.STDEV.S(B3:B5,B7:B9,B11:B13)</f>
        <v>28961.261931024223</v>
      </c>
      <c r="C16" s="44">
        <f>_xlfn.STDEV.S(C3:C5,C7:C9,C11:C13)</f>
        <v>183200.98377927559</v>
      </c>
      <c r="D16" s="44">
        <f>_xlfn.STDEV.S(D3:D5,D7:D9,D11:D13)</f>
        <v>178277.53344570097</v>
      </c>
      <c r="E16" s="44">
        <f>_xlfn.STDEV.S(E3:E5,E7:E9,E13)</f>
        <v>351551.93958081119</v>
      </c>
      <c r="F16" s="49">
        <f>_xlfn.STDEV.S(F3:F5,F9)</f>
        <v>222982.57241642251</v>
      </c>
      <c r="H16" s="41" t="s">
        <v>32</v>
      </c>
      <c r="I16" s="27">
        <v>5878.6529371029419</v>
      </c>
      <c r="J16" s="28">
        <v>70106.360153256726</v>
      </c>
      <c r="K16" s="28">
        <v>109058.31835430398</v>
      </c>
      <c r="L16" s="28">
        <v>431684.57978802803</v>
      </c>
      <c r="M16" s="29">
        <v>590830.13128402189</v>
      </c>
      <c r="T16"/>
    </row>
    <row r="17" spans="1:20" s="1" customFormat="1" x14ac:dyDescent="0.25">
      <c r="A17" s="43" t="s">
        <v>216</v>
      </c>
      <c r="B17" s="44">
        <f>B16/SQRT(9)</f>
        <v>9653.7539770080748</v>
      </c>
      <c r="C17" s="44">
        <f t="shared" ref="C17:D17" si="13">C16/SQRT(9)</f>
        <v>61066.994593091862</v>
      </c>
      <c r="D17" s="44">
        <f t="shared" si="13"/>
        <v>59425.844481900327</v>
      </c>
      <c r="E17" s="44">
        <f>E16/SQRT(7)</f>
        <v>132874.14357903297</v>
      </c>
      <c r="F17" s="49">
        <f>F16/SQRT(4)</f>
        <v>111491.28620821126</v>
      </c>
      <c r="H17" s="41" t="s">
        <v>33</v>
      </c>
      <c r="I17" s="3">
        <v>0</v>
      </c>
      <c r="J17" s="17">
        <v>77800.818530128876</v>
      </c>
      <c r="K17" s="17">
        <v>225200.71899340925</v>
      </c>
      <c r="L17" s="17">
        <v>390469.47305567999</v>
      </c>
      <c r="M17" s="30">
        <v>523659.14185078454</v>
      </c>
    </row>
    <row r="18" spans="1:20" s="1" customFormat="1" x14ac:dyDescent="0.25">
      <c r="A18" s="151" t="s">
        <v>52</v>
      </c>
      <c r="B18" s="152"/>
      <c r="C18" s="152"/>
      <c r="D18" s="152"/>
      <c r="E18" s="152"/>
      <c r="F18" s="153"/>
      <c r="H18" s="41" t="s">
        <v>34</v>
      </c>
      <c r="I18" s="3">
        <v>3974.8562309938848</v>
      </c>
      <c r="J18" s="17">
        <v>77928.237547892728</v>
      </c>
      <c r="K18" s="17">
        <v>116692.63031755542</v>
      </c>
      <c r="L18" s="17">
        <v>116428.571428571</v>
      </c>
      <c r="M18" s="30">
        <v>517423.1508165226</v>
      </c>
    </row>
    <row r="19" spans="1:20" s="1" customFormat="1" x14ac:dyDescent="0.25">
      <c r="A19" s="54" t="s">
        <v>50</v>
      </c>
      <c r="B19" s="55">
        <f>B15/100000</f>
        <v>0.29338557082560623</v>
      </c>
      <c r="C19" s="55">
        <f t="shared" ref="C19:F19" si="14">C15/100000</f>
        <v>1.4063446209811161</v>
      </c>
      <c r="D19" s="55">
        <f t="shared" si="14"/>
        <v>2.5598410515054262</v>
      </c>
      <c r="E19" s="55">
        <f t="shared" si="14"/>
        <v>3.9083837775291435</v>
      </c>
      <c r="F19" s="56">
        <f t="shared" si="14"/>
        <v>5.189491888582797</v>
      </c>
      <c r="H19" s="41" t="s">
        <v>35</v>
      </c>
      <c r="I19" s="3">
        <v>42287.324240508235</v>
      </c>
      <c r="J19" s="17">
        <v>191110.48415186352</v>
      </c>
      <c r="K19" s="17">
        <v>332335.72997803072</v>
      </c>
      <c r="L19" s="17">
        <v>611427.82504851464</v>
      </c>
      <c r="M19" s="30">
        <v>454919.14825488313</v>
      </c>
    </row>
    <row r="20" spans="1:20" x14ac:dyDescent="0.25">
      <c r="A20" s="57" t="s">
        <v>215</v>
      </c>
      <c r="B20" s="176">
        <f>B17/100000</f>
        <v>9.6537539770080755E-2</v>
      </c>
      <c r="C20" s="176">
        <f t="shared" ref="C20:F20" si="15">C17/100000</f>
        <v>0.61066994593091861</v>
      </c>
      <c r="D20" s="176">
        <f t="shared" si="15"/>
        <v>0.59425844481900325</v>
      </c>
      <c r="E20" s="176">
        <f t="shared" si="15"/>
        <v>1.3287414357903298</v>
      </c>
      <c r="F20" s="177">
        <f t="shared" si="15"/>
        <v>1.1149128620821125</v>
      </c>
      <c r="H20" s="42" t="s">
        <v>43</v>
      </c>
      <c r="I20" s="23">
        <f>AVERAGE(I16:I19)</f>
        <v>13035.208352151265</v>
      </c>
      <c r="J20" s="24">
        <f t="shared" ref="J20" si="16">AVERAGE(J16:J19)</f>
        <v>104236.47509578546</v>
      </c>
      <c r="K20" s="24">
        <f t="shared" ref="K20" si="17">AVERAGE(K16:K19)</f>
        <v>195821.84941082483</v>
      </c>
      <c r="L20" s="24">
        <f t="shared" ref="L20" si="18">AVERAGE(L16:L19)</f>
        <v>387502.6123301984</v>
      </c>
      <c r="M20" s="25">
        <f t="shared" ref="M20" si="19">AVERAGE(M16:M19)</f>
        <v>521707.89305155305</v>
      </c>
      <c r="T20"/>
    </row>
    <row r="21" spans="1:20" x14ac:dyDescent="0.25">
      <c r="H21" s="46" t="s">
        <v>37</v>
      </c>
      <c r="I21" s="47">
        <f>AVERAGE(I7,I15,I20)</f>
        <v>29574.926222664933</v>
      </c>
      <c r="J21" s="47">
        <f t="shared" ref="J21:M21" si="20">AVERAGE(J7,J15,J20)</f>
        <v>94041.984717009167</v>
      </c>
      <c r="K21" s="47">
        <f t="shared" si="20"/>
        <v>149269.09607148179</v>
      </c>
      <c r="L21" s="47">
        <f t="shared" si="20"/>
        <v>221756.91247739157</v>
      </c>
      <c r="M21" s="48">
        <f t="shared" si="20"/>
        <v>324716.55156779336</v>
      </c>
      <c r="T21"/>
    </row>
    <row r="22" spans="1:20" x14ac:dyDescent="0.25">
      <c r="H22" s="52" t="s">
        <v>48</v>
      </c>
      <c r="I22" s="180">
        <f>_xlfn.STDEV.S(I3:I6,I8:I14,I16:I19)</f>
        <v>31745.609345736553</v>
      </c>
      <c r="J22" s="180">
        <f>_xlfn.STDEV.S(J3:J6,J8:J14,J16:J19)</f>
        <v>58448.490427304321</v>
      </c>
      <c r="K22" s="180">
        <f>_xlfn.STDEV.S(K3:K6,K8:K14,K16:K19)</f>
        <v>172867.99158017698</v>
      </c>
      <c r="L22" s="180">
        <f>_xlfn.STDEV.S(L8:L14,L16:L19)</f>
        <v>207702.88406821131</v>
      </c>
      <c r="M22" s="181">
        <f>_xlfn.STDEV.S(M8:M14,M16:M19)</f>
        <v>251638.62682154158</v>
      </c>
      <c r="T22"/>
    </row>
    <row r="23" spans="1:20" x14ac:dyDescent="0.25">
      <c r="H23" s="42" t="s">
        <v>217</v>
      </c>
      <c r="I23" s="47">
        <f>I22/SQRT(15)</f>
        <v>8196.6810874162802</v>
      </c>
      <c r="J23" s="47">
        <f t="shared" ref="J23:K23" si="21">J22/SQRT(15)</f>
        <v>15091.33533572755</v>
      </c>
      <c r="K23" s="47">
        <f t="shared" si="21"/>
        <v>44634.323498823294</v>
      </c>
      <c r="L23" s="47">
        <f>L22/SQRT(11)</f>
        <v>62624.775848085752</v>
      </c>
      <c r="M23" s="182">
        <f>M22/SQRT(11)</f>
        <v>75871.9007206651</v>
      </c>
      <c r="T23"/>
    </row>
    <row r="24" spans="1:20" x14ac:dyDescent="0.25">
      <c r="H24" s="151" t="s">
        <v>52</v>
      </c>
      <c r="I24" s="152"/>
      <c r="J24" s="152"/>
      <c r="K24" s="152"/>
      <c r="L24" s="152"/>
      <c r="M24" s="153"/>
      <c r="T24"/>
    </row>
    <row r="25" spans="1:20" x14ac:dyDescent="0.25">
      <c r="H25" s="58" t="s">
        <v>51</v>
      </c>
      <c r="I25" s="50">
        <f>I21/100000</f>
        <v>0.29574926222664932</v>
      </c>
      <c r="J25" s="50">
        <f t="shared" ref="J25:M25" si="22">J21/100000</f>
        <v>0.94041984717009164</v>
      </c>
      <c r="K25" s="50">
        <f t="shared" si="22"/>
        <v>1.492690960714818</v>
      </c>
      <c r="L25" s="50">
        <f t="shared" si="22"/>
        <v>2.2175691247739158</v>
      </c>
      <c r="M25" s="51">
        <f t="shared" si="22"/>
        <v>3.2471655156779335</v>
      </c>
      <c r="T25"/>
    </row>
    <row r="26" spans="1:20" x14ac:dyDescent="0.25">
      <c r="H26" s="59" t="s">
        <v>215</v>
      </c>
      <c r="I26" s="178">
        <f>I23/100000</f>
        <v>8.1966810874162799E-2</v>
      </c>
      <c r="J26" s="178">
        <f t="shared" ref="J26:M26" si="23">J23/100000</f>
        <v>0.15091335335727549</v>
      </c>
      <c r="K26" s="178">
        <f t="shared" si="23"/>
        <v>0.44634323498823292</v>
      </c>
      <c r="L26" s="178">
        <f t="shared" si="23"/>
        <v>0.62624775848085756</v>
      </c>
      <c r="M26" s="179">
        <f t="shared" si="23"/>
        <v>0.75871900720665097</v>
      </c>
      <c r="T26"/>
    </row>
    <row r="27" spans="1:20" x14ac:dyDescent="0.25">
      <c r="T27"/>
    </row>
    <row r="28" spans="1:20" x14ac:dyDescent="0.25">
      <c r="T28"/>
    </row>
    <row r="42" spans="7:13" x14ac:dyDescent="0.25">
      <c r="I42" s="1"/>
      <c r="J42" s="1"/>
      <c r="K42" s="1"/>
      <c r="L42" s="1"/>
      <c r="M42" s="1"/>
    </row>
    <row r="43" spans="7:13" x14ac:dyDescent="0.25">
      <c r="G43" s="22"/>
      <c r="I43" s="1"/>
      <c r="J43" s="1"/>
      <c r="K43" s="1"/>
      <c r="L43" s="1"/>
      <c r="M43" s="1"/>
    </row>
    <row r="44" spans="7:13" x14ac:dyDescent="0.25">
      <c r="I44" s="1"/>
      <c r="J44" s="1"/>
      <c r="K44" s="1"/>
      <c r="L44" s="1"/>
      <c r="M44" s="1"/>
    </row>
    <row r="47" spans="7:13" s="1" customFormat="1" x14ac:dyDescent="0.25">
      <c r="I47"/>
      <c r="J47"/>
      <c r="K47"/>
      <c r="L47"/>
      <c r="M47"/>
    </row>
    <row r="48" spans="7:13" s="1" customFormat="1" x14ac:dyDescent="0.25"/>
    <row r="49" spans="9:13" s="1" customFormat="1" x14ac:dyDescent="0.25"/>
    <row r="50" spans="9:13" x14ac:dyDescent="0.25">
      <c r="I50" s="1"/>
      <c r="J50" s="1"/>
      <c r="K50" s="1"/>
      <c r="L50" s="1"/>
      <c r="M50" s="1"/>
    </row>
    <row r="53" spans="9:13" s="1" customFormat="1" x14ac:dyDescent="0.25">
      <c r="I53"/>
      <c r="J53"/>
      <c r="K53"/>
      <c r="L53"/>
      <c r="M53"/>
    </row>
    <row r="54" spans="9:13" s="1" customFormat="1" x14ac:dyDescent="0.25">
      <c r="I54"/>
      <c r="J54"/>
      <c r="K54"/>
      <c r="L54"/>
      <c r="M54"/>
    </row>
    <row r="55" spans="9:13" s="1" customFormat="1" x14ac:dyDescent="0.25">
      <c r="I55"/>
      <c r="J55"/>
      <c r="K55"/>
      <c r="L55"/>
      <c r="M55"/>
    </row>
  </sheetData>
  <mergeCells count="4">
    <mergeCell ref="H24:M24"/>
    <mergeCell ref="A1:F1"/>
    <mergeCell ref="H1:M1"/>
    <mergeCell ref="A18:F18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7E63E-5F44-484F-A450-43B8C8D48DE9}">
  <dimension ref="A1:C65"/>
  <sheetViews>
    <sheetView topLeftCell="A25" workbookViewId="0">
      <selection activeCell="I31" sqref="I31"/>
    </sheetView>
  </sheetViews>
  <sheetFormatPr defaultRowHeight="15" x14ac:dyDescent="0.25"/>
  <cols>
    <col min="1" max="1" width="20.7109375" customWidth="1"/>
    <col min="2" max="2" width="21.140625" customWidth="1"/>
    <col min="3" max="3" width="24.7109375" customWidth="1"/>
  </cols>
  <sheetData>
    <row r="1" spans="1:3" ht="18" x14ac:dyDescent="0.25">
      <c r="A1" s="154" t="s">
        <v>128</v>
      </c>
      <c r="B1" s="154"/>
      <c r="C1" s="154"/>
    </row>
    <row r="2" spans="1:3" ht="18" x14ac:dyDescent="0.25">
      <c r="A2" s="154" t="s">
        <v>185</v>
      </c>
      <c r="B2" s="154"/>
      <c r="C2" s="154"/>
    </row>
    <row r="3" spans="1:3" ht="16.5" thickBot="1" x14ac:dyDescent="0.3">
      <c r="A3" s="145" t="s">
        <v>45</v>
      </c>
      <c r="B3" s="146" t="s">
        <v>129</v>
      </c>
      <c r="C3" s="146" t="s">
        <v>130</v>
      </c>
    </row>
    <row r="4" spans="1:3" ht="16.5" thickTop="1" thickBot="1" x14ac:dyDescent="0.3">
      <c r="A4" s="139" t="s">
        <v>189</v>
      </c>
      <c r="B4" s="140" t="s">
        <v>131</v>
      </c>
      <c r="C4" s="140" t="s">
        <v>132</v>
      </c>
    </row>
    <row r="5" spans="1:3" ht="15.75" thickBot="1" x14ac:dyDescent="0.3">
      <c r="A5" s="139" t="s">
        <v>190</v>
      </c>
      <c r="B5" s="140" t="s">
        <v>134</v>
      </c>
      <c r="C5" s="140" t="s">
        <v>132</v>
      </c>
    </row>
    <row r="6" spans="1:3" ht="15.75" thickBot="1" x14ac:dyDescent="0.3">
      <c r="A6" s="139" t="s">
        <v>191</v>
      </c>
      <c r="B6" s="140" t="s">
        <v>135</v>
      </c>
      <c r="C6" s="140" t="s">
        <v>132</v>
      </c>
    </row>
    <row r="7" spans="1:3" ht="15.75" thickBot="1" x14ac:dyDescent="0.3">
      <c r="A7" s="139" t="s">
        <v>192</v>
      </c>
      <c r="B7" s="140" t="s">
        <v>136</v>
      </c>
      <c r="C7" s="140" t="s">
        <v>132</v>
      </c>
    </row>
    <row r="8" spans="1:3" ht="15.75" thickBot="1" x14ac:dyDescent="0.3">
      <c r="A8" s="139" t="s">
        <v>193</v>
      </c>
      <c r="B8" s="140" t="s">
        <v>137</v>
      </c>
      <c r="C8" s="140" t="s">
        <v>138</v>
      </c>
    </row>
    <row r="9" spans="1:3" ht="15.75" thickBot="1" x14ac:dyDescent="0.3">
      <c r="A9" s="139" t="s">
        <v>194</v>
      </c>
      <c r="B9" s="140" t="s">
        <v>139</v>
      </c>
      <c r="C9" s="140" t="s">
        <v>140</v>
      </c>
    </row>
    <row r="10" spans="1:3" ht="15.75" thickBot="1" x14ac:dyDescent="0.3">
      <c r="A10" s="139" t="s">
        <v>173</v>
      </c>
      <c r="B10" s="140" t="s">
        <v>141</v>
      </c>
      <c r="C10" s="140" t="s">
        <v>132</v>
      </c>
    </row>
    <row r="11" spans="1:3" ht="15.75" thickBot="1" x14ac:dyDescent="0.3">
      <c r="A11" s="139" t="s">
        <v>195</v>
      </c>
      <c r="B11" s="140" t="s">
        <v>143</v>
      </c>
      <c r="C11" s="140" t="s">
        <v>142</v>
      </c>
    </row>
    <row r="12" spans="1:3" ht="15.75" thickBot="1" x14ac:dyDescent="0.3">
      <c r="A12" s="139" t="s">
        <v>196</v>
      </c>
      <c r="B12" s="140" t="s">
        <v>144</v>
      </c>
      <c r="C12" s="140" t="s">
        <v>142</v>
      </c>
    </row>
    <row r="13" spans="1:3" ht="15.75" thickBot="1" x14ac:dyDescent="0.3">
      <c r="A13" s="139" t="s">
        <v>197</v>
      </c>
      <c r="B13" s="140" t="s">
        <v>145</v>
      </c>
      <c r="C13" s="140" t="s">
        <v>140</v>
      </c>
    </row>
    <row r="14" spans="1:3" ht="15.75" thickBot="1" x14ac:dyDescent="0.3">
      <c r="A14" s="139" t="s">
        <v>198</v>
      </c>
      <c r="B14" s="140" t="s">
        <v>145</v>
      </c>
      <c r="C14" s="140" t="s">
        <v>140</v>
      </c>
    </row>
    <row r="15" spans="1:3" ht="15.75" thickBot="1" x14ac:dyDescent="0.3">
      <c r="A15" s="139" t="s">
        <v>174</v>
      </c>
      <c r="B15" s="140" t="s">
        <v>147</v>
      </c>
      <c r="C15" s="140" t="s">
        <v>146</v>
      </c>
    </row>
    <row r="16" spans="1:3" ht="15.75" thickBot="1" x14ac:dyDescent="0.3">
      <c r="A16" s="139" t="s">
        <v>199</v>
      </c>
      <c r="B16" s="140" t="s">
        <v>148</v>
      </c>
      <c r="C16" s="140" t="s">
        <v>149</v>
      </c>
    </row>
    <row r="17" spans="1:3" ht="15.75" thickBot="1" x14ac:dyDescent="0.3">
      <c r="A17" s="139" t="s">
        <v>200</v>
      </c>
      <c r="B17" s="140" t="s">
        <v>150</v>
      </c>
      <c r="C17" s="140" t="s">
        <v>151</v>
      </c>
    </row>
    <row r="18" spans="1:3" ht="15.75" thickBot="1" x14ac:dyDescent="0.3">
      <c r="A18" s="139" t="s">
        <v>201</v>
      </c>
      <c r="B18" s="140" t="s">
        <v>162</v>
      </c>
      <c r="C18" s="140" t="s">
        <v>132</v>
      </c>
    </row>
    <row r="19" spans="1:3" ht="15.75" thickBot="1" x14ac:dyDescent="0.3">
      <c r="A19" s="139" t="s">
        <v>202</v>
      </c>
      <c r="B19" s="140" t="s">
        <v>139</v>
      </c>
      <c r="C19" s="140" t="s">
        <v>140</v>
      </c>
    </row>
    <row r="20" spans="1:3" ht="15.75" thickBot="1" x14ac:dyDescent="0.3">
      <c r="A20" s="139" t="s">
        <v>203</v>
      </c>
      <c r="B20" s="140" t="s">
        <v>152</v>
      </c>
      <c r="C20" s="140" t="s">
        <v>132</v>
      </c>
    </row>
    <row r="21" spans="1:3" ht="15.75" thickBot="1" x14ac:dyDescent="0.3">
      <c r="A21" s="139" t="s">
        <v>204</v>
      </c>
      <c r="B21" s="140" t="s">
        <v>153</v>
      </c>
      <c r="C21" s="140" t="s">
        <v>151</v>
      </c>
    </row>
    <row r="22" spans="1:3" ht="15.75" thickBot="1" x14ac:dyDescent="0.3">
      <c r="A22" s="139" t="s">
        <v>205</v>
      </c>
      <c r="B22" s="140" t="s">
        <v>154</v>
      </c>
      <c r="C22" s="140" t="s">
        <v>132</v>
      </c>
    </row>
    <row r="23" spans="1:3" ht="15.75" thickBot="1" x14ac:dyDescent="0.3">
      <c r="A23" s="139" t="s">
        <v>206</v>
      </c>
      <c r="B23" s="140" t="s">
        <v>155</v>
      </c>
      <c r="C23" s="140" t="s">
        <v>132</v>
      </c>
    </row>
    <row r="24" spans="1:3" ht="15.75" thickBot="1" x14ac:dyDescent="0.3">
      <c r="A24" s="139" t="s">
        <v>207</v>
      </c>
      <c r="B24" s="140" t="s">
        <v>156</v>
      </c>
      <c r="C24" s="140" t="s">
        <v>132</v>
      </c>
    </row>
    <row r="25" spans="1:3" ht="15.75" thickBot="1" x14ac:dyDescent="0.3">
      <c r="A25" s="139" t="s">
        <v>175</v>
      </c>
      <c r="B25" s="140" t="s">
        <v>137</v>
      </c>
      <c r="C25" s="140" t="s">
        <v>138</v>
      </c>
    </row>
    <row r="26" spans="1:3" ht="15.75" thickBot="1" x14ac:dyDescent="0.3">
      <c r="A26" s="139" t="s">
        <v>176</v>
      </c>
      <c r="B26" s="140" t="s">
        <v>157</v>
      </c>
      <c r="C26" s="140" t="s">
        <v>132</v>
      </c>
    </row>
    <row r="27" spans="1:3" ht="15.75" thickBot="1" x14ac:dyDescent="0.3">
      <c r="A27" s="139" t="s">
        <v>177</v>
      </c>
      <c r="B27" s="140" t="s">
        <v>158</v>
      </c>
      <c r="C27" s="140" t="s">
        <v>132</v>
      </c>
    </row>
    <row r="28" spans="1:3" ht="15.75" thickBot="1" x14ac:dyDescent="0.3">
      <c r="A28" s="139" t="s">
        <v>178</v>
      </c>
      <c r="B28" s="140" t="s">
        <v>159</v>
      </c>
      <c r="C28" s="140" t="s">
        <v>132</v>
      </c>
    </row>
    <row r="29" spans="1:3" ht="15.75" thickBot="1" x14ac:dyDescent="0.3">
      <c r="A29" s="139" t="s">
        <v>179</v>
      </c>
      <c r="B29" s="140" t="s">
        <v>160</v>
      </c>
      <c r="C29" s="140" t="s">
        <v>161</v>
      </c>
    </row>
    <row r="30" spans="1:3" ht="15.75" thickBot="1" x14ac:dyDescent="0.3">
      <c r="A30" s="139" t="s">
        <v>180</v>
      </c>
      <c r="B30" s="140" t="s">
        <v>162</v>
      </c>
      <c r="C30" s="140" t="s">
        <v>132</v>
      </c>
    </row>
    <row r="31" spans="1:3" ht="15.75" thickBot="1" x14ac:dyDescent="0.3">
      <c r="A31" s="139" t="s">
        <v>181</v>
      </c>
      <c r="B31" s="140" t="s">
        <v>133</v>
      </c>
      <c r="C31" s="140" t="s">
        <v>132</v>
      </c>
    </row>
    <row r="32" spans="1:3" x14ac:dyDescent="0.25">
      <c r="A32" s="137"/>
    </row>
    <row r="33" spans="1:3" x14ac:dyDescent="0.25">
      <c r="A33" s="137"/>
    </row>
    <row r="34" spans="1:3" ht="18" x14ac:dyDescent="0.25">
      <c r="A34" s="154" t="s">
        <v>186</v>
      </c>
      <c r="B34" s="154"/>
      <c r="C34" s="154"/>
    </row>
    <row r="35" spans="1:3" ht="18.75" x14ac:dyDescent="0.25">
      <c r="A35" s="154" t="s">
        <v>184</v>
      </c>
      <c r="B35" s="154"/>
      <c r="C35" s="154"/>
    </row>
    <row r="36" spans="1:3" ht="16.5" thickBot="1" x14ac:dyDescent="0.3">
      <c r="A36" s="145" t="s">
        <v>163</v>
      </c>
      <c r="B36" s="146" t="s">
        <v>164</v>
      </c>
      <c r="C36" s="146" t="s">
        <v>165</v>
      </c>
    </row>
    <row r="37" spans="1:3" ht="16.5" thickTop="1" thickBot="1" x14ac:dyDescent="0.3">
      <c r="A37" s="139" t="s">
        <v>189</v>
      </c>
      <c r="B37" s="140" t="s">
        <v>131</v>
      </c>
      <c r="C37" s="140" t="s">
        <v>166</v>
      </c>
    </row>
    <row r="38" spans="1:3" ht="15.75" thickBot="1" x14ac:dyDescent="0.3">
      <c r="A38" s="139" t="s">
        <v>190</v>
      </c>
      <c r="B38" s="140" t="s">
        <v>134</v>
      </c>
      <c r="C38" s="140" t="s">
        <v>166</v>
      </c>
    </row>
    <row r="39" spans="1:3" ht="15.75" thickBot="1" x14ac:dyDescent="0.3">
      <c r="A39" s="139" t="s">
        <v>191</v>
      </c>
      <c r="B39" s="140" t="s">
        <v>135</v>
      </c>
      <c r="C39" s="140" t="s">
        <v>167</v>
      </c>
    </row>
    <row r="40" spans="1:3" ht="15.75" thickBot="1" x14ac:dyDescent="0.3">
      <c r="A40" s="139" t="s">
        <v>193</v>
      </c>
      <c r="B40" s="140" t="s">
        <v>137</v>
      </c>
      <c r="C40" s="140" t="s">
        <v>167</v>
      </c>
    </row>
    <row r="41" spans="1:3" ht="15.75" thickBot="1" x14ac:dyDescent="0.3">
      <c r="A41" s="139" t="s">
        <v>192</v>
      </c>
      <c r="B41" s="140" t="s">
        <v>136</v>
      </c>
      <c r="C41" s="140" t="s">
        <v>166</v>
      </c>
    </row>
    <row r="42" spans="1:3" ht="15.75" thickBot="1" x14ac:dyDescent="0.3">
      <c r="A42" s="139" t="s">
        <v>208</v>
      </c>
      <c r="B42" s="140" t="s">
        <v>139</v>
      </c>
      <c r="C42" s="140" t="s">
        <v>166</v>
      </c>
    </row>
    <row r="43" spans="1:3" ht="15.75" thickBot="1" x14ac:dyDescent="0.3">
      <c r="A43" s="139" t="s">
        <v>173</v>
      </c>
      <c r="B43" s="140" t="s">
        <v>141</v>
      </c>
      <c r="C43" s="140" t="s">
        <v>168</v>
      </c>
    </row>
    <row r="44" spans="1:3" ht="15.75" thickBot="1" x14ac:dyDescent="0.3">
      <c r="A44" s="139" t="s">
        <v>195</v>
      </c>
      <c r="B44" s="140" t="s">
        <v>143</v>
      </c>
      <c r="C44" s="140" t="s">
        <v>167</v>
      </c>
    </row>
    <row r="45" spans="1:3" ht="15.75" thickBot="1" x14ac:dyDescent="0.3">
      <c r="A45" s="139" t="s">
        <v>196</v>
      </c>
      <c r="B45" s="140" t="s">
        <v>144</v>
      </c>
      <c r="C45" s="140" t="s">
        <v>167</v>
      </c>
    </row>
    <row r="46" spans="1:3" ht="15.75" thickBot="1" x14ac:dyDescent="0.3">
      <c r="A46" s="139" t="s">
        <v>197</v>
      </c>
      <c r="B46" s="140" t="s">
        <v>145</v>
      </c>
      <c r="C46" s="140" t="s">
        <v>167</v>
      </c>
    </row>
    <row r="47" spans="1:3" ht="15.75" thickBot="1" x14ac:dyDescent="0.3">
      <c r="A47" s="139" t="s">
        <v>198</v>
      </c>
      <c r="B47" s="140" t="s">
        <v>145</v>
      </c>
      <c r="C47" s="140" t="s">
        <v>166</v>
      </c>
    </row>
    <row r="48" spans="1:3" ht="15.75" thickBot="1" x14ac:dyDescent="0.3">
      <c r="A48" s="139" t="s">
        <v>174</v>
      </c>
      <c r="B48" s="140" t="s">
        <v>147</v>
      </c>
      <c r="C48" s="140" t="s">
        <v>168</v>
      </c>
    </row>
    <row r="49" spans="1:3" ht="15.75" thickBot="1" x14ac:dyDescent="0.3">
      <c r="A49" s="139" t="s">
        <v>199</v>
      </c>
      <c r="B49" s="140" t="s">
        <v>148</v>
      </c>
      <c r="C49" s="140" t="s">
        <v>168</v>
      </c>
    </row>
    <row r="50" spans="1:3" ht="15.75" thickBot="1" x14ac:dyDescent="0.3">
      <c r="A50" s="139" t="s">
        <v>209</v>
      </c>
      <c r="B50" s="140" t="s">
        <v>150</v>
      </c>
      <c r="C50" s="140" t="s">
        <v>169</v>
      </c>
    </row>
    <row r="51" spans="1:3" ht="15.75" thickBot="1" x14ac:dyDescent="0.3">
      <c r="A51" s="139" t="s">
        <v>201</v>
      </c>
      <c r="B51" s="140" t="s">
        <v>162</v>
      </c>
      <c r="C51" s="140" t="s">
        <v>168</v>
      </c>
    </row>
    <row r="52" spans="1:3" ht="15.75" thickBot="1" x14ac:dyDescent="0.3">
      <c r="A52" s="139" t="s">
        <v>202</v>
      </c>
      <c r="B52" s="140" t="s">
        <v>139</v>
      </c>
      <c r="C52" s="140" t="s">
        <v>166</v>
      </c>
    </row>
    <row r="53" spans="1:3" ht="15.75" thickBot="1" x14ac:dyDescent="0.3">
      <c r="A53" s="139" t="s">
        <v>203</v>
      </c>
      <c r="B53" s="140" t="s">
        <v>152</v>
      </c>
      <c r="C53" s="140" t="s">
        <v>170</v>
      </c>
    </row>
    <row r="54" spans="1:3" ht="15.75" thickBot="1" x14ac:dyDescent="0.3">
      <c r="A54" s="139" t="s">
        <v>204</v>
      </c>
      <c r="B54" s="140" t="s">
        <v>153</v>
      </c>
      <c r="C54" s="140" t="s">
        <v>171</v>
      </c>
    </row>
    <row r="55" spans="1:3" ht="15.75" thickBot="1" x14ac:dyDescent="0.3">
      <c r="A55" s="139" t="s">
        <v>206</v>
      </c>
      <c r="B55" s="140" t="s">
        <v>155</v>
      </c>
      <c r="C55" s="140" t="s">
        <v>166</v>
      </c>
    </row>
    <row r="56" spans="1:3" ht="15.75" thickBot="1" x14ac:dyDescent="0.3">
      <c r="A56" s="139" t="s">
        <v>207</v>
      </c>
      <c r="B56" s="140" t="s">
        <v>156</v>
      </c>
      <c r="C56" s="140" t="s">
        <v>167</v>
      </c>
    </row>
    <row r="57" spans="1:3" ht="15.75" thickBot="1" x14ac:dyDescent="0.3">
      <c r="A57" s="139" t="s">
        <v>205</v>
      </c>
      <c r="B57" s="140" t="s">
        <v>154</v>
      </c>
      <c r="C57" s="140" t="s">
        <v>167</v>
      </c>
    </row>
    <row r="58" spans="1:3" ht="15.75" thickBot="1" x14ac:dyDescent="0.3">
      <c r="A58" s="139" t="s">
        <v>175</v>
      </c>
      <c r="B58" s="140" t="s">
        <v>137</v>
      </c>
      <c r="C58" s="140" t="s">
        <v>168</v>
      </c>
    </row>
    <row r="59" spans="1:3" ht="15.75" thickBot="1" x14ac:dyDescent="0.3">
      <c r="A59" s="139" t="s">
        <v>176</v>
      </c>
      <c r="B59" s="140" t="s">
        <v>157</v>
      </c>
      <c r="C59" s="140" t="s">
        <v>166</v>
      </c>
    </row>
    <row r="60" spans="1:3" ht="15.75" thickBot="1" x14ac:dyDescent="0.3">
      <c r="A60" s="139" t="s">
        <v>177</v>
      </c>
      <c r="B60" s="140" t="s">
        <v>158</v>
      </c>
      <c r="C60" s="140" t="s">
        <v>140</v>
      </c>
    </row>
    <row r="61" spans="1:3" ht="15.75" thickBot="1" x14ac:dyDescent="0.3">
      <c r="A61" s="139" t="s">
        <v>178</v>
      </c>
      <c r="B61" s="140" t="s">
        <v>159</v>
      </c>
      <c r="C61" s="140" t="s">
        <v>170</v>
      </c>
    </row>
    <row r="62" spans="1:3" ht="15.75" thickBot="1" x14ac:dyDescent="0.3">
      <c r="A62" s="139" t="s">
        <v>182</v>
      </c>
      <c r="B62" s="140" t="s">
        <v>160</v>
      </c>
      <c r="C62" s="140" t="s">
        <v>167</v>
      </c>
    </row>
    <row r="63" spans="1:3" ht="15.75" thickBot="1" x14ac:dyDescent="0.3">
      <c r="A63" s="139" t="s">
        <v>180</v>
      </c>
      <c r="B63" s="140" t="s">
        <v>162</v>
      </c>
      <c r="C63" s="140" t="s">
        <v>170</v>
      </c>
    </row>
    <row r="64" spans="1:3" ht="15.75" thickBot="1" x14ac:dyDescent="0.3">
      <c r="A64" s="139" t="s">
        <v>183</v>
      </c>
      <c r="B64" s="140" t="s">
        <v>133</v>
      </c>
      <c r="C64" s="140" t="s">
        <v>170</v>
      </c>
    </row>
    <row r="65" spans="1:1" x14ac:dyDescent="0.25">
      <c r="A65" s="138" t="s">
        <v>109</v>
      </c>
    </row>
  </sheetData>
  <mergeCells count="4">
    <mergeCell ref="A35:C35"/>
    <mergeCell ref="A34:C34"/>
    <mergeCell ref="A1:C1"/>
    <mergeCell ref="A2:C2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6FCC0-87B3-48F3-8637-7A35EA947D28}">
  <dimension ref="A1:P52"/>
  <sheetViews>
    <sheetView topLeftCell="A10" workbookViewId="0">
      <selection activeCell="O52" sqref="O52"/>
    </sheetView>
  </sheetViews>
  <sheetFormatPr defaultRowHeight="15" x14ac:dyDescent="0.25"/>
  <cols>
    <col min="3" max="3" width="11.5703125" bestFit="1" customWidth="1"/>
    <col min="14" max="14" width="7.7109375" customWidth="1"/>
    <col min="15" max="15" width="11.7109375" customWidth="1"/>
    <col min="16" max="16" width="13.7109375" customWidth="1"/>
  </cols>
  <sheetData>
    <row r="1" spans="1:16" x14ac:dyDescent="0.25">
      <c r="A1" s="60" t="s">
        <v>60</v>
      </c>
      <c r="B1" s="61">
        <v>1</v>
      </c>
      <c r="C1" s="61">
        <v>2</v>
      </c>
      <c r="D1" s="61">
        <v>3</v>
      </c>
      <c r="E1" s="61">
        <v>4</v>
      </c>
      <c r="F1" s="61">
        <v>5</v>
      </c>
      <c r="G1" s="61">
        <v>6</v>
      </c>
      <c r="H1" s="61">
        <v>7</v>
      </c>
      <c r="I1" s="61">
        <v>8</v>
      </c>
      <c r="J1" s="61">
        <v>9</v>
      </c>
      <c r="K1" s="61">
        <v>10</v>
      </c>
      <c r="L1" s="61">
        <v>11</v>
      </c>
      <c r="M1" s="61">
        <v>12</v>
      </c>
      <c r="N1" s="1"/>
      <c r="O1" s="66" t="s">
        <v>63</v>
      </c>
      <c r="P1" s="66" t="s">
        <v>62</v>
      </c>
    </row>
    <row r="2" spans="1:16" x14ac:dyDescent="0.25">
      <c r="A2" s="61" t="s">
        <v>53</v>
      </c>
      <c r="B2" s="62">
        <v>0.52200000000000002</v>
      </c>
      <c r="C2" s="62">
        <v>0.53100000000000003</v>
      </c>
      <c r="D2" s="63">
        <v>0.218</v>
      </c>
      <c r="E2" s="63">
        <v>0.22600000000000001</v>
      </c>
      <c r="F2" s="63">
        <v>0.23899999999999999</v>
      </c>
      <c r="G2" s="63"/>
      <c r="H2" s="63"/>
      <c r="I2" s="63"/>
      <c r="J2" s="63"/>
      <c r="K2" s="63"/>
      <c r="L2" s="63"/>
      <c r="M2" s="63"/>
      <c r="N2" s="64">
        <v>670</v>
      </c>
      <c r="O2" s="67">
        <v>7</v>
      </c>
      <c r="P2" s="67">
        <f>AVERAGE(B2:C2)</f>
        <v>0.52649999999999997</v>
      </c>
    </row>
    <row r="3" spans="1:16" x14ac:dyDescent="0.25">
      <c r="A3" s="61" t="s">
        <v>54</v>
      </c>
      <c r="B3" s="62">
        <v>0.47799999999999998</v>
      </c>
      <c r="C3" s="62">
        <v>0.48599999999999999</v>
      </c>
      <c r="D3" s="63">
        <v>0.155</v>
      </c>
      <c r="E3" s="63">
        <v>0.161</v>
      </c>
      <c r="F3" s="63">
        <v>0.14799999999999999</v>
      </c>
      <c r="G3" s="63"/>
      <c r="H3" s="63"/>
      <c r="I3" s="63"/>
      <c r="J3" s="63"/>
      <c r="K3" s="63"/>
      <c r="L3" s="63"/>
      <c r="M3" s="63"/>
      <c r="N3" s="64">
        <v>670</v>
      </c>
      <c r="O3" s="67">
        <v>6</v>
      </c>
      <c r="P3" s="67">
        <f>AVERAGE(B3:C3)</f>
        <v>0.48199999999999998</v>
      </c>
    </row>
    <row r="4" spans="1:16" x14ac:dyDescent="0.25">
      <c r="A4" s="61" t="s">
        <v>55</v>
      </c>
      <c r="B4" s="62">
        <v>0.41</v>
      </c>
      <c r="C4" s="62">
        <v>0.41599999999999998</v>
      </c>
      <c r="D4" s="63">
        <v>8.7999999999999995E-2</v>
      </c>
      <c r="E4" s="63">
        <v>9.5000000000000001E-2</v>
      </c>
      <c r="F4" s="63">
        <v>8.8999999999999996E-2</v>
      </c>
      <c r="G4" s="63"/>
      <c r="H4" s="63"/>
      <c r="I4" s="63"/>
      <c r="J4" s="63"/>
      <c r="K4" s="63"/>
      <c r="L4" s="63"/>
      <c r="M4" s="63"/>
      <c r="N4" s="64">
        <v>670</v>
      </c>
      <c r="O4" s="67">
        <v>5</v>
      </c>
      <c r="P4" s="67">
        <f t="shared" ref="P4:P9" si="0">AVERAGE(B4:C4)</f>
        <v>0.41299999999999998</v>
      </c>
    </row>
    <row r="5" spans="1:16" x14ac:dyDescent="0.25">
      <c r="A5" s="61" t="s">
        <v>56</v>
      </c>
      <c r="B5" s="62">
        <v>0.33800000000000002</v>
      </c>
      <c r="C5" s="62">
        <v>0.35</v>
      </c>
      <c r="D5" s="63">
        <v>0.45500000000000002</v>
      </c>
      <c r="E5" s="63">
        <v>0.47</v>
      </c>
      <c r="F5" s="63">
        <v>0.499</v>
      </c>
      <c r="G5" s="63"/>
      <c r="H5" s="63"/>
      <c r="I5" s="63"/>
      <c r="J5" s="63"/>
      <c r="K5" s="63"/>
      <c r="L5" s="63"/>
      <c r="M5" s="63"/>
      <c r="N5" s="64">
        <v>670</v>
      </c>
      <c r="O5" s="67">
        <v>4</v>
      </c>
      <c r="P5" s="67">
        <f t="shared" si="0"/>
        <v>0.34399999999999997</v>
      </c>
    </row>
    <row r="6" spans="1:16" x14ac:dyDescent="0.25">
      <c r="A6" s="61" t="s">
        <v>57</v>
      </c>
      <c r="B6" s="62">
        <v>0.27100000000000002</v>
      </c>
      <c r="C6" s="62">
        <v>0.27800000000000002</v>
      </c>
      <c r="D6" s="63">
        <v>0.11700000000000001</v>
      </c>
      <c r="E6" s="63">
        <v>0.12</v>
      </c>
      <c r="F6" s="63">
        <v>0.11799999999999999</v>
      </c>
      <c r="G6" s="63"/>
      <c r="H6" s="63"/>
      <c r="I6" s="63"/>
      <c r="J6" s="63"/>
      <c r="K6" s="63"/>
      <c r="L6" s="63"/>
      <c r="M6" s="63"/>
      <c r="N6" s="64">
        <v>670</v>
      </c>
      <c r="O6" s="67">
        <v>3</v>
      </c>
      <c r="P6" s="67">
        <f t="shared" si="0"/>
        <v>0.27450000000000002</v>
      </c>
    </row>
    <row r="7" spans="1:16" x14ac:dyDescent="0.25">
      <c r="A7" s="61" t="s">
        <v>44</v>
      </c>
      <c r="B7" s="62">
        <v>0.154</v>
      </c>
      <c r="C7" s="62">
        <v>0.158</v>
      </c>
      <c r="D7" s="63">
        <v>0.106</v>
      </c>
      <c r="E7" s="63">
        <v>0.109</v>
      </c>
      <c r="F7" s="63">
        <v>0.104</v>
      </c>
      <c r="G7" s="63"/>
      <c r="H7" s="63"/>
      <c r="I7" s="63"/>
      <c r="J7" s="63"/>
      <c r="K7" s="63"/>
      <c r="L7" s="63"/>
      <c r="M7" s="63"/>
      <c r="N7" s="64">
        <v>670</v>
      </c>
      <c r="O7" s="67">
        <v>2</v>
      </c>
      <c r="P7" s="67">
        <f t="shared" si="0"/>
        <v>0.156</v>
      </c>
    </row>
    <row r="8" spans="1:16" x14ac:dyDescent="0.25">
      <c r="A8" s="61" t="s">
        <v>58</v>
      </c>
      <c r="B8" s="62">
        <v>6.2E-2</v>
      </c>
      <c r="C8" s="62">
        <v>6.3E-2</v>
      </c>
      <c r="D8" s="63">
        <v>0.443</v>
      </c>
      <c r="E8" s="63">
        <v>0.44</v>
      </c>
      <c r="F8" s="63">
        <v>0.47799999999999998</v>
      </c>
      <c r="G8" s="63"/>
      <c r="H8" s="63"/>
      <c r="I8" s="63"/>
      <c r="J8" s="63"/>
      <c r="K8" s="63"/>
      <c r="L8" s="63"/>
      <c r="M8" s="63"/>
      <c r="N8" s="64">
        <v>670</v>
      </c>
      <c r="O8" s="67">
        <v>1</v>
      </c>
      <c r="P8" s="67">
        <f t="shared" si="0"/>
        <v>6.25E-2</v>
      </c>
    </row>
    <row r="9" spans="1:16" x14ac:dyDescent="0.25">
      <c r="A9" s="61" t="s">
        <v>59</v>
      </c>
      <c r="B9" s="62">
        <v>5.2999999999999999E-2</v>
      </c>
      <c r="C9" s="62">
        <v>5.2999999999999999E-2</v>
      </c>
      <c r="D9" s="63">
        <v>0.124</v>
      </c>
      <c r="E9" s="63">
        <v>0.126</v>
      </c>
      <c r="F9" s="63">
        <v>6.7000000000000004E-2</v>
      </c>
      <c r="G9" s="63"/>
      <c r="H9" s="63"/>
      <c r="I9" s="63"/>
      <c r="J9" s="63"/>
      <c r="K9" s="63"/>
      <c r="L9" s="63"/>
      <c r="M9" s="63"/>
      <c r="N9" s="64">
        <v>670</v>
      </c>
      <c r="O9" s="67">
        <v>0</v>
      </c>
      <c r="P9" s="67">
        <f t="shared" si="0"/>
        <v>5.2999999999999999E-2</v>
      </c>
    </row>
    <row r="11" spans="1:16" x14ac:dyDescent="0.25">
      <c r="A11" s="68" t="s">
        <v>64</v>
      </c>
      <c r="B11" s="69" t="s">
        <v>65</v>
      </c>
      <c r="C11" s="69" t="s">
        <v>66</v>
      </c>
      <c r="D11" s="66" t="s">
        <v>67</v>
      </c>
      <c r="E11" s="66" t="s">
        <v>73</v>
      </c>
      <c r="F11" s="66" t="s">
        <v>68</v>
      </c>
      <c r="G11" s="66" t="s">
        <v>69</v>
      </c>
      <c r="H11" s="66" t="s">
        <v>70</v>
      </c>
      <c r="I11" s="155" t="s">
        <v>71</v>
      </c>
      <c r="J11" s="155"/>
      <c r="K11" s="155"/>
    </row>
    <row r="12" spans="1:16" x14ac:dyDescent="0.25">
      <c r="A12" s="71">
        <v>200479</v>
      </c>
      <c r="B12" s="53" t="s">
        <v>72</v>
      </c>
      <c r="C12" s="53">
        <f t="shared" ref="C12:C19" si="1">AVERAGE(D2:F2)</f>
        <v>0.22766666666666668</v>
      </c>
      <c r="D12" s="67">
        <f>((C12-0.0284)/0.0744)</f>
        <v>2.6783154121863801</v>
      </c>
      <c r="E12" s="67">
        <f>D12*5</f>
        <v>13.391577060931901</v>
      </c>
      <c r="F12" s="67">
        <f>(E12*1000)/200</f>
        <v>66.957885304659499</v>
      </c>
      <c r="G12" s="67">
        <v>8</v>
      </c>
      <c r="H12" s="67">
        <v>0.71</v>
      </c>
      <c r="I12" s="156">
        <f>(F12*G12)/H12</f>
        <v>754.45504568630429</v>
      </c>
      <c r="J12" s="156"/>
      <c r="K12" s="156"/>
    </row>
    <row r="13" spans="1:16" x14ac:dyDescent="0.25">
      <c r="A13" s="71">
        <v>200678</v>
      </c>
      <c r="B13" s="53" t="s">
        <v>72</v>
      </c>
      <c r="C13" s="53">
        <f t="shared" si="1"/>
        <v>0.15466666666666665</v>
      </c>
      <c r="D13" s="67">
        <f t="shared" ref="D13:D19" si="2">((C13-0.0284)/0.0744)</f>
        <v>1.6971326164874549</v>
      </c>
      <c r="E13" s="67">
        <f t="shared" ref="E13:E19" si="3">D13*5</f>
        <v>8.4856630824372754</v>
      </c>
      <c r="F13" s="67">
        <f t="shared" ref="F13:F19" si="4">(E13*1000)/200</f>
        <v>42.428315412186379</v>
      </c>
      <c r="G13" s="67">
        <v>8</v>
      </c>
      <c r="H13" s="67">
        <v>1.1000000000000001</v>
      </c>
      <c r="I13" s="156">
        <f t="shared" ref="I13:I19" si="5">(F13*G13)/H13</f>
        <v>308.56956663408272</v>
      </c>
      <c r="J13" s="156"/>
      <c r="K13" s="156"/>
    </row>
    <row r="14" spans="1:16" x14ac:dyDescent="0.25">
      <c r="A14" s="71">
        <v>201495</v>
      </c>
      <c r="B14" s="53" t="s">
        <v>72</v>
      </c>
      <c r="C14" s="53">
        <f t="shared" si="1"/>
        <v>9.0666666666666673E-2</v>
      </c>
      <c r="D14" s="67">
        <f t="shared" si="2"/>
        <v>0.83691756272401452</v>
      </c>
      <c r="E14" s="67">
        <f t="shared" si="3"/>
        <v>4.1845878136200723</v>
      </c>
      <c r="F14" s="67">
        <f t="shared" si="4"/>
        <v>20.922939068100362</v>
      </c>
      <c r="G14" s="67">
        <v>4</v>
      </c>
      <c r="H14" s="67">
        <v>0.38</v>
      </c>
      <c r="I14" s="156">
        <f t="shared" si="5"/>
        <v>220.24146387474065</v>
      </c>
      <c r="J14" s="156"/>
      <c r="K14" s="156"/>
    </row>
    <row r="15" spans="1:16" x14ac:dyDescent="0.25">
      <c r="A15" s="71">
        <v>201075</v>
      </c>
      <c r="B15" s="53" t="s">
        <v>72</v>
      </c>
      <c r="C15" s="53">
        <f t="shared" si="1"/>
        <v>0.47466666666666663</v>
      </c>
      <c r="D15" s="67">
        <f t="shared" si="2"/>
        <v>5.9982078853046596</v>
      </c>
      <c r="E15" s="67">
        <f t="shared" si="3"/>
        <v>29.991039426523297</v>
      </c>
      <c r="F15" s="67">
        <f t="shared" si="4"/>
        <v>149.95519713261649</v>
      </c>
      <c r="G15" s="67">
        <v>2</v>
      </c>
      <c r="H15" s="67">
        <v>0.54500000000000004</v>
      </c>
      <c r="I15" s="156">
        <f t="shared" si="5"/>
        <v>550.29430140409715</v>
      </c>
      <c r="J15" s="156"/>
      <c r="K15" s="156"/>
    </row>
    <row r="16" spans="1:16" x14ac:dyDescent="0.25">
      <c r="A16" s="71">
        <v>201426</v>
      </c>
      <c r="B16" s="53" t="s">
        <v>72</v>
      </c>
      <c r="C16" s="53">
        <f t="shared" si="1"/>
        <v>0.11833333333333333</v>
      </c>
      <c r="D16" s="67">
        <f t="shared" si="2"/>
        <v>1.2087813620071686</v>
      </c>
      <c r="E16" s="67">
        <f t="shared" si="3"/>
        <v>6.0439068100358426</v>
      </c>
      <c r="F16" s="67">
        <f t="shared" si="4"/>
        <v>30.219534050179213</v>
      </c>
      <c r="G16" s="67">
        <v>3</v>
      </c>
      <c r="H16" s="67">
        <v>0.46</v>
      </c>
      <c r="I16" s="156">
        <f t="shared" si="5"/>
        <v>197.08391771856006</v>
      </c>
      <c r="J16" s="156"/>
      <c r="K16" s="156"/>
    </row>
    <row r="17" spans="1:16" x14ac:dyDescent="0.25">
      <c r="A17" s="71">
        <v>201353</v>
      </c>
      <c r="B17" s="53" t="s">
        <v>72</v>
      </c>
      <c r="C17" s="53">
        <f t="shared" si="1"/>
        <v>0.10633333333333334</v>
      </c>
      <c r="D17" s="67">
        <f t="shared" si="2"/>
        <v>1.0474910394265233</v>
      </c>
      <c r="E17" s="67">
        <f t="shared" si="3"/>
        <v>5.2374551971326166</v>
      </c>
      <c r="F17" s="67">
        <f t="shared" si="4"/>
        <v>26.187275985663081</v>
      </c>
      <c r="G17" s="67">
        <v>5</v>
      </c>
      <c r="H17" s="67">
        <v>0.56000000000000005</v>
      </c>
      <c r="I17" s="156">
        <f t="shared" si="5"/>
        <v>233.81496415770604</v>
      </c>
      <c r="J17" s="156"/>
      <c r="K17" s="156"/>
    </row>
    <row r="18" spans="1:16" x14ac:dyDescent="0.25">
      <c r="A18" s="71">
        <v>201541</v>
      </c>
      <c r="B18" s="53" t="s">
        <v>72</v>
      </c>
      <c r="C18" s="53">
        <f t="shared" si="1"/>
        <v>0.45366666666666666</v>
      </c>
      <c r="D18" s="67">
        <f t="shared" si="2"/>
        <v>5.7159498207885315</v>
      </c>
      <c r="E18" s="67">
        <f t="shared" si="3"/>
        <v>28.579749103942657</v>
      </c>
      <c r="F18" s="67">
        <f t="shared" si="4"/>
        <v>142.89874551971329</v>
      </c>
      <c r="G18" s="67">
        <v>3</v>
      </c>
      <c r="H18" s="67">
        <v>0.52</v>
      </c>
      <c r="I18" s="156">
        <f>(F18*G18)/H18</f>
        <v>824.41583953680731</v>
      </c>
      <c r="J18" s="156"/>
      <c r="K18" s="156"/>
      <c r="L18" s="76"/>
      <c r="M18" s="158" t="s">
        <v>83</v>
      </c>
      <c r="N18" s="158"/>
      <c r="O18" s="158"/>
      <c r="P18" s="158"/>
    </row>
    <row r="19" spans="1:16" x14ac:dyDescent="0.25">
      <c r="A19" s="72">
        <v>201905</v>
      </c>
      <c r="B19" s="53" t="s">
        <v>72</v>
      </c>
      <c r="C19" s="53">
        <f t="shared" si="1"/>
        <v>0.10566666666666667</v>
      </c>
      <c r="D19" s="67">
        <f t="shared" si="2"/>
        <v>1.0385304659498211</v>
      </c>
      <c r="E19" s="67">
        <f t="shared" si="3"/>
        <v>5.1926523297491052</v>
      </c>
      <c r="F19" s="67">
        <f t="shared" si="4"/>
        <v>25.963261648745526</v>
      </c>
      <c r="G19" s="67">
        <v>3</v>
      </c>
      <c r="H19" s="67">
        <v>0.53</v>
      </c>
      <c r="I19" s="156">
        <f t="shared" si="5"/>
        <v>146.96185838912561</v>
      </c>
      <c r="J19" s="156"/>
      <c r="K19" s="156"/>
      <c r="M19" s="87" t="s">
        <v>81</v>
      </c>
      <c r="N19" s="87"/>
      <c r="O19" s="87"/>
      <c r="P19" s="87"/>
    </row>
    <row r="20" spans="1:16" x14ac:dyDescent="0.25">
      <c r="H20" s="69" t="s">
        <v>74</v>
      </c>
      <c r="I20" s="157">
        <f>AVERAGE(I12:K19)</f>
        <v>404.47961967517796</v>
      </c>
      <c r="J20" s="155"/>
      <c r="K20" s="155"/>
      <c r="L20" s="143"/>
      <c r="M20" s="87" t="s">
        <v>82</v>
      </c>
      <c r="N20" s="87"/>
      <c r="O20" s="87"/>
      <c r="P20" s="87"/>
    </row>
    <row r="21" spans="1:16" x14ac:dyDescent="0.25">
      <c r="H21" s="69" t="s">
        <v>75</v>
      </c>
      <c r="I21" s="155">
        <f>_xlfn.STDEV.P(I12:K19)</f>
        <v>250.421740397299</v>
      </c>
      <c r="J21" s="155"/>
      <c r="K21" s="155"/>
    </row>
    <row r="22" spans="1:16" x14ac:dyDescent="0.25">
      <c r="H22" s="69" t="s">
        <v>79</v>
      </c>
      <c r="I22" s="155">
        <f>_xlfn.T.TEST(I12:K19,I35:K44,2,3)</f>
        <v>0.36428760428234497</v>
      </c>
      <c r="J22" s="155"/>
      <c r="K22" s="155"/>
    </row>
    <row r="24" spans="1:16" x14ac:dyDescent="0.25">
      <c r="A24" s="86" t="s">
        <v>78</v>
      </c>
      <c r="B24" s="61">
        <v>1</v>
      </c>
      <c r="C24" s="61">
        <v>2</v>
      </c>
      <c r="D24" s="61">
        <v>3</v>
      </c>
      <c r="E24" s="61">
        <v>4</v>
      </c>
      <c r="F24" s="61">
        <v>5</v>
      </c>
      <c r="G24" s="61">
        <v>6</v>
      </c>
      <c r="H24" s="61">
        <v>7</v>
      </c>
      <c r="I24" s="79">
        <v>8</v>
      </c>
      <c r="J24" s="61">
        <v>9</v>
      </c>
      <c r="K24" s="61">
        <v>10</v>
      </c>
      <c r="L24" s="80">
        <v>11</v>
      </c>
      <c r="M24" s="81">
        <v>12</v>
      </c>
      <c r="O24" s="66" t="s">
        <v>63</v>
      </c>
      <c r="P24" s="66" t="s">
        <v>62</v>
      </c>
    </row>
    <row r="25" spans="1:16" x14ac:dyDescent="0.25">
      <c r="A25" s="61" t="s">
        <v>53</v>
      </c>
      <c r="B25" s="82">
        <v>0.5</v>
      </c>
      <c r="C25" s="82">
        <v>0.49199999999999999</v>
      </c>
      <c r="D25" s="82">
        <v>0.47299999999999998</v>
      </c>
      <c r="E25" s="62"/>
      <c r="F25" s="63">
        <v>0.22</v>
      </c>
      <c r="G25" s="63">
        <v>0.221</v>
      </c>
      <c r="H25" s="83">
        <v>0.219</v>
      </c>
      <c r="I25" s="53"/>
      <c r="J25" s="84">
        <v>0.13800000000000001</v>
      </c>
      <c r="K25" s="63">
        <v>0.14199999999999999</v>
      </c>
      <c r="L25" s="83">
        <v>0.14299999999999999</v>
      </c>
      <c r="M25" s="53"/>
      <c r="O25" s="67">
        <v>7</v>
      </c>
      <c r="P25" s="67">
        <f t="shared" ref="P25:P32" si="6">AVERAGE(B25:D25)</f>
        <v>0.48833333333333329</v>
      </c>
    </row>
    <row r="26" spans="1:16" x14ac:dyDescent="0.25">
      <c r="A26" s="61" t="s">
        <v>54</v>
      </c>
      <c r="B26" s="82">
        <v>0.439</v>
      </c>
      <c r="C26" s="82">
        <v>0.44500000000000001</v>
      </c>
      <c r="D26" s="82">
        <v>0.502</v>
      </c>
      <c r="E26" s="62"/>
      <c r="F26" s="63">
        <v>0.19800000000000001</v>
      </c>
      <c r="G26" s="63">
        <v>0.20300000000000001</v>
      </c>
      <c r="H26" s="83">
        <v>0.182</v>
      </c>
      <c r="I26" s="53"/>
      <c r="J26" s="84">
        <v>0.157</v>
      </c>
      <c r="K26" s="63">
        <v>0.157</v>
      </c>
      <c r="L26" s="83">
        <v>0.17100000000000001</v>
      </c>
      <c r="M26" s="53"/>
      <c r="O26" s="67">
        <v>6</v>
      </c>
      <c r="P26" s="67">
        <f t="shared" si="6"/>
        <v>0.46200000000000002</v>
      </c>
    </row>
    <row r="27" spans="1:16" x14ac:dyDescent="0.25">
      <c r="A27" s="61" t="s">
        <v>55</v>
      </c>
      <c r="B27" s="82">
        <v>0.42199999999999999</v>
      </c>
      <c r="C27" s="82">
        <v>0.41</v>
      </c>
      <c r="D27" s="82">
        <v>0.247</v>
      </c>
      <c r="E27" s="62"/>
      <c r="F27" s="63">
        <v>0.16700000000000001</v>
      </c>
      <c r="G27" s="63">
        <v>0.16300000000000001</v>
      </c>
      <c r="H27" s="83">
        <v>0.158</v>
      </c>
      <c r="I27" s="53"/>
      <c r="J27" s="84"/>
      <c r="K27" s="63"/>
      <c r="L27" s="63"/>
      <c r="M27" s="85"/>
      <c r="O27" s="67">
        <v>5</v>
      </c>
      <c r="P27" s="67">
        <f t="shared" si="6"/>
        <v>0.35966666666666663</v>
      </c>
    </row>
    <row r="28" spans="1:16" x14ac:dyDescent="0.25">
      <c r="A28" s="61" t="s">
        <v>56</v>
      </c>
      <c r="B28" s="82">
        <v>0.34899999999999998</v>
      </c>
      <c r="C28" s="82">
        <v>0.35399999999999998</v>
      </c>
      <c r="D28" s="82">
        <v>0.36699999999999999</v>
      </c>
      <c r="E28" s="62"/>
      <c r="F28" s="63">
        <v>0.20899999999999999</v>
      </c>
      <c r="G28" s="63">
        <v>0.219</v>
      </c>
      <c r="H28" s="83">
        <v>0.193</v>
      </c>
      <c r="I28" s="53"/>
      <c r="J28" s="84"/>
      <c r="K28" s="63"/>
      <c r="L28" s="63"/>
      <c r="M28" s="63"/>
      <c r="O28" s="67">
        <v>4</v>
      </c>
      <c r="P28" s="67">
        <f t="shared" si="6"/>
        <v>0.35666666666666663</v>
      </c>
    </row>
    <row r="29" spans="1:16" x14ac:dyDescent="0.25">
      <c r="A29" s="61" t="s">
        <v>57</v>
      </c>
      <c r="B29" s="82">
        <v>0.254</v>
      </c>
      <c r="C29" s="82">
        <v>0.25700000000000001</v>
      </c>
      <c r="D29" s="82">
        <v>0.28899999999999998</v>
      </c>
      <c r="E29" s="62"/>
      <c r="F29" s="63">
        <v>0.10199999999999999</v>
      </c>
      <c r="G29" s="63">
        <v>0.104</v>
      </c>
      <c r="H29" s="83">
        <v>0.104</v>
      </c>
      <c r="I29" s="53"/>
      <c r="J29" s="84"/>
      <c r="K29" s="63"/>
      <c r="L29" s="63"/>
      <c r="M29" s="63"/>
      <c r="O29" s="67">
        <v>3</v>
      </c>
      <c r="P29" s="67">
        <f t="shared" si="6"/>
        <v>0.26666666666666666</v>
      </c>
    </row>
    <row r="30" spans="1:16" x14ac:dyDescent="0.25">
      <c r="A30" s="61" t="s">
        <v>44</v>
      </c>
      <c r="B30" s="82">
        <v>0.18099999999999999</v>
      </c>
      <c r="C30" s="82">
        <v>0.185</v>
      </c>
      <c r="D30" s="82">
        <v>0.254</v>
      </c>
      <c r="E30" s="62"/>
      <c r="F30" s="63">
        <v>0.111</v>
      </c>
      <c r="G30" s="63">
        <v>0.114</v>
      </c>
      <c r="H30" s="83">
        <v>0.112</v>
      </c>
      <c r="I30" s="53"/>
      <c r="J30" s="84"/>
      <c r="K30" s="63"/>
      <c r="L30" s="63"/>
      <c r="M30" s="63"/>
      <c r="O30" s="67">
        <v>2</v>
      </c>
      <c r="P30" s="67">
        <f t="shared" si="6"/>
        <v>0.20666666666666667</v>
      </c>
    </row>
    <row r="31" spans="1:16" x14ac:dyDescent="0.25">
      <c r="A31" s="61" t="s">
        <v>58</v>
      </c>
      <c r="B31" s="82">
        <v>0.122</v>
      </c>
      <c r="C31" s="82">
        <v>0.13100000000000001</v>
      </c>
      <c r="D31" s="82">
        <v>0.10199999999999999</v>
      </c>
      <c r="E31" s="62"/>
      <c r="F31" s="63">
        <v>0.16800000000000001</v>
      </c>
      <c r="G31" s="63">
        <v>0.17199999999999999</v>
      </c>
      <c r="H31" s="83">
        <v>0.183</v>
      </c>
      <c r="I31" s="53"/>
      <c r="J31" s="84"/>
      <c r="K31" s="63"/>
      <c r="L31" s="63"/>
      <c r="M31" s="63"/>
      <c r="O31" s="67">
        <v>1</v>
      </c>
      <c r="P31" s="67">
        <f t="shared" si="6"/>
        <v>0.11833333333333333</v>
      </c>
    </row>
    <row r="32" spans="1:16" x14ac:dyDescent="0.25">
      <c r="A32" s="61" t="s">
        <v>59</v>
      </c>
      <c r="B32" s="82">
        <v>8.8999999999999996E-2</v>
      </c>
      <c r="C32" s="82">
        <v>8.8999999999999996E-2</v>
      </c>
      <c r="D32" s="82">
        <v>7.1999999999999995E-2</v>
      </c>
      <c r="E32" s="62"/>
      <c r="F32" s="63">
        <v>0.219</v>
      </c>
      <c r="G32" s="63">
        <v>0.221</v>
      </c>
      <c r="H32" s="83">
        <v>0.216</v>
      </c>
      <c r="I32" s="53"/>
      <c r="J32" s="84"/>
      <c r="K32" s="63"/>
      <c r="L32" s="63"/>
      <c r="M32" s="63"/>
      <c r="O32" s="67">
        <v>0</v>
      </c>
      <c r="P32" s="67">
        <f t="shared" si="6"/>
        <v>8.3333333333333329E-2</v>
      </c>
    </row>
    <row r="34" spans="1:16" x14ac:dyDescent="0.25">
      <c r="A34" s="68" t="s">
        <v>64</v>
      </c>
      <c r="B34" s="69" t="s">
        <v>65</v>
      </c>
      <c r="C34" s="69" t="s">
        <v>66</v>
      </c>
      <c r="D34" s="66" t="s">
        <v>67</v>
      </c>
      <c r="E34" s="66" t="s">
        <v>73</v>
      </c>
      <c r="F34" s="66" t="s">
        <v>68</v>
      </c>
      <c r="G34" s="66" t="s">
        <v>69</v>
      </c>
      <c r="H34" s="66" t="s">
        <v>70</v>
      </c>
      <c r="I34" s="155" t="s">
        <v>71</v>
      </c>
      <c r="J34" s="155"/>
      <c r="K34" s="155"/>
    </row>
    <row r="35" spans="1:16" x14ac:dyDescent="0.25">
      <c r="A35" s="71">
        <v>175195</v>
      </c>
      <c r="B35" s="77" t="s">
        <v>77</v>
      </c>
      <c r="C35" s="78">
        <f t="shared" ref="C35:C42" si="7">AVERAGE(F25:H25)</f>
        <v>0.22</v>
      </c>
      <c r="D35" s="67">
        <f>(C35-0.0801)/0.0607</f>
        <v>2.3047775947281712</v>
      </c>
      <c r="E35" s="67">
        <f>D35*5</f>
        <v>11.523887973640857</v>
      </c>
      <c r="F35" s="67">
        <f>(E35*1000)/200</f>
        <v>57.619439868204282</v>
      </c>
      <c r="G35" s="67">
        <v>8</v>
      </c>
      <c r="H35" s="67">
        <v>1.7</v>
      </c>
      <c r="I35" s="159">
        <f>(F35*G35)/H35</f>
        <v>271.15030526213781</v>
      </c>
      <c r="J35" s="159"/>
      <c r="K35" s="159"/>
    </row>
    <row r="36" spans="1:16" x14ac:dyDescent="0.25">
      <c r="A36" s="71">
        <v>175308</v>
      </c>
      <c r="B36" s="77" t="s">
        <v>77</v>
      </c>
      <c r="C36" s="78">
        <f t="shared" si="7"/>
        <v>0.19433333333333333</v>
      </c>
      <c r="D36" s="67">
        <f t="shared" ref="D36:D44" si="8">(C36-0.0801)/0.0607</f>
        <v>1.8819330038440416</v>
      </c>
      <c r="E36" s="67">
        <f>D36*5</f>
        <v>9.409665019220208</v>
      </c>
      <c r="F36" s="67">
        <f t="shared" ref="F36:F44" si="9">(E36*1000)/200</f>
        <v>47.048325096101046</v>
      </c>
      <c r="G36" s="67">
        <v>6</v>
      </c>
      <c r="H36" s="67">
        <v>1.34</v>
      </c>
      <c r="I36" s="159">
        <f t="shared" ref="I36:I41" si="10">(F36*G36)/H36</f>
        <v>210.66414222134793</v>
      </c>
      <c r="J36" s="159"/>
      <c r="K36" s="159"/>
    </row>
    <row r="37" spans="1:16" x14ac:dyDescent="0.25">
      <c r="A37" s="71">
        <v>174454</v>
      </c>
      <c r="B37" s="77" t="s">
        <v>77</v>
      </c>
      <c r="C37" s="78">
        <f t="shared" si="7"/>
        <v>0.16266666666666665</v>
      </c>
      <c r="D37" s="67">
        <f t="shared" si="8"/>
        <v>1.360241625480505</v>
      </c>
      <c r="E37" s="67">
        <f t="shared" ref="E37:E44" si="11">D37*5</f>
        <v>6.8012081274025249</v>
      </c>
      <c r="F37" s="67">
        <f t="shared" si="9"/>
        <v>34.006040637012624</v>
      </c>
      <c r="G37" s="67">
        <v>2</v>
      </c>
      <c r="H37" s="67">
        <v>0.18</v>
      </c>
      <c r="I37" s="159">
        <f t="shared" si="10"/>
        <v>377.84489596680697</v>
      </c>
      <c r="J37" s="159"/>
      <c r="K37" s="159"/>
    </row>
    <row r="38" spans="1:16" x14ac:dyDescent="0.25">
      <c r="A38" s="71">
        <v>164920</v>
      </c>
      <c r="B38" s="77" t="s">
        <v>77</v>
      </c>
      <c r="C38" s="78">
        <f t="shared" si="7"/>
        <v>0.20699999999999999</v>
      </c>
      <c r="D38" s="67">
        <f t="shared" si="8"/>
        <v>2.0906095551894563</v>
      </c>
      <c r="E38" s="67">
        <f t="shared" si="11"/>
        <v>10.453047775947281</v>
      </c>
      <c r="F38" s="67">
        <f t="shared" si="9"/>
        <v>52.265238879736408</v>
      </c>
      <c r="G38" s="67">
        <v>2</v>
      </c>
      <c r="H38" s="67">
        <v>0.4</v>
      </c>
      <c r="I38" s="159">
        <f t="shared" si="10"/>
        <v>261.32619439868205</v>
      </c>
      <c r="J38" s="159"/>
      <c r="K38" s="159"/>
    </row>
    <row r="39" spans="1:16" x14ac:dyDescent="0.25">
      <c r="A39" s="71">
        <v>165214</v>
      </c>
      <c r="B39" s="77" t="s">
        <v>77</v>
      </c>
      <c r="C39" s="78">
        <f t="shared" si="7"/>
        <v>0.10333333333333333</v>
      </c>
      <c r="D39" s="67">
        <f t="shared" si="8"/>
        <v>0.38275672707303671</v>
      </c>
      <c r="E39" s="67">
        <f t="shared" si="11"/>
        <v>1.9137836353651836</v>
      </c>
      <c r="F39" s="67">
        <f t="shared" si="9"/>
        <v>9.5689181768259175</v>
      </c>
      <c r="G39" s="67">
        <v>3</v>
      </c>
      <c r="H39" s="67">
        <v>0.39</v>
      </c>
      <c r="I39" s="159">
        <f t="shared" si="10"/>
        <v>73.607062898660899</v>
      </c>
      <c r="J39" s="159"/>
      <c r="K39" s="159"/>
    </row>
    <row r="40" spans="1:16" x14ac:dyDescent="0.25">
      <c r="A40" s="71">
        <v>165239</v>
      </c>
      <c r="B40" s="77" t="s">
        <v>77</v>
      </c>
      <c r="C40" s="78">
        <f t="shared" si="7"/>
        <v>0.11233333333333334</v>
      </c>
      <c r="D40" s="67">
        <f t="shared" si="8"/>
        <v>0.53102690829214727</v>
      </c>
      <c r="E40" s="67">
        <f t="shared" si="11"/>
        <v>2.6551345414607361</v>
      </c>
      <c r="F40" s="67">
        <f t="shared" si="9"/>
        <v>13.275672707303681</v>
      </c>
      <c r="G40" s="67">
        <v>4</v>
      </c>
      <c r="H40" s="67">
        <v>0.43</v>
      </c>
      <c r="I40" s="159">
        <f t="shared" si="10"/>
        <v>123.49462983538308</v>
      </c>
      <c r="J40" s="159"/>
      <c r="K40" s="159"/>
    </row>
    <row r="41" spans="1:16" x14ac:dyDescent="0.25">
      <c r="A41" s="71">
        <v>174791</v>
      </c>
      <c r="B41" s="77" t="s">
        <v>77</v>
      </c>
      <c r="C41" s="78">
        <f t="shared" si="7"/>
        <v>0.17433333333333331</v>
      </c>
      <c r="D41" s="67">
        <f t="shared" si="8"/>
        <v>1.5524437122460184</v>
      </c>
      <c r="E41" s="67">
        <f t="shared" si="11"/>
        <v>7.7622185612300925</v>
      </c>
      <c r="F41" s="67">
        <f t="shared" si="9"/>
        <v>38.811092806150462</v>
      </c>
      <c r="G41" s="67">
        <v>9</v>
      </c>
      <c r="H41" s="67">
        <v>1.31</v>
      </c>
      <c r="I41" s="159">
        <f t="shared" si="10"/>
        <v>266.64109561477414</v>
      </c>
      <c r="J41" s="159"/>
      <c r="K41" s="159"/>
    </row>
    <row r="42" spans="1:16" x14ac:dyDescent="0.25">
      <c r="A42" s="71">
        <v>174549</v>
      </c>
      <c r="B42" s="77" t="s">
        <v>77</v>
      </c>
      <c r="C42" s="78">
        <f t="shared" si="7"/>
        <v>0.21866666666666668</v>
      </c>
      <c r="D42" s="67">
        <f t="shared" si="8"/>
        <v>2.2828116419549698</v>
      </c>
      <c r="E42" s="67">
        <f t="shared" si="11"/>
        <v>11.414058209774849</v>
      </c>
      <c r="F42" s="67">
        <f t="shared" si="9"/>
        <v>57.070291048874239</v>
      </c>
      <c r="G42" s="67">
        <v>8</v>
      </c>
      <c r="H42" s="67">
        <v>0.52</v>
      </c>
      <c r="I42" s="159">
        <f>(F42*G42)/H42</f>
        <v>878.00447767498827</v>
      </c>
      <c r="J42" s="159"/>
      <c r="K42" s="159"/>
      <c r="L42" s="76" t="s">
        <v>76</v>
      </c>
    </row>
    <row r="43" spans="1:16" x14ac:dyDescent="0.25">
      <c r="A43" s="71">
        <v>165321</v>
      </c>
      <c r="B43" s="77" t="s">
        <v>77</v>
      </c>
      <c r="C43" s="78">
        <f>AVERAGE(J25:L25)</f>
        <v>0.14100000000000001</v>
      </c>
      <c r="D43" s="67">
        <f t="shared" si="8"/>
        <v>1.0032948929159804</v>
      </c>
      <c r="E43" s="67">
        <f t="shared" si="11"/>
        <v>5.0164744645799022</v>
      </c>
      <c r="F43" s="67">
        <f t="shared" si="9"/>
        <v>25.082372322899509</v>
      </c>
      <c r="G43" s="67">
        <v>4</v>
      </c>
      <c r="H43" s="67">
        <v>0.44</v>
      </c>
      <c r="I43" s="159">
        <f>(F43*G43)/H43</f>
        <v>228.02156657181371</v>
      </c>
      <c r="J43" s="159"/>
      <c r="K43" s="159"/>
      <c r="M43" s="158" t="s">
        <v>84</v>
      </c>
      <c r="N43" s="158"/>
      <c r="O43" s="158"/>
      <c r="P43" s="158"/>
    </row>
    <row r="44" spans="1:16" x14ac:dyDescent="0.25">
      <c r="A44" s="71">
        <v>173428</v>
      </c>
      <c r="B44" s="77" t="s">
        <v>77</v>
      </c>
      <c r="C44" s="78">
        <f>AVERAGE(J26:L26)</f>
        <v>0.16166666666666665</v>
      </c>
      <c r="D44" s="67">
        <f t="shared" si="8"/>
        <v>1.3437671609006039</v>
      </c>
      <c r="E44" s="67">
        <f t="shared" si="11"/>
        <v>6.7188358045030192</v>
      </c>
      <c r="F44" s="67">
        <f t="shared" si="9"/>
        <v>33.594179022515092</v>
      </c>
      <c r="G44" s="67">
        <v>2</v>
      </c>
      <c r="H44" s="67">
        <v>0.27</v>
      </c>
      <c r="I44" s="160">
        <f>(F44*G44)/H44</f>
        <v>248.84577053714881</v>
      </c>
      <c r="J44" s="161"/>
      <c r="K44" s="162"/>
      <c r="M44" s="87" t="s">
        <v>81</v>
      </c>
      <c r="N44" s="87"/>
      <c r="O44" s="87"/>
      <c r="P44" s="87"/>
    </row>
    <row r="45" spans="1:16" x14ac:dyDescent="0.25">
      <c r="A45" s="1"/>
      <c r="B45" s="1"/>
      <c r="C45" s="1"/>
      <c r="D45" s="1"/>
      <c r="E45" s="1"/>
      <c r="F45" s="1"/>
      <c r="G45" s="1"/>
      <c r="H45" s="69" t="s">
        <v>66</v>
      </c>
      <c r="I45" s="163">
        <f>AVERAGE(I35:K44)</f>
        <v>293.96001409817438</v>
      </c>
      <c r="J45" s="164"/>
      <c r="K45" s="165"/>
      <c r="M45" s="87" t="s">
        <v>82</v>
      </c>
      <c r="N45" s="87"/>
      <c r="O45" s="87"/>
      <c r="P45" s="87"/>
    </row>
    <row r="46" spans="1:16" x14ac:dyDescent="0.25">
      <c r="H46" s="69" t="s">
        <v>80</v>
      </c>
      <c r="I46" s="155">
        <f>_xlfn.STDEV.P(I35:K44)</f>
        <v>210.09793611396958</v>
      </c>
      <c r="J46" s="155"/>
      <c r="K46" s="155"/>
    </row>
    <row r="47" spans="1:16" x14ac:dyDescent="0.25">
      <c r="H47" s="69" t="s">
        <v>79</v>
      </c>
      <c r="I47" s="155">
        <v>0.36428760428234497</v>
      </c>
      <c r="J47" s="155"/>
      <c r="K47" s="155"/>
    </row>
    <row r="52" spans="15:15" x14ac:dyDescent="0.25">
      <c r="O52" t="s">
        <v>188</v>
      </c>
    </row>
  </sheetData>
  <mergeCells count="28">
    <mergeCell ref="I46:K46"/>
    <mergeCell ref="I47:K47"/>
    <mergeCell ref="M18:P18"/>
    <mergeCell ref="M43:P43"/>
    <mergeCell ref="I41:K41"/>
    <mergeCell ref="I42:K42"/>
    <mergeCell ref="I43:K43"/>
    <mergeCell ref="I44:K44"/>
    <mergeCell ref="I45:K45"/>
    <mergeCell ref="I22:K22"/>
    <mergeCell ref="I35:K35"/>
    <mergeCell ref="I36:K36"/>
    <mergeCell ref="I37:K37"/>
    <mergeCell ref="I38:K38"/>
    <mergeCell ref="I39:K39"/>
    <mergeCell ref="I40:K40"/>
    <mergeCell ref="I34:K34"/>
    <mergeCell ref="I11:K11"/>
    <mergeCell ref="I12:K12"/>
    <mergeCell ref="I13:K13"/>
    <mergeCell ref="I14:K14"/>
    <mergeCell ref="I15:K15"/>
    <mergeCell ref="I16:K16"/>
    <mergeCell ref="I17:K17"/>
    <mergeCell ref="I18:K18"/>
    <mergeCell ref="I19:K19"/>
    <mergeCell ref="I20:K20"/>
    <mergeCell ref="I21:K21"/>
  </mergeCells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EB861-3F3C-40B4-9F03-5262C7BF89DB}">
  <dimension ref="A1:T47"/>
  <sheetViews>
    <sheetView topLeftCell="A10" workbookViewId="0">
      <selection activeCell="A30" sqref="A30"/>
    </sheetView>
  </sheetViews>
  <sheetFormatPr defaultRowHeight="15" x14ac:dyDescent="0.25"/>
  <cols>
    <col min="2" max="2" width="12.7109375" customWidth="1"/>
    <col min="3" max="3" width="13.7109375" customWidth="1"/>
    <col min="4" max="4" width="14.5703125" customWidth="1"/>
    <col min="5" max="5" width="14.85546875" customWidth="1"/>
    <col min="16" max="16" width="23" customWidth="1"/>
  </cols>
  <sheetData>
    <row r="1" spans="1:20" x14ac:dyDescent="0.25">
      <c r="A1" s="60"/>
      <c r="B1" s="79">
        <v>1</v>
      </c>
      <c r="C1" s="79">
        <v>2</v>
      </c>
      <c r="D1" s="61">
        <v>3</v>
      </c>
      <c r="E1" s="61">
        <v>4</v>
      </c>
      <c r="F1" s="61">
        <v>5</v>
      </c>
      <c r="G1" s="61">
        <v>6</v>
      </c>
      <c r="H1" s="61">
        <v>7</v>
      </c>
      <c r="I1" s="61">
        <v>8</v>
      </c>
      <c r="J1" s="61">
        <v>9</v>
      </c>
      <c r="K1" s="61">
        <v>10</v>
      </c>
      <c r="L1" s="61">
        <v>11</v>
      </c>
      <c r="M1" s="61">
        <v>12</v>
      </c>
      <c r="S1" s="66" t="s">
        <v>46</v>
      </c>
      <c r="T1" s="66" t="s">
        <v>61</v>
      </c>
    </row>
    <row r="2" spans="1:20" x14ac:dyDescent="0.25">
      <c r="A2" s="80" t="s">
        <v>53</v>
      </c>
      <c r="B2" s="89">
        <v>2.617</v>
      </c>
      <c r="C2" s="89">
        <v>2.8359999999999999</v>
      </c>
      <c r="D2" s="141">
        <v>2.8860000000000001</v>
      </c>
      <c r="E2" s="113">
        <v>2.5449999999999999</v>
      </c>
      <c r="F2" s="113">
        <v>2.0910000000000002</v>
      </c>
      <c r="G2" s="113">
        <v>2.1320000000000001</v>
      </c>
      <c r="H2" s="113">
        <v>2.335</v>
      </c>
      <c r="I2" s="113">
        <v>1.7190000000000001</v>
      </c>
      <c r="J2" s="115">
        <v>1.216</v>
      </c>
      <c r="K2" s="115">
        <v>1.639</v>
      </c>
      <c r="L2" s="88"/>
      <c r="M2" s="88"/>
      <c r="O2" s="92"/>
      <c r="P2" t="s">
        <v>85</v>
      </c>
      <c r="S2" s="67">
        <v>100</v>
      </c>
      <c r="T2" s="67">
        <f>AVERAGE(B2:C2)</f>
        <v>2.7264999999999997</v>
      </c>
    </row>
    <row r="3" spans="1:20" x14ac:dyDescent="0.25">
      <c r="A3" s="80" t="s">
        <v>54</v>
      </c>
      <c r="B3" s="89">
        <v>1.7310000000000001</v>
      </c>
      <c r="C3" s="89">
        <v>1.6439999999999999</v>
      </c>
      <c r="D3" s="141">
        <v>2.7869999999999999</v>
      </c>
      <c r="E3" s="113">
        <v>2.8849999999999998</v>
      </c>
      <c r="F3" s="113">
        <v>2.0979999999999999</v>
      </c>
      <c r="G3" s="113">
        <v>2.089</v>
      </c>
      <c r="H3" s="113">
        <v>2.2410000000000001</v>
      </c>
      <c r="I3" s="113">
        <v>2.42</v>
      </c>
      <c r="J3" s="115">
        <v>2.113</v>
      </c>
      <c r="K3" s="115">
        <v>2.274</v>
      </c>
      <c r="L3" s="88"/>
      <c r="M3" s="88"/>
      <c r="O3" s="117"/>
      <c r="P3" t="s">
        <v>47</v>
      </c>
      <c r="S3" s="67">
        <v>50</v>
      </c>
      <c r="T3" s="67">
        <f>AVERAGE(B3:C3)</f>
        <v>1.6875</v>
      </c>
    </row>
    <row r="4" spans="1:20" x14ac:dyDescent="0.25">
      <c r="A4" s="80" t="s">
        <v>55</v>
      </c>
      <c r="B4" s="89">
        <v>0.997</v>
      </c>
      <c r="C4" s="89">
        <v>0.89700000000000002</v>
      </c>
      <c r="D4" s="141">
        <v>2.6440000000000001</v>
      </c>
      <c r="E4" s="113">
        <v>2.4969999999999999</v>
      </c>
      <c r="F4" s="113">
        <v>1.9339999999999999</v>
      </c>
      <c r="G4" s="113">
        <v>1.464</v>
      </c>
      <c r="H4" s="115">
        <v>2.278</v>
      </c>
      <c r="I4" s="115">
        <v>2.395</v>
      </c>
      <c r="J4" s="115">
        <v>2.3479999999999999</v>
      </c>
      <c r="K4" s="115">
        <v>2.4889999999999999</v>
      </c>
      <c r="L4" s="88"/>
      <c r="M4" s="88"/>
      <c r="S4" s="67">
        <v>0</v>
      </c>
      <c r="T4" s="67">
        <f>AVERAGE(B4:C4)</f>
        <v>0.94700000000000006</v>
      </c>
    </row>
    <row r="5" spans="1:20" x14ac:dyDescent="0.25">
      <c r="A5" s="80" t="s">
        <v>56</v>
      </c>
      <c r="B5" s="90" t="s">
        <v>126</v>
      </c>
      <c r="C5" s="90" t="s">
        <v>127</v>
      </c>
      <c r="D5" s="141">
        <v>2.4340000000000002</v>
      </c>
      <c r="E5" s="113">
        <v>2.61</v>
      </c>
      <c r="F5" s="113">
        <v>1.798</v>
      </c>
      <c r="G5" s="113">
        <v>1.667</v>
      </c>
      <c r="H5" s="115">
        <v>2.258</v>
      </c>
      <c r="I5" s="115">
        <v>2.09</v>
      </c>
      <c r="J5" s="88"/>
      <c r="K5" s="88"/>
      <c r="L5" s="88"/>
      <c r="M5" s="88"/>
    </row>
    <row r="6" spans="1:20" x14ac:dyDescent="0.25">
      <c r="A6" s="80" t="s">
        <v>57</v>
      </c>
      <c r="B6" s="90" t="s">
        <v>126</v>
      </c>
      <c r="C6" s="90" t="s">
        <v>127</v>
      </c>
      <c r="D6" s="141">
        <v>2.7850000000000001</v>
      </c>
      <c r="E6" s="113">
        <v>2.9540000000000002</v>
      </c>
      <c r="F6" s="113">
        <v>2.056</v>
      </c>
      <c r="G6" s="113">
        <v>2.1800000000000002</v>
      </c>
      <c r="H6" s="115">
        <v>2.3319999999999999</v>
      </c>
      <c r="I6" s="115">
        <v>2.2730000000000001</v>
      </c>
      <c r="J6" s="88"/>
      <c r="K6" s="88"/>
      <c r="L6" s="88"/>
      <c r="M6" s="88"/>
    </row>
    <row r="7" spans="1:20" x14ac:dyDescent="0.25">
      <c r="A7" s="80" t="s">
        <v>44</v>
      </c>
      <c r="B7" s="90" t="s">
        <v>126</v>
      </c>
      <c r="C7" s="90" t="s">
        <v>127</v>
      </c>
      <c r="D7" s="141">
        <v>2.931</v>
      </c>
      <c r="E7" s="113">
        <v>2.6640000000000001</v>
      </c>
      <c r="F7" s="113">
        <v>2.14</v>
      </c>
      <c r="G7" s="113">
        <v>2.3370000000000002</v>
      </c>
      <c r="H7" s="115">
        <v>2.1360000000000001</v>
      </c>
      <c r="I7" s="115">
        <v>2.0030000000000001</v>
      </c>
      <c r="J7" s="88"/>
      <c r="K7" s="88"/>
      <c r="L7" s="88"/>
      <c r="M7" s="88"/>
    </row>
    <row r="8" spans="1:20" x14ac:dyDescent="0.25">
      <c r="A8" s="80" t="s">
        <v>58</v>
      </c>
      <c r="B8" s="127"/>
      <c r="C8" s="127"/>
      <c r="D8" s="141">
        <v>2.6760000000000002</v>
      </c>
      <c r="E8" s="113">
        <v>2.6269999999999998</v>
      </c>
      <c r="F8" s="113">
        <v>1.988</v>
      </c>
      <c r="G8" s="113">
        <v>2.1459999999999999</v>
      </c>
      <c r="H8" s="115">
        <v>1.627</v>
      </c>
      <c r="I8" s="115">
        <v>2.5430000000000001</v>
      </c>
      <c r="J8" s="88"/>
      <c r="K8" s="88"/>
      <c r="L8" s="88"/>
      <c r="M8" s="88"/>
    </row>
    <row r="9" spans="1:20" x14ac:dyDescent="0.25">
      <c r="A9" s="80" t="s">
        <v>59</v>
      </c>
      <c r="B9" s="142">
        <v>2.2370000000000001</v>
      </c>
      <c r="C9" s="142">
        <v>2.1509999999999998</v>
      </c>
      <c r="D9" s="141">
        <v>1.9239999999999999</v>
      </c>
      <c r="E9" s="113">
        <v>2.512</v>
      </c>
      <c r="F9" s="113">
        <v>1.9870000000000001</v>
      </c>
      <c r="G9" s="113">
        <v>2.06</v>
      </c>
      <c r="H9" s="115">
        <v>1.82</v>
      </c>
      <c r="I9" s="115">
        <v>2.0670000000000002</v>
      </c>
      <c r="J9" s="88"/>
      <c r="K9" s="88"/>
      <c r="L9" s="88"/>
      <c r="M9" s="88"/>
    </row>
    <row r="10" spans="1:20" ht="15.75" thickBot="1" x14ac:dyDescent="0.3">
      <c r="A10" s="97"/>
      <c r="B10" s="98"/>
      <c r="C10" s="98"/>
      <c r="D10" s="97"/>
      <c r="E10" s="97"/>
      <c r="F10" s="97"/>
      <c r="G10" s="94"/>
      <c r="H10" s="94"/>
    </row>
    <row r="11" spans="1:20" ht="15.75" thickTop="1" x14ac:dyDescent="0.25">
      <c r="A11" s="100" t="s">
        <v>64</v>
      </c>
      <c r="B11" s="101" t="s">
        <v>86</v>
      </c>
      <c r="C11" s="101" t="s">
        <v>87</v>
      </c>
      <c r="D11" s="66" t="s">
        <v>172</v>
      </c>
      <c r="E11" s="66" t="s">
        <v>89</v>
      </c>
      <c r="F11" s="99" t="s">
        <v>88</v>
      </c>
      <c r="G11" s="95" t="s">
        <v>90</v>
      </c>
      <c r="H11" s="93" t="s">
        <v>91</v>
      </c>
    </row>
    <row r="12" spans="1:20" x14ac:dyDescent="0.25">
      <c r="A12" s="102">
        <v>630</v>
      </c>
      <c r="B12" s="67">
        <v>2.0934999999999997</v>
      </c>
      <c r="C12" s="67">
        <v>201.7107</v>
      </c>
      <c r="D12" s="67">
        <f>C12*10</f>
        <v>2017.107</v>
      </c>
      <c r="E12" s="67">
        <f>D12*G12</f>
        <v>4034.2139999999999</v>
      </c>
      <c r="F12" s="104">
        <f>E12/H12</f>
        <v>22412.3</v>
      </c>
      <c r="G12" s="108">
        <v>2</v>
      </c>
      <c r="H12" s="109">
        <v>0.18</v>
      </c>
    </row>
    <row r="13" spans="1:20" x14ac:dyDescent="0.25">
      <c r="A13" s="102">
        <v>969</v>
      </c>
      <c r="B13" s="67">
        <v>1.6989999999999998</v>
      </c>
      <c r="C13" s="67">
        <v>163.36189999999999</v>
      </c>
      <c r="D13" s="67">
        <f>C13*10</f>
        <v>1633.6189999999999</v>
      </c>
      <c r="E13" s="73">
        <f t="shared" ref="E13:E30" si="0">D13*G13</f>
        <v>3267.2379999999998</v>
      </c>
      <c r="F13" s="103">
        <f>E13/0.58</f>
        <v>5633.1689655172413</v>
      </c>
      <c r="G13" s="108">
        <v>2</v>
      </c>
      <c r="H13" s="109">
        <v>0.57999999999999996</v>
      </c>
    </row>
    <row r="14" spans="1:20" x14ac:dyDescent="0.25">
      <c r="A14" s="102">
        <v>628</v>
      </c>
      <c r="B14" s="67">
        <v>1.7324999999999999</v>
      </c>
      <c r="C14" s="67">
        <v>166.96100000000001</v>
      </c>
      <c r="D14" s="67">
        <f t="shared" ref="D14:D20" si="1">C14*10</f>
        <v>1669.6100000000001</v>
      </c>
      <c r="E14" s="73">
        <f t="shared" si="0"/>
        <v>3339.2200000000003</v>
      </c>
      <c r="F14" s="103">
        <f>E14/0.51</f>
        <v>6547.4901960784318</v>
      </c>
      <c r="G14" s="108">
        <v>2</v>
      </c>
      <c r="H14" s="109">
        <v>0.51</v>
      </c>
    </row>
    <row r="15" spans="1:20" x14ac:dyDescent="0.25">
      <c r="A15" s="148" t="s">
        <v>210</v>
      </c>
      <c r="B15" s="67">
        <v>2.1180000000000003</v>
      </c>
      <c r="C15" s="67">
        <v>203.8545</v>
      </c>
      <c r="D15" s="67">
        <f t="shared" si="1"/>
        <v>2038.5450000000001</v>
      </c>
      <c r="E15" s="73">
        <f t="shared" si="0"/>
        <v>8154.18</v>
      </c>
      <c r="F15" s="103">
        <f>E15/1.1</f>
        <v>7412.8909090909092</v>
      </c>
      <c r="G15" s="108">
        <v>4</v>
      </c>
      <c r="H15" s="109">
        <v>1.1000000000000001</v>
      </c>
      <c r="J15" s="130"/>
    </row>
    <row r="16" spans="1:20" x14ac:dyDescent="0.25">
      <c r="A16" s="102">
        <v>863</v>
      </c>
      <c r="B16" s="67">
        <v>2.2385000000000002</v>
      </c>
      <c r="C16" s="67">
        <v>214.0864</v>
      </c>
      <c r="D16" s="67">
        <f t="shared" si="1"/>
        <v>2140.864</v>
      </c>
      <c r="E16" s="73">
        <f t="shared" si="0"/>
        <v>8563.4560000000001</v>
      </c>
      <c r="F16" s="103">
        <f>E16/0.74</f>
        <v>11572.237837837838</v>
      </c>
      <c r="G16" s="108">
        <v>4</v>
      </c>
      <c r="H16" s="109">
        <v>0.74</v>
      </c>
    </row>
    <row r="17" spans="1:13" x14ac:dyDescent="0.25">
      <c r="A17" s="102">
        <v>682</v>
      </c>
      <c r="B17" s="67">
        <v>2.0670000000000002</v>
      </c>
      <c r="C17" s="67">
        <v>199.36590000000001</v>
      </c>
      <c r="D17" s="67">
        <f t="shared" si="1"/>
        <v>1993.6590000000001</v>
      </c>
      <c r="E17" s="73">
        <f t="shared" si="0"/>
        <v>3987.3180000000002</v>
      </c>
      <c r="F17" s="103">
        <f>E17/0.42</f>
        <v>9493.6142857142859</v>
      </c>
      <c r="G17" s="108">
        <v>2</v>
      </c>
      <c r="H17" s="109">
        <v>0.42</v>
      </c>
    </row>
    <row r="18" spans="1:13" x14ac:dyDescent="0.25">
      <c r="A18" s="102">
        <v>511</v>
      </c>
      <c r="B18" s="67">
        <v>2.0235000000000003</v>
      </c>
      <c r="C18" s="67">
        <v>195.45590000000001</v>
      </c>
      <c r="D18" s="67">
        <f t="shared" si="1"/>
        <v>1954.5590000000002</v>
      </c>
      <c r="E18" s="73">
        <f t="shared" si="0"/>
        <v>7818.2360000000008</v>
      </c>
      <c r="F18" s="103">
        <f>E18/0.64</f>
        <v>12215.993750000001</v>
      </c>
      <c r="G18" s="108">
        <v>4</v>
      </c>
      <c r="H18" s="109">
        <v>0.64</v>
      </c>
      <c r="L18" s="166" t="s">
        <v>187</v>
      </c>
      <c r="M18" s="166"/>
    </row>
    <row r="19" spans="1:13" x14ac:dyDescent="0.25">
      <c r="A19" s="102">
        <v>861</v>
      </c>
      <c r="B19" s="67">
        <v>2.0270000000000001</v>
      </c>
      <c r="C19" s="67">
        <v>195.77340000000001</v>
      </c>
      <c r="D19" s="67">
        <f t="shared" si="1"/>
        <v>1957.7340000000002</v>
      </c>
      <c r="E19" s="73">
        <f t="shared" si="0"/>
        <v>7830.9360000000006</v>
      </c>
      <c r="F19" s="103">
        <f>E19/0.27</f>
        <v>29003.466666666667</v>
      </c>
      <c r="G19" s="108">
        <v>4</v>
      </c>
      <c r="H19" s="109">
        <v>0.27</v>
      </c>
    </row>
    <row r="20" spans="1:13" x14ac:dyDescent="0.25">
      <c r="A20" s="102">
        <v>832</v>
      </c>
      <c r="B20" s="67">
        <v>2.3304999999999998</v>
      </c>
      <c r="C20" s="67">
        <v>221.5804</v>
      </c>
      <c r="D20" s="67">
        <f t="shared" si="1"/>
        <v>2215.8040000000001</v>
      </c>
      <c r="E20" s="73">
        <f t="shared" si="0"/>
        <v>8863.2160000000003</v>
      </c>
      <c r="F20" s="96">
        <f>E20/0.75</f>
        <v>11817.621333333334</v>
      </c>
      <c r="G20" s="110">
        <v>4</v>
      </c>
      <c r="H20" s="111">
        <v>0.75</v>
      </c>
    </row>
    <row r="21" spans="1:13" x14ac:dyDescent="0.25">
      <c r="A21" s="102">
        <v>791</v>
      </c>
      <c r="B21" s="67">
        <v>2.194</v>
      </c>
      <c r="C21" s="67">
        <v>210.36580000000001</v>
      </c>
      <c r="D21" s="75">
        <f>C21*10</f>
        <v>2103.6579999999999</v>
      </c>
      <c r="E21" s="73">
        <f t="shared" si="0"/>
        <v>18932.921999999999</v>
      </c>
      <c r="F21" s="104">
        <f t="shared" ref="F21:F30" si="2">E21/H21</f>
        <v>14452.612213740456</v>
      </c>
      <c r="G21" s="108">
        <v>9</v>
      </c>
      <c r="H21" s="109">
        <v>1.31</v>
      </c>
    </row>
    <row r="22" spans="1:13" x14ac:dyDescent="0.25">
      <c r="A22" s="102">
        <v>214</v>
      </c>
      <c r="B22" s="67">
        <v>2.7155</v>
      </c>
      <c r="C22" s="67">
        <v>250.52109999999999</v>
      </c>
      <c r="D22" s="75">
        <f>C22*10</f>
        <v>2505.2109999999998</v>
      </c>
      <c r="E22" s="73">
        <f t="shared" si="0"/>
        <v>7515.6329999999998</v>
      </c>
      <c r="F22" s="103">
        <f t="shared" si="2"/>
        <v>19270.853846153845</v>
      </c>
      <c r="G22" s="108">
        <v>3</v>
      </c>
      <c r="H22" s="109">
        <v>0.39</v>
      </c>
    </row>
    <row r="23" spans="1:13" x14ac:dyDescent="0.25">
      <c r="A23" s="102">
        <v>195</v>
      </c>
      <c r="B23" s="67">
        <v>2.8359999999999999</v>
      </c>
      <c r="C23" s="67">
        <v>258.91539999999998</v>
      </c>
      <c r="D23" s="75">
        <f t="shared" ref="D23:D29" si="3">C23*10</f>
        <v>2589.1539999999995</v>
      </c>
      <c r="E23" s="73">
        <f t="shared" si="0"/>
        <v>20713.231999999996</v>
      </c>
      <c r="F23" s="103">
        <f t="shared" si="2"/>
        <v>12184.254117647057</v>
      </c>
      <c r="G23" s="108">
        <v>8</v>
      </c>
      <c r="H23" s="109">
        <v>1.7</v>
      </c>
    </row>
    <row r="24" spans="1:13" x14ac:dyDescent="0.25">
      <c r="A24" s="102">
        <v>321</v>
      </c>
      <c r="B24" s="67">
        <v>2.5705</v>
      </c>
      <c r="C24" s="67">
        <v>240.03139999999999</v>
      </c>
      <c r="D24" s="75">
        <f t="shared" si="3"/>
        <v>2400.3139999999999</v>
      </c>
      <c r="E24" s="73">
        <f t="shared" si="0"/>
        <v>9601.2559999999994</v>
      </c>
      <c r="F24" s="103">
        <f t="shared" si="2"/>
        <v>21821.036363636362</v>
      </c>
      <c r="G24" s="108">
        <v>4</v>
      </c>
      <c r="H24" s="109">
        <v>0.44</v>
      </c>
    </row>
    <row r="25" spans="1:13" x14ac:dyDescent="0.25">
      <c r="A25" s="102">
        <v>454</v>
      </c>
      <c r="B25" s="67">
        <v>2.5220000000000002</v>
      </c>
      <c r="C25" s="67">
        <v>236.41890000000001</v>
      </c>
      <c r="D25" s="75">
        <f t="shared" si="3"/>
        <v>2364.1890000000003</v>
      </c>
      <c r="E25" s="73">
        <f t="shared" si="0"/>
        <v>4728.3780000000006</v>
      </c>
      <c r="F25" s="103">
        <f t="shared" si="2"/>
        <v>26268.76666666667</v>
      </c>
      <c r="G25" s="108">
        <v>2</v>
      </c>
      <c r="H25" s="109">
        <v>0.18</v>
      </c>
    </row>
    <row r="26" spans="1:13" x14ac:dyDescent="0.25">
      <c r="A26" s="102">
        <v>920</v>
      </c>
      <c r="B26" s="67">
        <v>2.8694999999999999</v>
      </c>
      <c r="C26" s="67">
        <v>261.2011</v>
      </c>
      <c r="D26" s="75">
        <f t="shared" si="3"/>
        <v>2612.011</v>
      </c>
      <c r="E26" s="73">
        <f t="shared" si="0"/>
        <v>5224.0219999999999</v>
      </c>
      <c r="F26" s="103">
        <f t="shared" si="2"/>
        <v>13060.054999999998</v>
      </c>
      <c r="G26" s="108">
        <v>2</v>
      </c>
      <c r="H26" s="109">
        <v>0.4</v>
      </c>
      <c r="I26" s="76"/>
    </row>
    <row r="27" spans="1:13" x14ac:dyDescent="0.25">
      <c r="A27" s="102">
        <v>428</v>
      </c>
      <c r="B27" s="67">
        <v>2.7975000000000003</v>
      </c>
      <c r="C27" s="67">
        <v>256.26330000000002</v>
      </c>
      <c r="D27" s="75">
        <f t="shared" si="3"/>
        <v>2562.6330000000003</v>
      </c>
      <c r="E27" s="73">
        <f t="shared" si="0"/>
        <v>5125.2660000000005</v>
      </c>
      <c r="F27" s="103">
        <f t="shared" si="2"/>
        <v>18982.466666666667</v>
      </c>
      <c r="G27" s="108">
        <v>2</v>
      </c>
      <c r="H27" s="109">
        <v>0.27</v>
      </c>
    </row>
    <row r="28" spans="1:13" x14ac:dyDescent="0.25">
      <c r="A28" s="102">
        <v>549</v>
      </c>
      <c r="B28" s="67">
        <v>2.6515</v>
      </c>
      <c r="C28" s="67">
        <v>245.94630000000001</v>
      </c>
      <c r="D28" s="75">
        <f t="shared" si="3"/>
        <v>2459.4630000000002</v>
      </c>
      <c r="E28" s="73">
        <f t="shared" si="0"/>
        <v>19675.704000000002</v>
      </c>
      <c r="F28" s="103">
        <f t="shared" si="2"/>
        <v>37837.892307692309</v>
      </c>
      <c r="G28" s="108">
        <v>8</v>
      </c>
      <c r="H28" s="109">
        <v>0.52</v>
      </c>
      <c r="I28" s="118"/>
    </row>
    <row r="29" spans="1:13" x14ac:dyDescent="0.25">
      <c r="A29" s="102">
        <v>239</v>
      </c>
      <c r="B29" s="67">
        <v>2.218</v>
      </c>
      <c r="C29" s="67">
        <v>212.38050000000001</v>
      </c>
      <c r="D29" s="75">
        <f t="shared" si="3"/>
        <v>2123.8050000000003</v>
      </c>
      <c r="E29" s="73">
        <f t="shared" si="0"/>
        <v>8495.2200000000012</v>
      </c>
      <c r="F29" s="96">
        <f t="shared" si="2"/>
        <v>19756.325581395351</v>
      </c>
      <c r="G29" s="110">
        <v>4</v>
      </c>
      <c r="H29" s="111">
        <v>0.43</v>
      </c>
      <c r="I29" s="17"/>
    </row>
    <row r="30" spans="1:13" x14ac:dyDescent="0.25">
      <c r="A30" s="67">
        <v>308</v>
      </c>
      <c r="B30" s="67">
        <v>2.1115000000000004</v>
      </c>
      <c r="C30" s="67">
        <v>203.28790000000001</v>
      </c>
      <c r="D30" s="67">
        <f>C30*10</f>
        <v>2032.8790000000001</v>
      </c>
      <c r="E30" s="73">
        <f t="shared" si="0"/>
        <v>12197.274000000001</v>
      </c>
      <c r="F30" s="74">
        <f t="shared" si="2"/>
        <v>9102.4432835820899</v>
      </c>
      <c r="G30" s="112">
        <v>6</v>
      </c>
      <c r="H30" s="109">
        <v>1.34</v>
      </c>
    </row>
    <row r="31" spans="1:13" x14ac:dyDescent="0.25">
      <c r="A31" s="1"/>
      <c r="B31" s="28"/>
      <c r="C31" s="1"/>
      <c r="D31" s="1"/>
      <c r="F31" s="66" t="s">
        <v>66</v>
      </c>
      <c r="G31" s="163">
        <f>AVERAGE(F12:F30)</f>
        <v>16255.025789022084</v>
      </c>
      <c r="H31" s="165"/>
    </row>
    <row r="32" spans="1:13" x14ac:dyDescent="0.25">
      <c r="F32" s="66" t="s">
        <v>75</v>
      </c>
      <c r="G32" s="163">
        <f>_xlfn.STDEV.P(F12:F30)</f>
        <v>8260.1890754408942</v>
      </c>
      <c r="H32" s="165"/>
    </row>
    <row r="33" spans="1:8" x14ac:dyDescent="0.25">
      <c r="F33" s="66" t="s">
        <v>99</v>
      </c>
      <c r="G33" s="163">
        <v>0.76761637797871951</v>
      </c>
      <c r="H33" s="165"/>
    </row>
    <row r="34" spans="1:8" ht="15.75" thickBot="1" x14ac:dyDescent="0.3"/>
    <row r="35" spans="1:8" ht="15.75" thickTop="1" x14ac:dyDescent="0.25">
      <c r="A35" s="100" t="s">
        <v>64</v>
      </c>
      <c r="B35" s="101" t="s">
        <v>86</v>
      </c>
      <c r="C35" s="101" t="s">
        <v>87</v>
      </c>
      <c r="D35" s="66" t="s">
        <v>172</v>
      </c>
      <c r="E35" s="66" t="s">
        <v>89</v>
      </c>
      <c r="F35" s="99" t="s">
        <v>88</v>
      </c>
      <c r="G35" s="106" t="s">
        <v>90</v>
      </c>
      <c r="H35" s="107" t="s">
        <v>91</v>
      </c>
    </row>
    <row r="36" spans="1:8" x14ac:dyDescent="0.25">
      <c r="A36" s="102" t="s">
        <v>100</v>
      </c>
      <c r="B36" s="67">
        <v>2.3365</v>
      </c>
      <c r="C36" s="67">
        <v>222.06039999999999</v>
      </c>
      <c r="D36" s="67">
        <f>C36*10</f>
        <v>2220.6039999999998</v>
      </c>
      <c r="E36" s="67">
        <f t="shared" ref="E36:E44" si="4">D36*G36</f>
        <v>17764.831999999999</v>
      </c>
      <c r="F36" s="104">
        <f t="shared" ref="F36:F44" si="5">E36/H36</f>
        <v>25020.890140845069</v>
      </c>
      <c r="G36" s="119">
        <v>8</v>
      </c>
      <c r="H36" s="120">
        <v>0.71</v>
      </c>
    </row>
    <row r="37" spans="1:8" x14ac:dyDescent="0.25">
      <c r="A37" s="102" t="s">
        <v>101</v>
      </c>
      <c r="B37" s="67">
        <v>2.1739999999999999</v>
      </c>
      <c r="C37" s="67">
        <v>208.672</v>
      </c>
      <c r="D37" s="67">
        <f>C37*10</f>
        <v>2086.7199999999998</v>
      </c>
      <c r="E37" s="67">
        <f t="shared" si="4"/>
        <v>6260.16</v>
      </c>
      <c r="F37" s="103">
        <f t="shared" si="5"/>
        <v>11811.622641509433</v>
      </c>
      <c r="G37" s="119">
        <v>3</v>
      </c>
      <c r="H37" s="120">
        <v>0.53</v>
      </c>
    </row>
    <row r="38" spans="1:8" x14ac:dyDescent="0.25">
      <c r="A38" s="102" t="s">
        <v>102</v>
      </c>
      <c r="B38" s="67">
        <v>2.3025000000000002</v>
      </c>
      <c r="C38" s="67">
        <v>219.32669999999999</v>
      </c>
      <c r="D38" s="67">
        <f t="shared" ref="D38:D44" si="6">C38*10</f>
        <v>2193.2669999999998</v>
      </c>
      <c r="E38" s="67">
        <f t="shared" si="4"/>
        <v>17546.135999999999</v>
      </c>
      <c r="F38" s="103">
        <f t="shared" si="5"/>
        <v>32492.844444444439</v>
      </c>
      <c r="G38" s="119">
        <v>8</v>
      </c>
      <c r="H38" s="120">
        <v>0.54</v>
      </c>
    </row>
    <row r="39" spans="1:8" x14ac:dyDescent="0.25">
      <c r="A39" s="102" t="s">
        <v>103</v>
      </c>
      <c r="B39" s="67">
        <v>2.0695000000000001</v>
      </c>
      <c r="C39" s="67">
        <v>199.5883</v>
      </c>
      <c r="D39" s="67">
        <f t="shared" si="6"/>
        <v>1995.883</v>
      </c>
      <c r="E39" s="67">
        <f t="shared" si="4"/>
        <v>5987.6490000000003</v>
      </c>
      <c r="F39" s="103">
        <f t="shared" si="5"/>
        <v>11514.709615384616</v>
      </c>
      <c r="G39" s="119">
        <v>3</v>
      </c>
      <c r="H39" s="120">
        <v>0.52</v>
      </c>
    </row>
    <row r="40" spans="1:8" x14ac:dyDescent="0.25">
      <c r="A40" s="102" t="s">
        <v>104</v>
      </c>
      <c r="B40" s="67">
        <v>2.085</v>
      </c>
      <c r="C40" s="67">
        <v>200.9615</v>
      </c>
      <c r="D40" s="67">
        <f t="shared" si="6"/>
        <v>2009.615</v>
      </c>
      <c r="E40" s="67">
        <f t="shared" si="4"/>
        <v>16076.92</v>
      </c>
      <c r="F40" s="103">
        <f t="shared" si="5"/>
        <v>14615.381818181817</v>
      </c>
      <c r="G40" s="119">
        <v>8</v>
      </c>
      <c r="H40" s="120">
        <v>1.1000000000000001</v>
      </c>
    </row>
    <row r="41" spans="1:8" x14ac:dyDescent="0.25">
      <c r="A41" s="102" t="s">
        <v>105</v>
      </c>
      <c r="B41" s="67">
        <v>1.9435000000000002</v>
      </c>
      <c r="C41" s="67">
        <v>188.0531</v>
      </c>
      <c r="D41" s="67">
        <f t="shared" si="6"/>
        <v>1880.5309999999999</v>
      </c>
      <c r="E41" s="67">
        <f t="shared" si="4"/>
        <v>5641.5929999999998</v>
      </c>
      <c r="F41" s="103">
        <f t="shared" si="5"/>
        <v>12264.332608695651</v>
      </c>
      <c r="G41" s="119">
        <v>3</v>
      </c>
      <c r="H41" s="120">
        <v>0.46</v>
      </c>
    </row>
    <row r="42" spans="1:8" x14ac:dyDescent="0.25">
      <c r="A42" s="102" t="s">
        <v>106</v>
      </c>
      <c r="B42" s="67">
        <v>1.4275</v>
      </c>
      <c r="C42" s="67">
        <v>130.58359999999999</v>
      </c>
      <c r="D42" s="67">
        <f t="shared" si="6"/>
        <v>1305.8359999999998</v>
      </c>
      <c r="E42" s="67">
        <f t="shared" si="4"/>
        <v>2611.6719999999996</v>
      </c>
      <c r="F42" s="103">
        <f t="shared" si="5"/>
        <v>6872.8210526315779</v>
      </c>
      <c r="G42" s="119">
        <v>2</v>
      </c>
      <c r="H42" s="120">
        <v>0.38</v>
      </c>
    </row>
    <row r="43" spans="1:8" x14ac:dyDescent="0.25">
      <c r="A43" s="102" t="s">
        <v>107</v>
      </c>
      <c r="B43" s="67">
        <v>2.1935000000000002</v>
      </c>
      <c r="C43" s="67">
        <v>210.3236</v>
      </c>
      <c r="D43" s="67">
        <f t="shared" si="6"/>
        <v>2103.2359999999999</v>
      </c>
      <c r="E43" s="67">
        <f t="shared" si="4"/>
        <v>8412.9439999999995</v>
      </c>
      <c r="F43" s="103">
        <f t="shared" si="5"/>
        <v>15023.114285714284</v>
      </c>
      <c r="G43" s="119">
        <v>4</v>
      </c>
      <c r="H43" s="120">
        <v>0.56000000000000005</v>
      </c>
    </row>
    <row r="44" spans="1:8" x14ac:dyDescent="0.25">
      <c r="A44" s="102" t="s">
        <v>108</v>
      </c>
      <c r="B44" s="67">
        <v>2.4184999999999999</v>
      </c>
      <c r="C44" s="67">
        <v>228.5188</v>
      </c>
      <c r="D44" s="67">
        <f t="shared" si="6"/>
        <v>2285.1880000000001</v>
      </c>
      <c r="E44" s="105">
        <f t="shared" si="4"/>
        <v>11425.94</v>
      </c>
      <c r="F44" s="96">
        <f t="shared" si="5"/>
        <v>25968.045454545456</v>
      </c>
      <c r="G44" s="121">
        <v>5</v>
      </c>
      <c r="H44" s="122">
        <v>0.44</v>
      </c>
    </row>
    <row r="45" spans="1:8" x14ac:dyDescent="0.25">
      <c r="E45" s="29"/>
      <c r="F45" s="66" t="s">
        <v>66</v>
      </c>
      <c r="G45" s="163">
        <f>AVERAGE(F36:F44)</f>
        <v>17287.084673550264</v>
      </c>
      <c r="H45" s="165"/>
    </row>
    <row r="46" spans="1:8" x14ac:dyDescent="0.25">
      <c r="F46" s="66" t="s">
        <v>75</v>
      </c>
      <c r="G46" s="163">
        <f>_xlfn.STDEV.P(F36:F44)</f>
        <v>7997.4679236556258</v>
      </c>
      <c r="H46" s="165"/>
    </row>
    <row r="47" spans="1:8" x14ac:dyDescent="0.25">
      <c r="F47" s="66" t="s">
        <v>99</v>
      </c>
      <c r="G47" s="163">
        <f>_xlfn.T.TEST(F36:F44,F12:F30,2,3)</f>
        <v>0.76761637797871951</v>
      </c>
      <c r="H47" s="165"/>
    </row>
  </sheetData>
  <mergeCells count="7">
    <mergeCell ref="L18:M18"/>
    <mergeCell ref="G47:H47"/>
    <mergeCell ref="G31:H31"/>
    <mergeCell ref="G32:H32"/>
    <mergeCell ref="G33:H33"/>
    <mergeCell ref="G45:H45"/>
    <mergeCell ref="G46:H46"/>
  </mergeCells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19817-0067-4096-88C5-15C47E9F8E7B}">
  <dimension ref="A1:V48"/>
  <sheetViews>
    <sheetView topLeftCell="A22" workbookViewId="0">
      <selection activeCell="A19" sqref="A19"/>
    </sheetView>
  </sheetViews>
  <sheetFormatPr defaultRowHeight="15" x14ac:dyDescent="0.25"/>
  <cols>
    <col min="2" max="2" width="11.85546875" customWidth="1"/>
    <col min="3" max="3" width="12" customWidth="1"/>
    <col min="4" max="4" width="16" customWidth="1"/>
    <col min="5" max="5" width="13.140625" customWidth="1"/>
  </cols>
  <sheetData>
    <row r="1" spans="1:22" x14ac:dyDescent="0.25">
      <c r="A1" s="60"/>
      <c r="B1" s="61">
        <v>1</v>
      </c>
      <c r="C1" s="61">
        <v>2</v>
      </c>
      <c r="D1" s="61">
        <v>3</v>
      </c>
      <c r="E1" s="61">
        <v>4</v>
      </c>
      <c r="F1" s="61">
        <v>5</v>
      </c>
      <c r="G1" s="61">
        <v>6</v>
      </c>
      <c r="H1" s="61">
        <v>7</v>
      </c>
      <c r="I1" s="61">
        <v>8</v>
      </c>
      <c r="J1" s="61">
        <v>9</v>
      </c>
      <c r="K1" s="61">
        <v>10</v>
      </c>
      <c r="L1" s="79">
        <v>11</v>
      </c>
      <c r="M1" s="79">
        <v>12</v>
      </c>
      <c r="O1" s="92"/>
      <c r="P1" s="166" t="s">
        <v>85</v>
      </c>
      <c r="Q1" s="166"/>
      <c r="R1" s="166"/>
      <c r="T1" s="66" t="s">
        <v>110</v>
      </c>
      <c r="U1" s="66" t="s">
        <v>111</v>
      </c>
      <c r="V1" s="65"/>
    </row>
    <row r="2" spans="1:22" x14ac:dyDescent="0.25">
      <c r="A2" s="61" t="s">
        <v>53</v>
      </c>
      <c r="B2" s="62">
        <v>2.548</v>
      </c>
      <c r="C2" s="62">
        <v>2.173</v>
      </c>
      <c r="D2" s="115">
        <v>0.115</v>
      </c>
      <c r="E2" s="115">
        <v>9.7000000000000003E-2</v>
      </c>
      <c r="F2" s="115">
        <v>8.4000000000000005E-2</v>
      </c>
      <c r="G2" s="115">
        <v>0.10199999999999999</v>
      </c>
      <c r="H2" s="91">
        <v>0.11</v>
      </c>
      <c r="I2" s="91">
        <v>0.12</v>
      </c>
      <c r="J2" s="91">
        <v>8.1000000000000003E-2</v>
      </c>
      <c r="K2" s="116">
        <v>0.29599999999999999</v>
      </c>
      <c r="L2" s="53"/>
      <c r="M2" s="53"/>
      <c r="O2" s="117"/>
      <c r="P2" s="166" t="s">
        <v>47</v>
      </c>
      <c r="Q2" s="166"/>
      <c r="R2" s="166"/>
      <c r="T2" s="67">
        <v>2000</v>
      </c>
      <c r="U2" s="67">
        <f t="shared" ref="U2:U9" si="0">AVERAGE(B2:C2)</f>
        <v>2.3605</v>
      </c>
    </row>
    <row r="3" spans="1:22" x14ac:dyDescent="0.25">
      <c r="A3" s="61" t="s">
        <v>54</v>
      </c>
      <c r="B3" s="62">
        <v>1.1519999999999999</v>
      </c>
      <c r="C3" s="62">
        <v>1.0349999999999999</v>
      </c>
      <c r="D3" s="115">
        <v>0.16700000000000001</v>
      </c>
      <c r="E3" s="115">
        <v>0.155</v>
      </c>
      <c r="F3" s="91">
        <v>0.08</v>
      </c>
      <c r="G3" s="91">
        <v>0.122</v>
      </c>
      <c r="H3" s="91">
        <v>7.3999999999999996E-2</v>
      </c>
      <c r="I3" s="91">
        <v>0.13900000000000001</v>
      </c>
      <c r="J3" s="91">
        <v>0.12</v>
      </c>
      <c r="K3" s="116">
        <v>0.187</v>
      </c>
      <c r="L3" s="53"/>
      <c r="M3" s="53"/>
      <c r="T3" s="67">
        <v>1000</v>
      </c>
      <c r="U3" s="67">
        <f t="shared" si="0"/>
        <v>1.0934999999999999</v>
      </c>
    </row>
    <row r="4" spans="1:22" x14ac:dyDescent="0.25">
      <c r="A4" s="61" t="s">
        <v>55</v>
      </c>
      <c r="B4" s="62">
        <v>0.59399999999999997</v>
      </c>
      <c r="C4" s="62">
        <v>0.53900000000000003</v>
      </c>
      <c r="D4" s="115">
        <v>0.109</v>
      </c>
      <c r="E4" s="115">
        <v>0.128</v>
      </c>
      <c r="F4" s="91">
        <v>0.1</v>
      </c>
      <c r="G4" s="91">
        <v>0.09</v>
      </c>
      <c r="H4" s="91">
        <v>7.5999999999999998E-2</v>
      </c>
      <c r="I4" s="91">
        <v>0.125</v>
      </c>
      <c r="J4" s="91">
        <v>7.8E-2</v>
      </c>
      <c r="K4" s="116">
        <v>9.6000000000000002E-2</v>
      </c>
      <c r="L4" s="53"/>
      <c r="M4" s="53"/>
      <c r="T4" s="67">
        <v>500</v>
      </c>
      <c r="U4" s="67">
        <f t="shared" si="0"/>
        <v>0.5665</v>
      </c>
    </row>
    <row r="5" spans="1:22" x14ac:dyDescent="0.25">
      <c r="A5" s="61" t="s">
        <v>56</v>
      </c>
      <c r="B5" s="62">
        <v>0.25900000000000001</v>
      </c>
      <c r="C5" s="62">
        <v>0.20499999999999999</v>
      </c>
      <c r="D5" s="115">
        <v>0.13900000000000001</v>
      </c>
      <c r="E5" s="115">
        <v>0.22700000000000001</v>
      </c>
      <c r="F5" s="91">
        <v>0.09</v>
      </c>
      <c r="G5" s="91">
        <v>8.8999999999999996E-2</v>
      </c>
      <c r="H5" s="91">
        <v>0.111</v>
      </c>
      <c r="I5" s="91">
        <v>0.08</v>
      </c>
      <c r="J5" s="91">
        <v>0.1</v>
      </c>
      <c r="K5" s="116">
        <v>0.111</v>
      </c>
      <c r="L5" s="53"/>
      <c r="M5" s="53"/>
      <c r="T5" s="67">
        <v>250</v>
      </c>
      <c r="U5" s="67">
        <f t="shared" si="0"/>
        <v>0.23199999999999998</v>
      </c>
    </row>
    <row r="6" spans="1:22" x14ac:dyDescent="0.25">
      <c r="A6" s="61" t="s">
        <v>57</v>
      </c>
      <c r="B6" s="62">
        <v>0.20300000000000001</v>
      </c>
      <c r="C6" s="62">
        <v>9.6000000000000002E-2</v>
      </c>
      <c r="D6" s="115">
        <v>0.16600000000000001</v>
      </c>
      <c r="E6" s="115">
        <v>0.17399999999999999</v>
      </c>
      <c r="F6" s="91">
        <v>0.12</v>
      </c>
      <c r="G6" s="91">
        <v>7.4999999999999997E-2</v>
      </c>
      <c r="H6" s="91">
        <v>0.11</v>
      </c>
      <c r="I6" s="91">
        <v>8.2000000000000003E-2</v>
      </c>
      <c r="J6" s="91"/>
      <c r="K6" s="116"/>
      <c r="L6" s="53"/>
      <c r="M6" s="53"/>
      <c r="T6" s="67">
        <v>125</v>
      </c>
      <c r="U6" s="67">
        <f t="shared" si="0"/>
        <v>0.14950000000000002</v>
      </c>
    </row>
    <row r="7" spans="1:22" x14ac:dyDescent="0.25">
      <c r="A7" s="61" t="s">
        <v>44</v>
      </c>
      <c r="B7" s="62">
        <v>0.107</v>
      </c>
      <c r="C7" s="62">
        <v>8.6999999999999994E-2</v>
      </c>
      <c r="D7" s="115">
        <v>0.224</v>
      </c>
      <c r="E7" s="115">
        <v>0.1</v>
      </c>
      <c r="F7" s="91">
        <v>0.11899999999999999</v>
      </c>
      <c r="G7" s="91">
        <v>7.9000000000000001E-2</v>
      </c>
      <c r="H7" s="91">
        <v>8.6999999999999994E-2</v>
      </c>
      <c r="I7" s="91">
        <v>0.17199999999999999</v>
      </c>
      <c r="J7" s="91"/>
      <c r="K7" s="116"/>
      <c r="L7" s="53"/>
      <c r="M7" s="53"/>
      <c r="T7" s="67">
        <v>62.5</v>
      </c>
      <c r="U7" s="67">
        <f t="shared" si="0"/>
        <v>9.7000000000000003E-2</v>
      </c>
    </row>
    <row r="8" spans="1:22" x14ac:dyDescent="0.25">
      <c r="A8" s="61" t="s">
        <v>58</v>
      </c>
      <c r="B8" s="62">
        <v>9.5000000000000001E-2</v>
      </c>
      <c r="C8" s="62">
        <v>6.9000000000000006E-2</v>
      </c>
      <c r="D8" s="115">
        <v>0.109</v>
      </c>
      <c r="E8" s="115">
        <v>0.16900000000000001</v>
      </c>
      <c r="F8" s="91">
        <v>0.182</v>
      </c>
      <c r="G8" s="91">
        <v>7.2999999999999995E-2</v>
      </c>
      <c r="H8" s="91">
        <v>0.108</v>
      </c>
      <c r="I8" s="91">
        <v>0.11</v>
      </c>
      <c r="J8" s="91"/>
      <c r="K8" s="116"/>
      <c r="L8" s="53"/>
      <c r="M8" s="53"/>
      <c r="T8" s="67">
        <v>31.25</v>
      </c>
      <c r="U8" s="67">
        <f t="shared" si="0"/>
        <v>8.2000000000000003E-2</v>
      </c>
    </row>
    <row r="9" spans="1:22" x14ac:dyDescent="0.25">
      <c r="A9" s="61" t="s">
        <v>59</v>
      </c>
      <c r="B9" s="62">
        <v>0.13400000000000001</v>
      </c>
      <c r="C9" s="62">
        <v>5.8999999999999997E-2</v>
      </c>
      <c r="D9" s="115">
        <v>0.1</v>
      </c>
      <c r="E9" s="115">
        <v>8.8999999999999996E-2</v>
      </c>
      <c r="F9" s="91">
        <v>0.158</v>
      </c>
      <c r="G9" s="91">
        <v>7.8E-2</v>
      </c>
      <c r="H9" s="91">
        <v>0.114</v>
      </c>
      <c r="I9" s="91">
        <v>0.191</v>
      </c>
      <c r="J9" s="91"/>
      <c r="K9" s="116"/>
      <c r="L9" s="114"/>
      <c r="M9" s="114"/>
      <c r="T9" s="67">
        <v>0</v>
      </c>
      <c r="U9" s="67">
        <f t="shared" si="0"/>
        <v>9.6500000000000002E-2</v>
      </c>
    </row>
    <row r="10" spans="1:22" ht="15.75" thickBot="1" x14ac:dyDescent="0.3"/>
    <row r="11" spans="1:22" ht="15.75" thickTop="1" x14ac:dyDescent="0.25">
      <c r="A11" s="100" t="s">
        <v>64</v>
      </c>
      <c r="B11" s="101" t="s">
        <v>86</v>
      </c>
      <c r="C11" s="101" t="s">
        <v>87</v>
      </c>
      <c r="D11" s="66" t="s">
        <v>89</v>
      </c>
      <c r="E11" s="99" t="s">
        <v>88</v>
      </c>
      <c r="F11" s="106" t="s">
        <v>90</v>
      </c>
      <c r="G11" s="107" t="s">
        <v>91</v>
      </c>
    </row>
    <row r="12" spans="1:22" x14ac:dyDescent="0.25">
      <c r="A12" s="147">
        <v>195</v>
      </c>
      <c r="B12" s="67">
        <v>0.10100000000000001</v>
      </c>
      <c r="C12" s="67">
        <v>74.782608695652186</v>
      </c>
      <c r="D12" s="67">
        <f t="shared" ref="D12:D30" si="1">C12*F12</f>
        <v>2243.4782608695655</v>
      </c>
      <c r="E12" s="104">
        <f>D12/0.18</f>
        <v>12463.768115942032</v>
      </c>
      <c r="F12" s="108">
        <v>30</v>
      </c>
      <c r="G12" s="109">
        <v>1.7</v>
      </c>
      <c r="H12" s="131" t="s">
        <v>76</v>
      </c>
      <c r="I12" s="132"/>
    </row>
    <row r="13" spans="1:22" x14ac:dyDescent="0.25">
      <c r="A13" s="147">
        <v>321</v>
      </c>
      <c r="B13" s="67">
        <v>9.5000000000000001E-2</v>
      </c>
      <c r="C13" s="67">
        <v>69.565217391304344</v>
      </c>
      <c r="D13" s="67">
        <f t="shared" si="1"/>
        <v>695.6521739130435</v>
      </c>
      <c r="E13" s="103">
        <f>D13/0.58</f>
        <v>1199.400299850075</v>
      </c>
      <c r="F13" s="108">
        <v>10</v>
      </c>
      <c r="G13" s="109">
        <v>0.44</v>
      </c>
      <c r="H13" s="133"/>
      <c r="I13" s="132"/>
    </row>
    <row r="14" spans="1:22" x14ac:dyDescent="0.25">
      <c r="A14" s="147">
        <v>920</v>
      </c>
      <c r="B14" s="67">
        <v>8.9499999999999996E-2</v>
      </c>
      <c r="C14" s="67">
        <v>64.782608695652172</v>
      </c>
      <c r="D14" s="67">
        <f t="shared" si="1"/>
        <v>647.82608695652175</v>
      </c>
      <c r="E14" s="103">
        <f>D14/0.51</f>
        <v>1270.2472293265132</v>
      </c>
      <c r="F14" s="108">
        <v>10</v>
      </c>
      <c r="G14" s="109">
        <v>0.4</v>
      </c>
      <c r="H14" s="133"/>
      <c r="I14" s="132"/>
    </row>
    <row r="15" spans="1:22" x14ac:dyDescent="0.25">
      <c r="A15" s="147">
        <v>239</v>
      </c>
      <c r="B15" s="67">
        <v>9.7500000000000003E-2</v>
      </c>
      <c r="C15" s="67">
        <v>71.739130434782609</v>
      </c>
      <c r="D15" s="67">
        <f t="shared" si="1"/>
        <v>717.39130434782612</v>
      </c>
      <c r="E15" s="103">
        <f>D15/1.1</f>
        <v>652.17391304347825</v>
      </c>
      <c r="F15" s="110">
        <v>10</v>
      </c>
      <c r="G15" s="111">
        <v>0.43</v>
      </c>
      <c r="H15" s="133"/>
      <c r="I15" s="132"/>
      <c r="U15" s="118"/>
      <c r="V15" s="118"/>
    </row>
    <row r="16" spans="1:22" x14ac:dyDescent="0.25">
      <c r="A16" s="147">
        <v>549</v>
      </c>
      <c r="B16" s="67">
        <v>9.9000000000000005E-2</v>
      </c>
      <c r="C16" s="67">
        <v>73.043478260869577</v>
      </c>
      <c r="D16" s="67">
        <f t="shared" si="1"/>
        <v>730.43478260869574</v>
      </c>
      <c r="E16" s="103">
        <f>D16/0.74</f>
        <v>987.07403055229156</v>
      </c>
      <c r="F16" s="108">
        <v>10</v>
      </c>
      <c r="G16" s="109">
        <v>0.52</v>
      </c>
      <c r="H16" s="133"/>
      <c r="I16" s="132"/>
    </row>
    <row r="17" spans="1:9" x14ac:dyDescent="0.25">
      <c r="A17" s="147">
        <v>791</v>
      </c>
      <c r="B17" s="67">
        <v>0.1275</v>
      </c>
      <c r="C17" s="67">
        <v>97.826086956521749</v>
      </c>
      <c r="D17" s="67">
        <f t="shared" si="1"/>
        <v>2445.652173913044</v>
      </c>
      <c r="E17" s="103">
        <f>D17/0.42</f>
        <v>5822.9813664596286</v>
      </c>
      <c r="F17" s="108">
        <v>25</v>
      </c>
      <c r="G17" s="109">
        <v>1.31</v>
      </c>
      <c r="H17" s="133"/>
      <c r="I17" s="132"/>
    </row>
    <row r="18" spans="1:9" x14ac:dyDescent="0.25">
      <c r="A18" s="147">
        <v>428</v>
      </c>
      <c r="B18" s="67">
        <v>0.11799999999999999</v>
      </c>
      <c r="C18" s="67">
        <v>89.565217391304344</v>
      </c>
      <c r="D18" s="67">
        <f t="shared" si="1"/>
        <v>447.82608695652175</v>
      </c>
      <c r="E18" s="103">
        <f>D18/0.64</f>
        <v>699.72826086956525</v>
      </c>
      <c r="F18" s="108">
        <v>5</v>
      </c>
      <c r="G18" s="109">
        <v>0.27</v>
      </c>
      <c r="H18" s="134"/>
    </row>
    <row r="19" spans="1:9" x14ac:dyDescent="0.25">
      <c r="A19" s="147">
        <v>308</v>
      </c>
      <c r="B19" s="67">
        <v>0.11499999999999999</v>
      </c>
      <c r="C19" s="67">
        <v>86.956521739130423</v>
      </c>
      <c r="D19" s="67">
        <f t="shared" si="1"/>
        <v>2173.9130434782605</v>
      </c>
      <c r="E19" s="103">
        <f>D19/0.27</f>
        <v>8051.5297906602236</v>
      </c>
      <c r="F19" s="112">
        <v>25</v>
      </c>
      <c r="G19" s="109">
        <v>1.34</v>
      </c>
      <c r="H19" s="133"/>
      <c r="I19" s="132"/>
    </row>
    <row r="20" spans="1:9" x14ac:dyDescent="0.25">
      <c r="A20" s="147">
        <v>454</v>
      </c>
      <c r="B20" s="67">
        <v>0.10650000000000001</v>
      </c>
      <c r="C20" s="67">
        <v>79.565217391304358</v>
      </c>
      <c r="D20" s="67">
        <f t="shared" si="1"/>
        <v>397.82608695652181</v>
      </c>
      <c r="E20" s="96">
        <f>D20/0.75</f>
        <v>530.43478260869574</v>
      </c>
      <c r="F20" s="108">
        <v>5</v>
      </c>
      <c r="G20" s="109">
        <v>0.18</v>
      </c>
      <c r="H20" s="135"/>
      <c r="I20" s="132"/>
    </row>
    <row r="21" spans="1:9" x14ac:dyDescent="0.25">
      <c r="A21" s="147">
        <v>214</v>
      </c>
      <c r="B21" s="67">
        <v>0.10150000000000001</v>
      </c>
      <c r="C21" s="67">
        <v>75.217391304347828</v>
      </c>
      <c r="D21" s="67">
        <f t="shared" si="1"/>
        <v>752.17391304347825</v>
      </c>
      <c r="E21" s="104">
        <f t="shared" ref="E21:E30" si="2">D21/G21</f>
        <v>1928.6510590858416</v>
      </c>
      <c r="F21" s="108">
        <v>10</v>
      </c>
      <c r="G21" s="109">
        <v>0.39</v>
      </c>
      <c r="H21" s="136"/>
    </row>
    <row r="22" spans="1:9" x14ac:dyDescent="0.25">
      <c r="A22" s="147">
        <v>628</v>
      </c>
      <c r="B22" s="67">
        <v>9.5500000000000002E-2</v>
      </c>
      <c r="C22" s="67">
        <v>70</v>
      </c>
      <c r="D22" s="67">
        <f t="shared" si="1"/>
        <v>700</v>
      </c>
      <c r="E22" s="103">
        <f t="shared" si="2"/>
        <v>1372.5490196078431</v>
      </c>
      <c r="F22" s="108">
        <v>10</v>
      </c>
      <c r="G22" s="109">
        <v>0.51</v>
      </c>
      <c r="H22" s="136"/>
    </row>
    <row r="23" spans="1:9" x14ac:dyDescent="0.25">
      <c r="A23" s="147">
        <v>682</v>
      </c>
      <c r="B23" s="67">
        <v>9.6000000000000002E-2</v>
      </c>
      <c r="C23" s="67">
        <v>70.434782608695656</v>
      </c>
      <c r="D23" s="67">
        <f t="shared" si="1"/>
        <v>704.3478260869565</v>
      </c>
      <c r="E23" s="103">
        <f t="shared" si="2"/>
        <v>1677.0186335403728</v>
      </c>
      <c r="F23" s="108">
        <v>10</v>
      </c>
      <c r="G23" s="109">
        <v>0.42</v>
      </c>
      <c r="H23" s="136"/>
      <c r="I23" s="132"/>
    </row>
    <row r="24" spans="1:9" x14ac:dyDescent="0.25">
      <c r="A24" s="147">
        <v>969</v>
      </c>
      <c r="B24" s="67">
        <v>0.1295</v>
      </c>
      <c r="C24" s="67">
        <v>99.565217391304358</v>
      </c>
      <c r="D24" s="67">
        <f t="shared" si="1"/>
        <v>995.65217391304361</v>
      </c>
      <c r="E24" s="103">
        <f t="shared" si="2"/>
        <v>1716.6416791604202</v>
      </c>
      <c r="F24" s="108">
        <v>10</v>
      </c>
      <c r="G24" s="109">
        <v>0.57999999999999996</v>
      </c>
      <c r="H24" s="134"/>
    </row>
    <row r="25" spans="1:9" x14ac:dyDescent="0.25">
      <c r="A25" s="147">
        <v>861</v>
      </c>
      <c r="B25" s="67">
        <v>0.109</v>
      </c>
      <c r="C25" s="67">
        <v>81.739130434782609</v>
      </c>
      <c r="D25" s="67">
        <f t="shared" si="1"/>
        <v>408.69565217391306</v>
      </c>
      <c r="E25" s="103">
        <f t="shared" si="2"/>
        <v>1513.6876006441223</v>
      </c>
      <c r="F25" s="108">
        <v>5</v>
      </c>
      <c r="G25" s="109">
        <v>0.27</v>
      </c>
      <c r="H25" s="136"/>
      <c r="I25" s="132"/>
    </row>
    <row r="26" spans="1:9" x14ac:dyDescent="0.25">
      <c r="A26" s="150" t="s">
        <v>210</v>
      </c>
      <c r="B26" s="67">
        <v>0.1525</v>
      </c>
      <c r="C26" s="67">
        <v>119.56521739130436</v>
      </c>
      <c r="D26" s="67">
        <f t="shared" si="1"/>
        <v>2391.304347826087</v>
      </c>
      <c r="E26" s="103">
        <f t="shared" si="2"/>
        <v>2173.9130434782605</v>
      </c>
      <c r="F26" s="108">
        <v>20</v>
      </c>
      <c r="G26" s="109">
        <v>1.1000000000000001</v>
      </c>
      <c r="H26" s="118"/>
      <c r="I26" s="132"/>
    </row>
    <row r="27" spans="1:9" x14ac:dyDescent="0.25">
      <c r="A27" s="149">
        <v>630</v>
      </c>
      <c r="B27" s="67">
        <v>0.1885</v>
      </c>
      <c r="C27" s="67">
        <v>150.86956521739128</v>
      </c>
      <c r="D27" s="67">
        <f t="shared" si="1"/>
        <v>754.34782608695639</v>
      </c>
      <c r="E27" s="103">
        <f t="shared" si="2"/>
        <v>4190.8212560386464</v>
      </c>
      <c r="F27" s="108">
        <v>5</v>
      </c>
      <c r="G27" s="109">
        <v>0.18</v>
      </c>
      <c r="H27" s="136"/>
      <c r="I27" s="132"/>
    </row>
    <row r="28" spans="1:9" x14ac:dyDescent="0.25">
      <c r="A28" s="147">
        <v>863</v>
      </c>
      <c r="B28" s="67">
        <v>0.1535</v>
      </c>
      <c r="C28" s="67">
        <v>120.43478260869567</v>
      </c>
      <c r="D28" s="67">
        <f t="shared" si="1"/>
        <v>1806.521739130435</v>
      </c>
      <c r="E28" s="103">
        <f t="shared" si="2"/>
        <v>2441.2455934195068</v>
      </c>
      <c r="F28" s="108">
        <v>15</v>
      </c>
      <c r="G28" s="109">
        <v>0.74</v>
      </c>
      <c r="H28" s="136"/>
    </row>
    <row r="29" spans="1:9" x14ac:dyDescent="0.25">
      <c r="A29" s="147">
        <v>511</v>
      </c>
      <c r="B29" s="67">
        <v>8.6999999999999994E-2</v>
      </c>
      <c r="C29" s="67">
        <v>62.608695652173907</v>
      </c>
      <c r="D29" s="67">
        <f t="shared" si="1"/>
        <v>626.08695652173901</v>
      </c>
      <c r="E29" s="96">
        <f t="shared" si="2"/>
        <v>978.26086956521715</v>
      </c>
      <c r="F29" s="108">
        <v>10</v>
      </c>
      <c r="G29" s="109">
        <v>0.64</v>
      </c>
      <c r="H29" s="136"/>
      <c r="I29" s="132"/>
    </row>
    <row r="30" spans="1:9" x14ac:dyDescent="0.25">
      <c r="A30" s="147">
        <v>832</v>
      </c>
      <c r="B30" s="67">
        <v>0.10550000000000001</v>
      </c>
      <c r="C30" s="67">
        <v>78.695652173913061</v>
      </c>
      <c r="D30" s="67">
        <f t="shared" si="1"/>
        <v>1180.434782608696</v>
      </c>
      <c r="E30" s="74">
        <f t="shared" si="2"/>
        <v>1573.9130434782612</v>
      </c>
      <c r="F30" s="112">
        <v>15</v>
      </c>
      <c r="G30" s="111">
        <v>0.75</v>
      </c>
    </row>
    <row r="31" spans="1:9" x14ac:dyDescent="0.25">
      <c r="E31" s="66" t="s">
        <v>66</v>
      </c>
      <c r="F31" s="163">
        <f>AVERAGE(E12:E30)</f>
        <v>2697.0547151226842</v>
      </c>
      <c r="G31" s="165"/>
    </row>
    <row r="32" spans="1:9" x14ac:dyDescent="0.25">
      <c r="E32" s="66" t="s">
        <v>75</v>
      </c>
      <c r="F32" s="163">
        <f>_xlfn.STDEV.P(E12:E30)</f>
        <v>2959.6527193576458</v>
      </c>
      <c r="G32" s="165"/>
      <c r="I32" t="s">
        <v>109</v>
      </c>
    </row>
    <row r="33" spans="1:13" x14ac:dyDescent="0.25">
      <c r="E33" s="66" t="s">
        <v>99</v>
      </c>
      <c r="F33" s="163">
        <v>0.30395608571621113</v>
      </c>
      <c r="G33" s="165"/>
    </row>
    <row r="35" spans="1:13" ht="15.75" thickBot="1" x14ac:dyDescent="0.3"/>
    <row r="36" spans="1:13" ht="15.75" thickTop="1" x14ac:dyDescent="0.25">
      <c r="A36" s="100" t="s">
        <v>64</v>
      </c>
      <c r="B36" s="101" t="s">
        <v>86</v>
      </c>
      <c r="C36" s="101" t="s">
        <v>87</v>
      </c>
      <c r="D36" s="66" t="s">
        <v>89</v>
      </c>
      <c r="E36" s="99" t="s">
        <v>88</v>
      </c>
      <c r="F36" s="106" t="s">
        <v>90</v>
      </c>
      <c r="G36" s="107" t="s">
        <v>91</v>
      </c>
    </row>
    <row r="37" spans="1:13" x14ac:dyDescent="0.25">
      <c r="A37" s="102" t="s">
        <v>105</v>
      </c>
      <c r="B37" s="67">
        <v>0.10600000000000001</v>
      </c>
      <c r="C37" s="67">
        <v>79.130434782608702</v>
      </c>
      <c r="D37" s="67">
        <f>C37*F37</f>
        <v>791.304347826087</v>
      </c>
      <c r="E37" s="104">
        <f t="shared" ref="E37:E45" si="3">D37/G37</f>
        <v>1720.2268431001889</v>
      </c>
      <c r="F37" s="119">
        <v>10</v>
      </c>
      <c r="G37" s="120">
        <v>0.46</v>
      </c>
      <c r="L37" s="166" t="s">
        <v>187</v>
      </c>
      <c r="M37" s="166"/>
    </row>
    <row r="38" spans="1:13" x14ac:dyDescent="0.25">
      <c r="A38" s="102" t="s">
        <v>102</v>
      </c>
      <c r="B38" s="67">
        <v>0.161</v>
      </c>
      <c r="C38" s="67">
        <v>126.95652173913045</v>
      </c>
      <c r="D38" s="67">
        <f t="shared" ref="D38:D45" si="4">C38*F38</f>
        <v>2539.130434782609</v>
      </c>
      <c r="E38" s="103">
        <f t="shared" si="3"/>
        <v>2170.1969528056488</v>
      </c>
      <c r="F38" s="119">
        <v>20</v>
      </c>
      <c r="G38" s="120">
        <v>1.17</v>
      </c>
    </row>
    <row r="39" spans="1:13" x14ac:dyDescent="0.25">
      <c r="A39" s="102" t="s">
        <v>101</v>
      </c>
      <c r="B39" s="67">
        <v>0.11849999999999999</v>
      </c>
      <c r="C39" s="67">
        <v>90</v>
      </c>
      <c r="D39" s="67">
        <f t="shared" si="4"/>
        <v>900</v>
      </c>
      <c r="E39" s="103">
        <f t="shared" si="3"/>
        <v>1698.1132075471696</v>
      </c>
      <c r="F39" s="119">
        <v>10</v>
      </c>
      <c r="G39" s="120">
        <v>0.53</v>
      </c>
    </row>
    <row r="40" spans="1:13" x14ac:dyDescent="0.25">
      <c r="A40" s="102" t="s">
        <v>104</v>
      </c>
      <c r="B40" s="67">
        <v>0.183</v>
      </c>
      <c r="C40" s="67">
        <v>146.08695652173913</v>
      </c>
      <c r="D40" s="67">
        <f t="shared" si="4"/>
        <v>2921.7391304347825</v>
      </c>
      <c r="E40" s="103">
        <f t="shared" si="3"/>
        <v>2656.1264822134385</v>
      </c>
      <c r="F40" s="119">
        <v>20</v>
      </c>
      <c r="G40" s="120">
        <v>1.1000000000000001</v>
      </c>
    </row>
    <row r="41" spans="1:13" x14ac:dyDescent="0.25">
      <c r="A41" s="102" t="s">
        <v>100</v>
      </c>
      <c r="B41" s="67">
        <v>0.16999999999999998</v>
      </c>
      <c r="C41" s="67">
        <v>134.78260869565216</v>
      </c>
      <c r="D41" s="67">
        <f t="shared" si="4"/>
        <v>1684.782608695652</v>
      </c>
      <c r="E41" s="103">
        <f t="shared" si="3"/>
        <v>2372.9332516840173</v>
      </c>
      <c r="F41" s="119">
        <v>12.5</v>
      </c>
      <c r="G41" s="120">
        <v>0.71</v>
      </c>
    </row>
    <row r="42" spans="1:13" x14ac:dyDescent="0.25">
      <c r="A42" s="102" t="s">
        <v>107</v>
      </c>
      <c r="B42" s="67">
        <v>0.16200000000000001</v>
      </c>
      <c r="C42" s="67">
        <v>127.82608695652176</v>
      </c>
      <c r="D42" s="67">
        <f t="shared" si="4"/>
        <v>894.78260869565236</v>
      </c>
      <c r="E42" s="103">
        <f t="shared" si="3"/>
        <v>2354.6910755148747</v>
      </c>
      <c r="F42" s="119">
        <v>7</v>
      </c>
      <c r="G42" s="120">
        <v>0.38</v>
      </c>
    </row>
    <row r="43" spans="1:13" x14ac:dyDescent="0.25">
      <c r="A43" s="102" t="s">
        <v>108</v>
      </c>
      <c r="B43" s="67">
        <v>0.13900000000000001</v>
      </c>
      <c r="C43" s="67">
        <v>107.82608695652175</v>
      </c>
      <c r="D43" s="67">
        <f t="shared" si="4"/>
        <v>1078.2608695652175</v>
      </c>
      <c r="E43" s="103">
        <f t="shared" si="3"/>
        <v>1925.4658385093167</v>
      </c>
      <c r="F43" s="121">
        <v>10</v>
      </c>
      <c r="G43" s="122">
        <v>0.56000000000000005</v>
      </c>
    </row>
    <row r="44" spans="1:13" x14ac:dyDescent="0.25">
      <c r="A44" s="102" t="s">
        <v>103</v>
      </c>
      <c r="B44" s="67">
        <v>9.4500000000000001E-2</v>
      </c>
      <c r="C44" s="67">
        <v>69.130434782608702</v>
      </c>
      <c r="D44" s="67">
        <f t="shared" si="4"/>
        <v>691.304347826087</v>
      </c>
      <c r="E44" s="103">
        <f t="shared" si="3"/>
        <v>1329.4314381270904</v>
      </c>
      <c r="F44" s="119">
        <v>10</v>
      </c>
      <c r="G44" s="120">
        <v>0.52</v>
      </c>
    </row>
    <row r="45" spans="1:13" x14ac:dyDescent="0.25">
      <c r="A45" s="102" t="s">
        <v>106</v>
      </c>
      <c r="B45" s="67">
        <v>9.2999999999999999E-2</v>
      </c>
      <c r="C45" s="67">
        <v>67.826086956521735</v>
      </c>
      <c r="D45" s="67">
        <f t="shared" si="4"/>
        <v>678.26086956521738</v>
      </c>
      <c r="E45" s="96">
        <f t="shared" si="3"/>
        <v>1244.5153570003988</v>
      </c>
      <c r="F45" s="119">
        <v>10</v>
      </c>
      <c r="G45" s="120">
        <v>0.54500000000000004</v>
      </c>
    </row>
    <row r="46" spans="1:13" x14ac:dyDescent="0.25">
      <c r="A46" s="1"/>
      <c r="B46" s="1"/>
      <c r="C46" s="1"/>
      <c r="D46" s="1"/>
      <c r="E46" s="66" t="s">
        <v>66</v>
      </c>
      <c r="F46" s="163">
        <f>AVERAGE(E37:E45)</f>
        <v>1941.3000496113496</v>
      </c>
      <c r="G46" s="165"/>
    </row>
    <row r="47" spans="1:13" x14ac:dyDescent="0.25">
      <c r="A47" s="1"/>
      <c r="B47" s="1"/>
      <c r="C47" s="1"/>
      <c r="D47" s="1"/>
      <c r="E47" s="66" t="s">
        <v>75</v>
      </c>
      <c r="F47" s="163">
        <f>_xlfn.STDEV.P(E37:E45)</f>
        <v>458.10309527147348</v>
      </c>
      <c r="G47" s="165"/>
    </row>
    <row r="48" spans="1:13" x14ac:dyDescent="0.25">
      <c r="A48" s="1"/>
      <c r="B48" s="1"/>
      <c r="C48" s="1"/>
      <c r="D48" s="1"/>
      <c r="E48" s="66" t="s">
        <v>99</v>
      </c>
      <c r="F48" s="163">
        <f>_xlfn.T.TEST(E12:E30,E37:E45,2,3)</f>
        <v>0.30395608571621113</v>
      </c>
      <c r="G48" s="165"/>
    </row>
  </sheetData>
  <mergeCells count="9">
    <mergeCell ref="F48:G48"/>
    <mergeCell ref="P1:R1"/>
    <mergeCell ref="P2:R2"/>
    <mergeCell ref="F31:G31"/>
    <mergeCell ref="F32:G32"/>
    <mergeCell ref="F33:G33"/>
    <mergeCell ref="F46:G46"/>
    <mergeCell ref="F47:G47"/>
    <mergeCell ref="L37:M37"/>
  </mergeCells>
  <pageMargins left="0.7" right="0.7" top="0.75" bottom="0.75" header="0.3" footer="0.3"/>
  <pageSetup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13566-165B-43BA-92BE-6D389D0C4A70}">
  <dimension ref="A1:U39"/>
  <sheetViews>
    <sheetView topLeftCell="A10" workbookViewId="0">
      <selection activeCell="B23" sqref="B23"/>
    </sheetView>
  </sheetViews>
  <sheetFormatPr defaultRowHeight="15" x14ac:dyDescent="0.25"/>
  <cols>
    <col min="2" max="2" width="13.5703125" customWidth="1"/>
    <col min="3" max="3" width="10.5703125" customWidth="1"/>
    <col min="4" max="4" width="18.28515625" customWidth="1"/>
    <col min="5" max="5" width="12.7109375" customWidth="1"/>
  </cols>
  <sheetData>
    <row r="1" spans="1:21" x14ac:dyDescent="0.25">
      <c r="A1" s="60"/>
      <c r="B1" s="61">
        <v>1</v>
      </c>
      <c r="C1" s="61">
        <v>2</v>
      </c>
      <c r="D1" s="61">
        <v>3</v>
      </c>
      <c r="E1" s="61">
        <v>4</v>
      </c>
      <c r="F1" s="61">
        <v>5</v>
      </c>
      <c r="G1" s="61">
        <v>6</v>
      </c>
      <c r="H1" s="61">
        <v>7</v>
      </c>
      <c r="I1" s="61">
        <v>8</v>
      </c>
      <c r="J1" s="61">
        <v>9</v>
      </c>
      <c r="K1" s="61">
        <v>10</v>
      </c>
      <c r="L1" s="61">
        <v>11</v>
      </c>
      <c r="M1" s="61">
        <v>12</v>
      </c>
      <c r="O1" s="92"/>
      <c r="P1" s="166" t="s">
        <v>85</v>
      </c>
      <c r="Q1" s="166"/>
      <c r="R1" s="166"/>
      <c r="T1" s="70" t="s">
        <v>110</v>
      </c>
      <c r="U1" s="70" t="s">
        <v>111</v>
      </c>
    </row>
    <row r="2" spans="1:21" x14ac:dyDescent="0.25">
      <c r="A2" s="61" t="s">
        <v>53</v>
      </c>
      <c r="B2" s="62">
        <v>2.169</v>
      </c>
      <c r="C2" s="62">
        <v>2.278</v>
      </c>
      <c r="D2" s="62">
        <v>2.0649999999999999</v>
      </c>
      <c r="E2" s="62"/>
      <c r="F2" s="123"/>
      <c r="G2" s="123"/>
      <c r="H2" s="123"/>
      <c r="I2" s="113">
        <v>0.51900000000000002</v>
      </c>
      <c r="J2" s="113">
        <v>0.45600000000000002</v>
      </c>
      <c r="K2" s="63"/>
      <c r="L2" s="115">
        <v>0.13800000000000001</v>
      </c>
      <c r="M2" s="115">
        <v>0.10299999999999999</v>
      </c>
      <c r="O2" s="117"/>
      <c r="P2" s="166" t="s">
        <v>47</v>
      </c>
      <c r="Q2" s="166"/>
      <c r="R2" s="166"/>
      <c r="T2" s="73">
        <v>640</v>
      </c>
      <c r="U2" s="73">
        <f>AVERAGE(B2:D2)</f>
        <v>2.170666666666667</v>
      </c>
    </row>
    <row r="3" spans="1:21" x14ac:dyDescent="0.25">
      <c r="A3" s="61" t="s">
        <v>54</v>
      </c>
      <c r="B3" s="62">
        <v>1.0820000000000001</v>
      </c>
      <c r="C3" s="62">
        <v>1.1719999999999999</v>
      </c>
      <c r="D3" s="62">
        <v>1.1140000000000001</v>
      </c>
      <c r="E3" s="62"/>
      <c r="F3" s="113">
        <v>0.51600000000000001</v>
      </c>
      <c r="G3" s="113">
        <v>0.40200000000000002</v>
      </c>
      <c r="H3" s="63"/>
      <c r="I3" s="113">
        <v>0.29499999999999998</v>
      </c>
      <c r="J3" s="113">
        <v>0.182</v>
      </c>
      <c r="K3" s="63"/>
      <c r="L3" s="115">
        <v>0.1</v>
      </c>
      <c r="M3" s="115">
        <v>0.125</v>
      </c>
      <c r="T3" s="73">
        <v>320</v>
      </c>
      <c r="U3" s="73">
        <f>AVERAGE(B3:D3)</f>
        <v>1.1226666666666667</v>
      </c>
    </row>
    <row r="4" spans="1:21" x14ac:dyDescent="0.25">
      <c r="A4" s="61" t="s">
        <v>55</v>
      </c>
      <c r="B4" s="62">
        <v>0.57799999999999996</v>
      </c>
      <c r="C4" s="62">
        <v>0.58799999999999997</v>
      </c>
      <c r="D4" s="62">
        <v>0.55800000000000005</v>
      </c>
      <c r="E4" s="62"/>
      <c r="F4" s="113">
        <v>0.35</v>
      </c>
      <c r="G4" s="113">
        <v>0.20899999999999999</v>
      </c>
      <c r="H4" s="63"/>
      <c r="I4" s="115">
        <v>0.10100000000000001</v>
      </c>
      <c r="J4" s="115">
        <v>6.4000000000000001E-2</v>
      </c>
      <c r="K4" s="63"/>
      <c r="L4" s="63"/>
      <c r="M4" s="63"/>
      <c r="T4" s="73">
        <v>160</v>
      </c>
      <c r="U4" s="73">
        <f>AVERAGE(B4:D4)</f>
        <v>0.57466666666666666</v>
      </c>
    </row>
    <row r="5" spans="1:21" x14ac:dyDescent="0.25">
      <c r="A5" s="61" t="s">
        <v>56</v>
      </c>
      <c r="B5" s="62">
        <v>0.28699999999999998</v>
      </c>
      <c r="C5" s="62">
        <v>0.29599999999999999</v>
      </c>
      <c r="D5" s="62">
        <v>0.33200000000000002</v>
      </c>
      <c r="E5" s="62"/>
      <c r="F5" s="113">
        <v>0.40100000000000002</v>
      </c>
      <c r="G5" s="113">
        <v>0.41</v>
      </c>
      <c r="H5" s="63"/>
      <c r="I5" s="115">
        <v>6.7000000000000004E-2</v>
      </c>
      <c r="J5" s="115">
        <v>5.6000000000000001E-2</v>
      </c>
      <c r="K5" s="63"/>
      <c r="L5" s="63"/>
      <c r="M5" s="63"/>
      <c r="T5" s="73">
        <v>80</v>
      </c>
      <c r="U5" s="73">
        <f t="shared" ref="U5:U9" si="0">AVERAGE(B5:D5)</f>
        <v>0.30499999999999999</v>
      </c>
    </row>
    <row r="6" spans="1:21" x14ac:dyDescent="0.25">
      <c r="A6" s="61" t="s">
        <v>57</v>
      </c>
      <c r="B6" s="62">
        <v>0.17199999999999999</v>
      </c>
      <c r="C6" s="62">
        <v>0.17799999999999999</v>
      </c>
      <c r="D6" s="62">
        <v>0.158</v>
      </c>
      <c r="E6" s="62"/>
      <c r="F6" s="113">
        <v>0.435</v>
      </c>
      <c r="G6" s="113">
        <v>0.32600000000000001</v>
      </c>
      <c r="H6" s="63"/>
      <c r="I6" s="115">
        <v>6.4000000000000001E-2</v>
      </c>
      <c r="J6" s="115">
        <v>6.0999999999999999E-2</v>
      </c>
      <c r="K6" s="63"/>
      <c r="L6" s="63"/>
      <c r="M6" s="63"/>
      <c r="T6" s="73">
        <v>40</v>
      </c>
      <c r="U6" s="73">
        <f t="shared" si="0"/>
        <v>0.16933333333333334</v>
      </c>
    </row>
    <row r="7" spans="1:21" x14ac:dyDescent="0.25">
      <c r="A7" s="61" t="s">
        <v>44</v>
      </c>
      <c r="B7" s="62">
        <v>0.11</v>
      </c>
      <c r="C7" s="62">
        <v>0.11899999999999999</v>
      </c>
      <c r="D7" s="62">
        <v>0.13100000000000001</v>
      </c>
      <c r="E7" s="62"/>
      <c r="F7" s="113">
        <v>0.39</v>
      </c>
      <c r="G7" s="113">
        <v>0.27500000000000002</v>
      </c>
      <c r="H7" s="63"/>
      <c r="I7" s="115">
        <v>6.4000000000000001E-2</v>
      </c>
      <c r="J7" s="115">
        <v>7.0000000000000007E-2</v>
      </c>
      <c r="K7" s="63"/>
      <c r="L7" s="63"/>
      <c r="M7" s="63"/>
      <c r="T7" s="73">
        <v>20</v>
      </c>
      <c r="U7" s="73">
        <f t="shared" si="0"/>
        <v>0.12</v>
      </c>
    </row>
    <row r="8" spans="1:21" x14ac:dyDescent="0.25">
      <c r="A8" s="61" t="s">
        <v>58</v>
      </c>
      <c r="B8" s="62">
        <v>8.4000000000000005E-2</v>
      </c>
      <c r="C8" s="62">
        <v>8.5000000000000006E-2</v>
      </c>
      <c r="D8" s="62">
        <v>9.1999999999999998E-2</v>
      </c>
      <c r="E8" s="62"/>
      <c r="F8" s="113">
        <v>0.39300000000000002</v>
      </c>
      <c r="G8" s="113">
        <v>0.38600000000000001</v>
      </c>
      <c r="H8" s="63"/>
      <c r="I8" s="115">
        <v>0.214</v>
      </c>
      <c r="J8" s="115">
        <v>0.22700000000000001</v>
      </c>
      <c r="K8" s="63"/>
      <c r="L8" s="63"/>
      <c r="M8" s="63"/>
      <c r="T8" s="73">
        <v>10</v>
      </c>
      <c r="U8" s="73">
        <f t="shared" si="0"/>
        <v>8.7000000000000008E-2</v>
      </c>
    </row>
    <row r="9" spans="1:21" x14ac:dyDescent="0.25">
      <c r="A9" s="61" t="s">
        <v>59</v>
      </c>
      <c r="B9" s="62">
        <v>5.3999999999999999E-2</v>
      </c>
      <c r="C9" s="62">
        <v>5.5E-2</v>
      </c>
      <c r="D9" s="62">
        <v>5.5E-2</v>
      </c>
      <c r="E9" s="62"/>
      <c r="F9" s="113">
        <v>0.36399999999999999</v>
      </c>
      <c r="G9" s="113">
        <v>0.373</v>
      </c>
      <c r="H9" s="63"/>
      <c r="I9" s="115">
        <v>0.21099999999999999</v>
      </c>
      <c r="J9" s="115">
        <v>0.18</v>
      </c>
      <c r="K9" s="63"/>
      <c r="L9" s="63"/>
      <c r="M9" s="63"/>
      <c r="T9" s="73">
        <v>0</v>
      </c>
      <c r="U9" s="73">
        <f t="shared" si="0"/>
        <v>5.4666666666666669E-2</v>
      </c>
    </row>
    <row r="10" spans="1:21" ht="15.75" thickBot="1" x14ac:dyDescent="0.3"/>
    <row r="11" spans="1:21" ht="15.75" thickTop="1" x14ac:dyDescent="0.25">
      <c r="A11" s="100" t="s">
        <v>64</v>
      </c>
      <c r="B11" s="101" t="s">
        <v>86</v>
      </c>
      <c r="C11" s="101" t="s">
        <v>87</v>
      </c>
      <c r="D11" s="101" t="s">
        <v>112</v>
      </c>
      <c r="E11" s="70" t="s">
        <v>89</v>
      </c>
      <c r="F11" s="99" t="s">
        <v>88</v>
      </c>
      <c r="G11" s="106" t="s">
        <v>90</v>
      </c>
      <c r="H11" s="107" t="s">
        <v>91</v>
      </c>
    </row>
    <row r="12" spans="1:21" x14ac:dyDescent="0.25">
      <c r="A12" s="53" t="s">
        <v>92</v>
      </c>
      <c r="B12" s="73">
        <f t="shared" ref="B12:B18" si="1">AVERAGE(F3:G3)</f>
        <v>0.45900000000000002</v>
      </c>
      <c r="C12" s="73">
        <f>(B12-0.0483)/0.0033</f>
        <v>124.45454545454545</v>
      </c>
      <c r="D12" s="73">
        <f>C12*20</f>
        <v>2489.090909090909</v>
      </c>
      <c r="E12" s="73">
        <f>D12*G12</f>
        <v>7467.272727272727</v>
      </c>
      <c r="F12" s="104">
        <f>E12/H12</f>
        <v>19146.853146853147</v>
      </c>
      <c r="G12" s="108">
        <v>3</v>
      </c>
      <c r="H12" s="109">
        <v>0.39</v>
      </c>
    </row>
    <row r="13" spans="1:21" x14ac:dyDescent="0.25">
      <c r="A13" s="53" t="s">
        <v>93</v>
      </c>
      <c r="B13" s="73">
        <f t="shared" si="1"/>
        <v>0.27949999999999997</v>
      </c>
      <c r="C13" s="73">
        <f t="shared" ref="C13:C20" si="2">(B13-0.0483)/0.0033</f>
        <v>70.060606060606048</v>
      </c>
      <c r="D13" s="73">
        <f>C13*20</f>
        <v>1401.212121212121</v>
      </c>
      <c r="E13" s="73">
        <f t="shared" ref="E13:E20" si="3">D13*G13</f>
        <v>11209.696969696968</v>
      </c>
      <c r="F13" s="104">
        <f t="shared" ref="F13:F20" si="4">E13/H13</f>
        <v>6593.9393939393931</v>
      </c>
      <c r="G13" s="108">
        <v>8</v>
      </c>
      <c r="H13" s="109">
        <v>1.7</v>
      </c>
    </row>
    <row r="14" spans="1:21" x14ac:dyDescent="0.25">
      <c r="A14" s="53" t="s">
        <v>95</v>
      </c>
      <c r="B14" s="73">
        <f t="shared" si="1"/>
        <v>0.40549999999999997</v>
      </c>
      <c r="C14" s="73">
        <f t="shared" si="2"/>
        <v>108.24242424242424</v>
      </c>
      <c r="D14" s="73">
        <f t="shared" ref="D14:D20" si="5">C14*20</f>
        <v>2164.8484848484845</v>
      </c>
      <c r="E14" s="73">
        <f t="shared" si="3"/>
        <v>4329.6969696969691</v>
      </c>
      <c r="F14" s="104">
        <f t="shared" si="4"/>
        <v>10824.242424242422</v>
      </c>
      <c r="G14" s="108">
        <v>2</v>
      </c>
      <c r="H14" s="109">
        <v>0.4</v>
      </c>
    </row>
    <row r="15" spans="1:21" x14ac:dyDescent="0.25">
      <c r="A15" s="53" t="s">
        <v>94</v>
      </c>
      <c r="B15" s="73">
        <f t="shared" si="1"/>
        <v>0.3805</v>
      </c>
      <c r="C15" s="73">
        <f t="shared" si="2"/>
        <v>100.66666666666667</v>
      </c>
      <c r="D15" s="73">
        <f t="shared" si="5"/>
        <v>2013.3333333333335</v>
      </c>
      <c r="E15" s="73">
        <f t="shared" si="3"/>
        <v>4026.666666666667</v>
      </c>
      <c r="F15" s="104">
        <f t="shared" si="4"/>
        <v>22370.370370370372</v>
      </c>
      <c r="G15" s="110">
        <v>2</v>
      </c>
      <c r="H15" s="111">
        <v>0.18</v>
      </c>
    </row>
    <row r="16" spans="1:21" x14ac:dyDescent="0.25">
      <c r="A16" s="53" t="s">
        <v>19</v>
      </c>
      <c r="B16" s="73">
        <f t="shared" si="1"/>
        <v>0.33250000000000002</v>
      </c>
      <c r="C16" s="73">
        <f t="shared" si="2"/>
        <v>86.121212121212125</v>
      </c>
      <c r="D16" s="73">
        <f t="shared" si="5"/>
        <v>1722.4242424242425</v>
      </c>
      <c r="E16" s="73">
        <f t="shared" si="3"/>
        <v>6889.69696969697</v>
      </c>
      <c r="F16" s="104">
        <f t="shared" si="4"/>
        <v>16022.551092318536</v>
      </c>
      <c r="G16" s="108">
        <v>4</v>
      </c>
      <c r="H16" s="109">
        <v>0.43</v>
      </c>
    </row>
    <row r="17" spans="1:14" x14ac:dyDescent="0.25">
      <c r="A17" s="53" t="s">
        <v>15</v>
      </c>
      <c r="B17" s="73">
        <f t="shared" si="1"/>
        <v>0.38950000000000001</v>
      </c>
      <c r="C17" s="73">
        <f t="shared" si="2"/>
        <v>103.39393939393939</v>
      </c>
      <c r="D17" s="73">
        <f t="shared" si="5"/>
        <v>2067.878787878788</v>
      </c>
      <c r="E17" s="73">
        <f t="shared" si="3"/>
        <v>8271.515151515152</v>
      </c>
      <c r="F17" s="104">
        <f t="shared" si="4"/>
        <v>18798.898071625346</v>
      </c>
      <c r="G17" s="108">
        <v>4</v>
      </c>
      <c r="H17" s="109">
        <v>0.44</v>
      </c>
    </row>
    <row r="18" spans="1:14" x14ac:dyDescent="0.25">
      <c r="A18" s="53" t="s">
        <v>97</v>
      </c>
      <c r="B18" s="73">
        <f t="shared" si="1"/>
        <v>0.36849999999999999</v>
      </c>
      <c r="C18" s="73">
        <f t="shared" si="2"/>
        <v>97.030303030303031</v>
      </c>
      <c r="D18" s="73">
        <f t="shared" si="5"/>
        <v>1940.6060606060605</v>
      </c>
      <c r="E18" s="73">
        <f t="shared" si="3"/>
        <v>15524.848484848484</v>
      </c>
      <c r="F18" s="104">
        <f t="shared" si="4"/>
        <v>29855.477855477853</v>
      </c>
      <c r="G18" s="108">
        <v>8</v>
      </c>
      <c r="H18" s="109">
        <v>0.52</v>
      </c>
      <c r="I18" s="144"/>
    </row>
    <row r="19" spans="1:14" x14ac:dyDescent="0.25">
      <c r="A19" s="53" t="s">
        <v>96</v>
      </c>
      <c r="B19" s="73">
        <f>AVERAGE(I2:J2)</f>
        <v>0.48750000000000004</v>
      </c>
      <c r="C19" s="73">
        <f t="shared" si="2"/>
        <v>133.09090909090909</v>
      </c>
      <c r="D19" s="73">
        <f t="shared" si="5"/>
        <v>2661.818181818182</v>
      </c>
      <c r="E19" s="73">
        <f t="shared" si="3"/>
        <v>5323.636363636364</v>
      </c>
      <c r="F19" s="104">
        <f t="shared" si="4"/>
        <v>19717.171717171717</v>
      </c>
      <c r="G19" s="112">
        <v>2</v>
      </c>
      <c r="H19" s="109">
        <v>0.27</v>
      </c>
    </row>
    <row r="20" spans="1:14" x14ac:dyDescent="0.25">
      <c r="A20" s="53" t="s">
        <v>98</v>
      </c>
      <c r="B20" s="73">
        <f>AVERAGE(I3:J3)</f>
        <v>0.23849999999999999</v>
      </c>
      <c r="C20" s="73">
        <f t="shared" si="2"/>
        <v>57.636363636363633</v>
      </c>
      <c r="D20" s="73">
        <f t="shared" si="5"/>
        <v>1152.7272727272727</v>
      </c>
      <c r="E20" s="73">
        <f t="shared" si="3"/>
        <v>6916.363636363636</v>
      </c>
      <c r="F20" s="104">
        <f t="shared" si="4"/>
        <v>5161.4654002713696</v>
      </c>
      <c r="G20" s="108">
        <v>6</v>
      </c>
      <c r="H20" s="109">
        <v>1.34</v>
      </c>
    </row>
    <row r="21" spans="1:14" x14ac:dyDescent="0.25">
      <c r="D21" s="1"/>
      <c r="F21" s="70" t="s">
        <v>66</v>
      </c>
      <c r="G21" s="163">
        <f>AVERAGE(F12:F20)</f>
        <v>16498.996608030015</v>
      </c>
      <c r="H21" s="165"/>
    </row>
    <row r="22" spans="1:14" x14ac:dyDescent="0.25">
      <c r="D22" s="1"/>
      <c r="F22" s="70" t="s">
        <v>75</v>
      </c>
      <c r="G22" s="163">
        <f>_xlfn.STDEV.P(F12:F20)</f>
        <v>7413.2431864515083</v>
      </c>
      <c r="H22" s="165"/>
    </row>
    <row r="23" spans="1:14" x14ac:dyDescent="0.25">
      <c r="D23" s="1"/>
      <c r="F23" s="70" t="s">
        <v>99</v>
      </c>
      <c r="G23" s="163">
        <f>_xlfn.T.TEST(F12:F20,F26:F33,2,3)</f>
        <v>0.90279460716520288</v>
      </c>
      <c r="H23" s="165"/>
    </row>
    <row r="24" spans="1:14" ht="15.75" thickBot="1" x14ac:dyDescent="0.3"/>
    <row r="25" spans="1:14" ht="15.75" thickTop="1" x14ac:dyDescent="0.25">
      <c r="A25" s="100" t="s">
        <v>64</v>
      </c>
      <c r="B25" s="101" t="s">
        <v>86</v>
      </c>
      <c r="C25" s="101" t="s">
        <v>87</v>
      </c>
      <c r="D25" s="101" t="s">
        <v>112</v>
      </c>
      <c r="E25" s="70" t="s">
        <v>89</v>
      </c>
      <c r="F25" s="99" t="s">
        <v>88</v>
      </c>
      <c r="G25" s="106" t="s">
        <v>90</v>
      </c>
      <c r="H25" s="107" t="s">
        <v>91</v>
      </c>
    </row>
    <row r="26" spans="1:14" x14ac:dyDescent="0.25">
      <c r="A26" s="102" t="s">
        <v>108</v>
      </c>
      <c r="B26" s="73">
        <f t="shared" ref="B26:B31" si="6">AVERAGE(I4:J4)</f>
        <v>8.2500000000000004E-2</v>
      </c>
      <c r="C26" s="73">
        <v>79.130434782608702</v>
      </c>
      <c r="D26" s="73">
        <f>C26*20</f>
        <v>1582.608695652174</v>
      </c>
      <c r="E26" s="73">
        <f>D26*G26</f>
        <v>7913.04347826087</v>
      </c>
      <c r="F26" s="104">
        <f>E26/H26</f>
        <v>14130.434782608694</v>
      </c>
      <c r="G26" s="119">
        <v>5</v>
      </c>
      <c r="H26" s="120">
        <v>0.56000000000000005</v>
      </c>
    </row>
    <row r="27" spans="1:14" x14ac:dyDescent="0.25">
      <c r="A27" s="102" t="s">
        <v>107</v>
      </c>
      <c r="B27" s="73">
        <f t="shared" si="6"/>
        <v>6.1499999999999999E-2</v>
      </c>
      <c r="C27" s="73">
        <v>126.95652173913045</v>
      </c>
      <c r="D27" s="73">
        <f t="shared" ref="D27:D33" si="7">C27*20</f>
        <v>2539.130434782609</v>
      </c>
      <c r="E27" s="73">
        <f t="shared" ref="E27:E33" si="8">D27*G27</f>
        <v>10156.521739130436</v>
      </c>
      <c r="F27" s="104">
        <f t="shared" ref="F27:F33" si="9">E27/H27</f>
        <v>26727.688787185358</v>
      </c>
      <c r="G27" s="119">
        <v>4</v>
      </c>
      <c r="H27" s="120">
        <v>0.38</v>
      </c>
    </row>
    <row r="28" spans="1:14" x14ac:dyDescent="0.25">
      <c r="A28" s="102" t="s">
        <v>106</v>
      </c>
      <c r="B28" s="73">
        <f t="shared" si="6"/>
        <v>6.25E-2</v>
      </c>
      <c r="C28" s="73">
        <v>90</v>
      </c>
      <c r="D28" s="73">
        <f t="shared" si="7"/>
        <v>1800</v>
      </c>
      <c r="E28" s="73">
        <f t="shared" si="8"/>
        <v>3600</v>
      </c>
      <c r="F28" s="104">
        <f t="shared" si="9"/>
        <v>6605.5045871559632</v>
      </c>
      <c r="G28" s="119">
        <v>2</v>
      </c>
      <c r="H28" s="120">
        <v>0.54500000000000004</v>
      </c>
      <c r="M28" s="166" t="s">
        <v>187</v>
      </c>
      <c r="N28" s="166"/>
    </row>
    <row r="29" spans="1:14" x14ac:dyDescent="0.25">
      <c r="A29" s="102" t="s">
        <v>105</v>
      </c>
      <c r="B29" s="73">
        <f t="shared" si="6"/>
        <v>6.7000000000000004E-2</v>
      </c>
      <c r="C29" s="73">
        <v>146.08695652173913</v>
      </c>
      <c r="D29" s="73">
        <f t="shared" si="7"/>
        <v>2921.7391304347825</v>
      </c>
      <c r="E29" s="73">
        <f t="shared" si="8"/>
        <v>8765.217391304348</v>
      </c>
      <c r="F29" s="104">
        <f t="shared" si="9"/>
        <v>19054.820415879018</v>
      </c>
      <c r="G29" s="119">
        <v>3</v>
      </c>
      <c r="H29" s="120">
        <v>0.46</v>
      </c>
    </row>
    <row r="30" spans="1:14" x14ac:dyDescent="0.25">
      <c r="A30" s="102" t="s">
        <v>104</v>
      </c>
      <c r="B30" s="73">
        <f t="shared" si="6"/>
        <v>0.2205</v>
      </c>
      <c r="C30" s="73">
        <v>134.78260869565216</v>
      </c>
      <c r="D30" s="73">
        <f t="shared" si="7"/>
        <v>2695.652173913043</v>
      </c>
      <c r="E30" s="73">
        <f t="shared" si="8"/>
        <v>21565.217391304344</v>
      </c>
      <c r="F30" s="104">
        <f t="shared" si="9"/>
        <v>19604.743083003948</v>
      </c>
      <c r="G30" s="119">
        <v>8</v>
      </c>
      <c r="H30" s="120">
        <v>1.1000000000000001</v>
      </c>
    </row>
    <row r="31" spans="1:14" x14ac:dyDescent="0.25">
      <c r="A31" s="102" t="s">
        <v>103</v>
      </c>
      <c r="B31" s="73">
        <f t="shared" si="6"/>
        <v>0.19550000000000001</v>
      </c>
      <c r="C31" s="73">
        <v>127.82608695652176</v>
      </c>
      <c r="D31" s="73">
        <f t="shared" si="7"/>
        <v>2556.5217391304354</v>
      </c>
      <c r="E31" s="73">
        <f t="shared" si="8"/>
        <v>7669.5652173913059</v>
      </c>
      <c r="F31" s="104">
        <f t="shared" si="9"/>
        <v>14749.163879598664</v>
      </c>
      <c r="G31" s="119">
        <v>3</v>
      </c>
      <c r="H31" s="120">
        <v>0.52</v>
      </c>
    </row>
    <row r="32" spans="1:14" x14ac:dyDescent="0.25">
      <c r="A32" s="102" t="s">
        <v>101</v>
      </c>
      <c r="B32" s="73">
        <f>AVERAGE(L2:M2)</f>
        <v>0.1205</v>
      </c>
      <c r="C32" s="73">
        <v>107.82608695652175</v>
      </c>
      <c r="D32" s="73">
        <f t="shared" si="7"/>
        <v>2156.521739130435</v>
      </c>
      <c r="E32" s="73">
        <f t="shared" si="8"/>
        <v>6469.5652173913049</v>
      </c>
      <c r="F32" s="104">
        <f t="shared" si="9"/>
        <v>12206.726825266613</v>
      </c>
      <c r="G32" s="121">
        <v>3</v>
      </c>
      <c r="H32" s="122">
        <v>0.53</v>
      </c>
    </row>
    <row r="33" spans="1:9" x14ac:dyDescent="0.25">
      <c r="A33" s="102" t="s">
        <v>100</v>
      </c>
      <c r="B33" s="73">
        <f>AVERAGE(L3:M3)</f>
        <v>0.1125</v>
      </c>
      <c r="C33" s="73">
        <v>69.130434782608702</v>
      </c>
      <c r="D33" s="73">
        <f t="shared" si="7"/>
        <v>1382.608695652174</v>
      </c>
      <c r="E33" s="73">
        <f t="shared" si="8"/>
        <v>11060.869565217392</v>
      </c>
      <c r="F33" s="104">
        <f t="shared" si="9"/>
        <v>15578.689528475201</v>
      </c>
      <c r="G33" s="119">
        <v>8</v>
      </c>
      <c r="H33" s="120">
        <v>0.71</v>
      </c>
    </row>
    <row r="34" spans="1:9" x14ac:dyDescent="0.25">
      <c r="A34" s="1"/>
      <c r="B34" s="1"/>
      <c r="C34" s="1"/>
      <c r="D34" s="1"/>
      <c r="E34" s="1"/>
      <c r="F34" s="70" t="s">
        <v>66</v>
      </c>
      <c r="G34" s="163">
        <f>AVERAGE(F26:F33)</f>
        <v>16082.221486146682</v>
      </c>
      <c r="H34" s="165"/>
      <c r="I34" s="1"/>
    </row>
    <row r="35" spans="1:9" x14ac:dyDescent="0.25">
      <c r="A35" s="1"/>
      <c r="B35" s="1"/>
      <c r="C35" s="1"/>
      <c r="D35" s="1"/>
      <c r="E35" s="1"/>
      <c r="F35" s="70" t="s">
        <v>75</v>
      </c>
      <c r="G35" s="163">
        <f>_xlfn.STDEV.P(F26:F33)</f>
        <v>5536.6749639998425</v>
      </c>
      <c r="H35" s="165"/>
      <c r="I35" s="1"/>
    </row>
    <row r="36" spans="1:9" x14ac:dyDescent="0.25">
      <c r="A36" s="1"/>
      <c r="B36" s="1"/>
      <c r="C36" s="1"/>
      <c r="D36" s="1"/>
      <c r="E36" s="1"/>
      <c r="F36" s="70" t="s">
        <v>99</v>
      </c>
      <c r="G36" s="163">
        <v>0.90279460716520288</v>
      </c>
      <c r="H36" s="165"/>
      <c r="I36" s="1"/>
    </row>
    <row r="39" spans="1:9" x14ac:dyDescent="0.25">
      <c r="A39" s="166"/>
      <c r="B39" s="166"/>
      <c r="C39" s="166"/>
      <c r="D39" s="166"/>
    </row>
  </sheetData>
  <mergeCells count="10">
    <mergeCell ref="A39:D39"/>
    <mergeCell ref="G36:H36"/>
    <mergeCell ref="G35:H35"/>
    <mergeCell ref="G34:H34"/>
    <mergeCell ref="P1:R1"/>
    <mergeCell ref="P2:R2"/>
    <mergeCell ref="G21:H21"/>
    <mergeCell ref="G22:H22"/>
    <mergeCell ref="G23:H23"/>
    <mergeCell ref="M28:N2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8B513-B1FE-413E-A067-F6CDC7B5FF1B}">
  <dimension ref="A1:T50"/>
  <sheetViews>
    <sheetView workbookViewId="0">
      <selection activeCell="B35" sqref="B35"/>
    </sheetView>
  </sheetViews>
  <sheetFormatPr defaultRowHeight="15" x14ac:dyDescent="0.25"/>
  <cols>
    <col min="2" max="2" width="11.28515625" customWidth="1"/>
    <col min="3" max="3" width="12.85546875" customWidth="1"/>
    <col min="4" max="4" width="19.5703125" customWidth="1"/>
    <col min="5" max="5" width="14.85546875" customWidth="1"/>
  </cols>
  <sheetData>
    <row r="1" spans="1:20" x14ac:dyDescent="0.25">
      <c r="A1" s="60"/>
      <c r="B1" s="61">
        <v>1</v>
      </c>
      <c r="C1" s="61">
        <v>2</v>
      </c>
      <c r="D1" s="61">
        <v>3</v>
      </c>
      <c r="E1" s="61">
        <v>4</v>
      </c>
      <c r="F1" s="61">
        <v>5</v>
      </c>
      <c r="G1" s="61">
        <v>6</v>
      </c>
      <c r="H1" s="61">
        <v>7</v>
      </c>
      <c r="I1" s="61">
        <v>8</v>
      </c>
      <c r="J1" s="61">
        <v>9</v>
      </c>
      <c r="K1" s="61">
        <v>10</v>
      </c>
      <c r="L1" s="61">
        <v>11</v>
      </c>
      <c r="M1" s="61">
        <v>12</v>
      </c>
      <c r="O1" s="124"/>
      <c r="P1" s="159" t="s">
        <v>85</v>
      </c>
      <c r="Q1" s="159"/>
      <c r="R1" s="159"/>
      <c r="S1" s="1"/>
      <c r="T1" s="70" t="s">
        <v>110</v>
      </c>
    </row>
    <row r="2" spans="1:20" x14ac:dyDescent="0.25">
      <c r="A2" s="61" t="s">
        <v>53</v>
      </c>
      <c r="B2" s="62">
        <v>551.94399999999996</v>
      </c>
      <c r="C2" s="62">
        <v>524.87400000000002</v>
      </c>
      <c r="D2" s="63">
        <v>85.567999999999998</v>
      </c>
      <c r="E2" s="63">
        <v>97.742999999999995</v>
      </c>
      <c r="F2" s="63">
        <v>114.941</v>
      </c>
      <c r="G2" s="63">
        <v>130.381</v>
      </c>
      <c r="H2" s="63">
        <v>85.188000000000002</v>
      </c>
      <c r="I2" s="63">
        <v>82.474999999999994</v>
      </c>
      <c r="J2" s="63">
        <v>26.901</v>
      </c>
      <c r="K2" s="63">
        <v>109.902</v>
      </c>
      <c r="L2" s="63">
        <v>101.182</v>
      </c>
      <c r="M2" s="63">
        <v>134.583</v>
      </c>
      <c r="O2" s="125"/>
      <c r="P2" s="159" t="s">
        <v>47</v>
      </c>
      <c r="Q2" s="159"/>
      <c r="R2" s="159"/>
      <c r="S2" s="1"/>
      <c r="T2" s="73">
        <v>600</v>
      </c>
    </row>
    <row r="3" spans="1:20" ht="15" customHeight="1" x14ac:dyDescent="0.25">
      <c r="A3" s="61" t="s">
        <v>54</v>
      </c>
      <c r="B3" s="62">
        <v>319.44400000000002</v>
      </c>
      <c r="C3" s="62">
        <v>321.01499999999999</v>
      </c>
      <c r="D3" s="63">
        <v>137.56399999999999</v>
      </c>
      <c r="E3" s="63">
        <v>113.20699999999999</v>
      </c>
      <c r="F3" s="63">
        <v>139.51400000000001</v>
      </c>
      <c r="G3" s="63">
        <v>132.13300000000001</v>
      </c>
      <c r="H3" s="63">
        <v>97.311999999999998</v>
      </c>
      <c r="I3" s="63">
        <v>101.358</v>
      </c>
      <c r="J3" s="63">
        <v>121.035</v>
      </c>
      <c r="K3" s="63">
        <v>109.895</v>
      </c>
      <c r="L3" s="63">
        <v>160.67099999999999</v>
      </c>
      <c r="M3" s="63">
        <v>183.90899999999999</v>
      </c>
      <c r="O3" s="126" t="s">
        <v>117</v>
      </c>
      <c r="P3" s="167" t="s">
        <v>125</v>
      </c>
      <c r="Q3" s="167"/>
      <c r="R3" s="167"/>
      <c r="S3" s="1"/>
      <c r="T3" s="73">
        <v>300</v>
      </c>
    </row>
    <row r="4" spans="1:20" x14ac:dyDescent="0.25">
      <c r="A4" s="61" t="s">
        <v>55</v>
      </c>
      <c r="B4" s="62">
        <v>139.97399999999999</v>
      </c>
      <c r="C4" s="62">
        <v>154.30600000000001</v>
      </c>
      <c r="D4" s="63">
        <v>139.44999999999999</v>
      </c>
      <c r="E4" s="63">
        <v>117.03400000000001</v>
      </c>
      <c r="F4" s="63">
        <v>99.375</v>
      </c>
      <c r="G4" s="63">
        <v>100.68600000000001</v>
      </c>
      <c r="H4" s="63">
        <v>68.39</v>
      </c>
      <c r="I4" s="63">
        <v>70.572999999999993</v>
      </c>
      <c r="J4" s="63">
        <v>139.483</v>
      </c>
      <c r="K4" s="63">
        <v>119.61799999999999</v>
      </c>
      <c r="L4" s="63">
        <v>110.919</v>
      </c>
      <c r="M4" s="63">
        <v>114.68</v>
      </c>
      <c r="O4" s="1"/>
      <c r="P4" s="167"/>
      <c r="Q4" s="167"/>
      <c r="R4" s="167"/>
      <c r="S4" s="1"/>
      <c r="T4" s="73">
        <v>150</v>
      </c>
    </row>
    <row r="5" spans="1:20" x14ac:dyDescent="0.25">
      <c r="A5" s="61" t="s">
        <v>56</v>
      </c>
      <c r="B5" s="62">
        <v>67.998999999999995</v>
      </c>
      <c r="C5" s="62">
        <v>84.183000000000007</v>
      </c>
      <c r="D5" s="63">
        <v>99.073999999999998</v>
      </c>
      <c r="E5" s="63">
        <v>108.803</v>
      </c>
      <c r="F5" s="63">
        <v>113.538</v>
      </c>
      <c r="G5" s="63">
        <v>131.518</v>
      </c>
      <c r="H5" s="63">
        <v>114.232</v>
      </c>
      <c r="I5" s="63">
        <v>119.91</v>
      </c>
      <c r="J5" s="63">
        <v>161.79400000000001</v>
      </c>
      <c r="K5" s="63">
        <v>162.37700000000001</v>
      </c>
      <c r="L5" s="63">
        <v>114.334</v>
      </c>
      <c r="M5" s="63">
        <v>143.43299999999999</v>
      </c>
      <c r="O5" s="1"/>
      <c r="P5" s="167"/>
      <c r="Q5" s="167"/>
      <c r="R5" s="167"/>
      <c r="S5" s="1"/>
      <c r="T5" s="73">
        <v>75</v>
      </c>
    </row>
    <row r="6" spans="1:20" x14ac:dyDescent="0.25">
      <c r="A6" s="61" t="s">
        <v>57</v>
      </c>
      <c r="B6" s="62">
        <v>24.786999999999999</v>
      </c>
      <c r="C6" s="62">
        <v>51.656999999999996</v>
      </c>
      <c r="D6" s="63">
        <v>142.17400000000001</v>
      </c>
      <c r="E6" s="63">
        <v>125.39</v>
      </c>
      <c r="F6" s="63">
        <v>84.948999999999998</v>
      </c>
      <c r="G6" s="63">
        <v>92.846999999999994</v>
      </c>
      <c r="H6" s="63">
        <v>85.667000000000002</v>
      </c>
      <c r="I6" s="63">
        <v>81.513999999999996</v>
      </c>
      <c r="J6" s="63">
        <v>116.501</v>
      </c>
      <c r="K6" s="63">
        <v>118.15900000000001</v>
      </c>
      <c r="L6" s="63">
        <v>98.674999999999997</v>
      </c>
      <c r="M6" s="63">
        <v>110.64</v>
      </c>
      <c r="O6" s="1"/>
      <c r="P6" s="167"/>
      <c r="Q6" s="167"/>
      <c r="R6" s="167"/>
      <c r="S6" s="1"/>
      <c r="T6" s="73">
        <v>37.5</v>
      </c>
    </row>
    <row r="7" spans="1:20" x14ac:dyDescent="0.25">
      <c r="A7" s="61" t="s">
        <v>44</v>
      </c>
      <c r="B7" s="62" t="s">
        <v>113</v>
      </c>
      <c r="C7" s="62">
        <v>40.191000000000003</v>
      </c>
      <c r="D7" s="63">
        <v>136.86099999999999</v>
      </c>
      <c r="E7" s="63">
        <v>110.88</v>
      </c>
      <c r="F7" s="63">
        <v>92.605000000000004</v>
      </c>
      <c r="G7" s="63">
        <v>102.646</v>
      </c>
      <c r="H7" s="63">
        <v>125.902</v>
      </c>
      <c r="I7" s="63">
        <v>148.50700000000001</v>
      </c>
      <c r="J7" s="63">
        <v>116.178</v>
      </c>
      <c r="K7" s="63">
        <v>123.047</v>
      </c>
      <c r="L7" s="63">
        <v>123.971</v>
      </c>
      <c r="M7" s="63">
        <v>124.64100000000001</v>
      </c>
      <c r="O7" s="1"/>
      <c r="P7" s="167"/>
      <c r="Q7" s="167"/>
      <c r="R7" s="167"/>
      <c r="S7" s="1"/>
      <c r="T7" s="73">
        <v>18.75</v>
      </c>
    </row>
    <row r="8" spans="1:20" x14ac:dyDescent="0.25">
      <c r="A8" s="61" t="s">
        <v>58</v>
      </c>
      <c r="B8" s="62" t="s">
        <v>113</v>
      </c>
      <c r="C8" s="62">
        <v>53.543999999999997</v>
      </c>
      <c r="D8" s="63">
        <v>112.416</v>
      </c>
      <c r="E8" s="63">
        <v>104.309</v>
      </c>
      <c r="F8" s="63">
        <v>101.621</v>
      </c>
      <c r="G8" s="63">
        <v>98.856999999999999</v>
      </c>
      <c r="H8" s="63">
        <v>125.238</v>
      </c>
      <c r="I8" s="63">
        <v>133.49700000000001</v>
      </c>
      <c r="J8" s="63">
        <v>148.00700000000001</v>
      </c>
      <c r="K8" s="63">
        <v>140.10300000000001</v>
      </c>
      <c r="L8" s="63">
        <v>123.777</v>
      </c>
      <c r="M8" s="63">
        <v>145.61600000000001</v>
      </c>
      <c r="O8" s="1"/>
      <c r="P8" s="167"/>
      <c r="Q8" s="167"/>
      <c r="R8" s="167"/>
      <c r="S8" s="1"/>
      <c r="T8" s="73">
        <v>0</v>
      </c>
    </row>
    <row r="9" spans="1:20" x14ac:dyDescent="0.25">
      <c r="A9" s="61" t="s">
        <v>59</v>
      </c>
      <c r="B9" s="62" t="s">
        <v>113</v>
      </c>
      <c r="C9" s="62">
        <v>67.759</v>
      </c>
      <c r="D9" s="63">
        <v>187.982</v>
      </c>
      <c r="E9" s="63">
        <v>167.899</v>
      </c>
      <c r="F9" s="63">
        <v>103.47799999999999</v>
      </c>
      <c r="G9" s="63">
        <v>104.85</v>
      </c>
      <c r="H9" s="63">
        <v>140.86500000000001</v>
      </c>
      <c r="I9" s="63">
        <v>139.15799999999999</v>
      </c>
      <c r="J9" s="63">
        <v>129.25399999999999</v>
      </c>
      <c r="K9" s="63">
        <v>133.23699999999999</v>
      </c>
      <c r="L9" s="63">
        <v>97.834999999999994</v>
      </c>
      <c r="M9" s="63">
        <v>111.63500000000001</v>
      </c>
      <c r="O9" s="1"/>
      <c r="P9" s="167"/>
      <c r="Q9" s="167"/>
      <c r="R9" s="167"/>
      <c r="S9" s="1"/>
    </row>
    <row r="10" spans="1:20" x14ac:dyDescent="0.25">
      <c r="P10" s="167"/>
      <c r="Q10" s="167"/>
      <c r="R10" s="167"/>
    </row>
    <row r="12" spans="1:20" ht="15.75" thickBot="1" x14ac:dyDescent="0.3"/>
    <row r="13" spans="1:20" ht="15.75" thickTop="1" x14ac:dyDescent="0.25">
      <c r="A13" s="100" t="s">
        <v>64</v>
      </c>
      <c r="B13" s="101" t="s">
        <v>86</v>
      </c>
      <c r="C13" s="101" t="s">
        <v>115</v>
      </c>
      <c r="D13" s="101" t="s">
        <v>114</v>
      </c>
      <c r="E13" s="70" t="s">
        <v>89</v>
      </c>
      <c r="F13" s="99" t="s">
        <v>88</v>
      </c>
      <c r="G13" s="106" t="s">
        <v>90</v>
      </c>
      <c r="H13" s="107" t="s">
        <v>91</v>
      </c>
    </row>
    <row r="14" spans="1:20" x14ac:dyDescent="0.25">
      <c r="A14" s="147">
        <v>214</v>
      </c>
      <c r="B14" s="73">
        <v>0.26300000000000001</v>
      </c>
      <c r="C14" s="73">
        <v>91.655000000000001</v>
      </c>
      <c r="D14" s="73">
        <f>C14*100</f>
        <v>9165.5</v>
      </c>
      <c r="E14" s="73">
        <f t="shared" ref="E14:E32" si="0">C14*G14</f>
        <v>916.55</v>
      </c>
      <c r="F14" s="104">
        <f>E14/0.18</f>
        <v>5091.9444444444443</v>
      </c>
      <c r="G14" s="108">
        <v>10</v>
      </c>
      <c r="H14" s="109">
        <v>0.39</v>
      </c>
      <c r="I14" s="76"/>
    </row>
    <row r="15" spans="1:20" x14ac:dyDescent="0.25">
      <c r="A15" s="147">
        <v>791</v>
      </c>
      <c r="B15" s="73">
        <v>0.24</v>
      </c>
      <c r="C15" s="73">
        <v>125.386</v>
      </c>
      <c r="D15" s="73">
        <f t="shared" ref="D15:D32" si="1">C15*100</f>
        <v>12538.6</v>
      </c>
      <c r="E15" s="73">
        <f t="shared" si="0"/>
        <v>3134.65</v>
      </c>
      <c r="F15" s="103">
        <f>E15/0.58</f>
        <v>5404.5689655172418</v>
      </c>
      <c r="G15" s="108">
        <v>25</v>
      </c>
      <c r="H15" s="109">
        <v>1.31</v>
      </c>
      <c r="I15" s="76"/>
    </row>
    <row r="16" spans="1:20" x14ac:dyDescent="0.25">
      <c r="A16" s="147">
        <v>920</v>
      </c>
      <c r="B16" s="73">
        <v>0.23849999999999999</v>
      </c>
      <c r="C16" s="73">
        <v>128.24199999999999</v>
      </c>
      <c r="D16" s="73">
        <f t="shared" si="1"/>
        <v>12824.199999999999</v>
      </c>
      <c r="E16" s="73">
        <f t="shared" si="0"/>
        <v>1282.4199999999998</v>
      </c>
      <c r="F16" s="103">
        <f>E16/0.51</f>
        <v>2514.5490196078426</v>
      </c>
      <c r="G16" s="108">
        <v>10</v>
      </c>
      <c r="H16" s="109">
        <v>0.4</v>
      </c>
    </row>
    <row r="17" spans="1:9" x14ac:dyDescent="0.25">
      <c r="A17" s="147">
        <v>321</v>
      </c>
      <c r="B17" s="73">
        <v>0.2535</v>
      </c>
      <c r="C17" s="73">
        <v>103.938</v>
      </c>
      <c r="D17" s="73">
        <f t="shared" si="1"/>
        <v>10393.800000000001</v>
      </c>
      <c r="E17" s="73">
        <f t="shared" si="0"/>
        <v>1039.3800000000001</v>
      </c>
      <c r="F17" s="103">
        <f>E17/1.1</f>
        <v>944.89090909090908</v>
      </c>
      <c r="G17" s="110">
        <v>10</v>
      </c>
      <c r="H17" s="111">
        <v>0.44</v>
      </c>
    </row>
    <row r="18" spans="1:9" x14ac:dyDescent="0.25">
      <c r="A18" s="147">
        <v>428</v>
      </c>
      <c r="B18" s="73">
        <v>0.23549999999999999</v>
      </c>
      <c r="C18" s="73">
        <v>133.78200000000001</v>
      </c>
      <c r="D18" s="73">
        <f t="shared" si="1"/>
        <v>13378.2</v>
      </c>
      <c r="E18" s="73">
        <f t="shared" si="0"/>
        <v>668.91000000000008</v>
      </c>
      <c r="F18" s="103">
        <f>E18/0.74</f>
        <v>903.93243243243251</v>
      </c>
      <c r="G18" s="108">
        <v>5</v>
      </c>
      <c r="H18" s="109">
        <v>0.27</v>
      </c>
    </row>
    <row r="19" spans="1:9" x14ac:dyDescent="0.25">
      <c r="A19" s="147">
        <v>454</v>
      </c>
      <c r="B19" s="73">
        <v>0.24099999999999999</v>
      </c>
      <c r="C19" s="73">
        <v>123.87</v>
      </c>
      <c r="D19" s="73">
        <f t="shared" si="1"/>
        <v>12387</v>
      </c>
      <c r="E19" s="73">
        <f t="shared" si="0"/>
        <v>619.35</v>
      </c>
      <c r="F19" s="103">
        <f>E19/0.42</f>
        <v>1474.6428571428573</v>
      </c>
      <c r="G19" s="108">
        <v>5</v>
      </c>
      <c r="H19" s="109">
        <v>0.18</v>
      </c>
    </row>
    <row r="20" spans="1:9" x14ac:dyDescent="0.25">
      <c r="A20" s="147">
        <v>239</v>
      </c>
      <c r="B20" s="73">
        <v>0.2505</v>
      </c>
      <c r="C20" s="73">
        <v>108.36199999999999</v>
      </c>
      <c r="D20" s="73">
        <f t="shared" si="1"/>
        <v>10836.199999999999</v>
      </c>
      <c r="E20" s="73">
        <f t="shared" si="0"/>
        <v>1083.6199999999999</v>
      </c>
      <c r="F20" s="103">
        <f>E20/0.64</f>
        <v>1693.1562499999998</v>
      </c>
      <c r="G20" s="108">
        <v>10</v>
      </c>
      <c r="H20" s="109">
        <v>0.43</v>
      </c>
    </row>
    <row r="21" spans="1:9" x14ac:dyDescent="0.25">
      <c r="A21" s="147">
        <v>195</v>
      </c>
      <c r="B21" s="73">
        <v>0.2165</v>
      </c>
      <c r="C21" s="73">
        <v>177.941</v>
      </c>
      <c r="D21" s="73">
        <f t="shared" si="1"/>
        <v>17794.099999999999</v>
      </c>
      <c r="E21" s="73">
        <f t="shared" si="0"/>
        <v>5338.2300000000005</v>
      </c>
      <c r="F21" s="103">
        <f>E21/0.27</f>
        <v>19771.222222222223</v>
      </c>
      <c r="G21" s="112">
        <v>30</v>
      </c>
      <c r="H21" s="109">
        <v>1.7</v>
      </c>
      <c r="I21" s="76" t="s">
        <v>76</v>
      </c>
    </row>
    <row r="22" spans="1:9" x14ac:dyDescent="0.25">
      <c r="A22" s="147">
        <v>308</v>
      </c>
      <c r="B22" s="73">
        <v>0.24149999999999999</v>
      </c>
      <c r="C22" s="73">
        <v>122.661</v>
      </c>
      <c r="D22" s="73">
        <f t="shared" si="1"/>
        <v>12266.1</v>
      </c>
      <c r="E22" s="73">
        <f t="shared" si="0"/>
        <v>3066.5250000000001</v>
      </c>
      <c r="F22" s="96">
        <f>E22/0.75</f>
        <v>4088.7000000000003</v>
      </c>
      <c r="G22" s="108">
        <v>25</v>
      </c>
      <c r="H22" s="109">
        <v>1.34</v>
      </c>
    </row>
    <row r="23" spans="1:9" x14ac:dyDescent="0.25">
      <c r="A23" s="147">
        <v>549</v>
      </c>
      <c r="B23" s="73">
        <v>0.23399999999999999</v>
      </c>
      <c r="C23" s="73">
        <v>135.82400000000001</v>
      </c>
      <c r="D23" s="73">
        <f t="shared" si="1"/>
        <v>13582.400000000001</v>
      </c>
      <c r="E23" s="73">
        <f t="shared" si="0"/>
        <v>1358.2400000000002</v>
      </c>
      <c r="F23" s="104">
        <f t="shared" ref="F23:F32" si="2">E23/H23</f>
        <v>2612.0000000000005</v>
      </c>
      <c r="G23" s="108">
        <v>10</v>
      </c>
      <c r="H23" s="109">
        <v>0.52</v>
      </c>
      <c r="I23" s="144"/>
    </row>
    <row r="24" spans="1:9" x14ac:dyDescent="0.25">
      <c r="A24" s="147">
        <v>628</v>
      </c>
      <c r="B24" s="73">
        <v>0.25650000000000001</v>
      </c>
      <c r="C24" s="73">
        <v>100.03</v>
      </c>
      <c r="D24" s="73">
        <f t="shared" si="1"/>
        <v>10003</v>
      </c>
      <c r="E24" s="73">
        <f t="shared" si="0"/>
        <v>1000.3</v>
      </c>
      <c r="F24" s="103">
        <f t="shared" si="2"/>
        <v>1961.3725490196077</v>
      </c>
      <c r="G24" s="108">
        <v>10</v>
      </c>
      <c r="H24" s="109">
        <v>0.51</v>
      </c>
    </row>
    <row r="25" spans="1:9" x14ac:dyDescent="0.25">
      <c r="A25" s="147">
        <v>682</v>
      </c>
      <c r="B25" s="73">
        <v>0.24149999999999999</v>
      </c>
      <c r="C25" s="73">
        <v>122.52800000000001</v>
      </c>
      <c r="D25" s="73">
        <f t="shared" si="1"/>
        <v>12252.800000000001</v>
      </c>
      <c r="E25" s="73">
        <f t="shared" si="0"/>
        <v>1225.28</v>
      </c>
      <c r="F25" s="103">
        <f t="shared" si="2"/>
        <v>2917.3333333333335</v>
      </c>
      <c r="G25" s="108">
        <v>10</v>
      </c>
      <c r="H25" s="109">
        <v>0.42</v>
      </c>
    </row>
    <row r="26" spans="1:9" x14ac:dyDescent="0.25">
      <c r="A26" s="147">
        <v>969</v>
      </c>
      <c r="B26" s="73">
        <v>0.26500000000000001</v>
      </c>
      <c r="C26" s="73">
        <v>88.897999999999996</v>
      </c>
      <c r="D26" s="73">
        <f t="shared" si="1"/>
        <v>8889.7999999999993</v>
      </c>
      <c r="E26" s="73">
        <f t="shared" si="0"/>
        <v>888.98</v>
      </c>
      <c r="F26" s="103">
        <f t="shared" si="2"/>
        <v>1532.7241379310346</v>
      </c>
      <c r="G26" s="108">
        <v>10</v>
      </c>
      <c r="H26" s="109">
        <v>0.57999999999999996</v>
      </c>
    </row>
    <row r="27" spans="1:9" x14ac:dyDescent="0.25">
      <c r="A27" s="147">
        <v>511</v>
      </c>
      <c r="B27" s="73">
        <v>0.25850000000000001</v>
      </c>
      <c r="C27" s="73">
        <v>97.625</v>
      </c>
      <c r="D27" s="73">
        <f t="shared" si="1"/>
        <v>9762.5</v>
      </c>
      <c r="E27" s="73">
        <f t="shared" si="0"/>
        <v>488.125</v>
      </c>
      <c r="F27" s="103">
        <f t="shared" si="2"/>
        <v>762.6953125</v>
      </c>
      <c r="G27" s="108">
        <v>5</v>
      </c>
      <c r="H27" s="109">
        <v>0.64</v>
      </c>
    </row>
    <row r="28" spans="1:9" x14ac:dyDescent="0.25">
      <c r="A28" s="150" t="s">
        <v>210</v>
      </c>
      <c r="B28" s="73">
        <v>0.25600000000000001</v>
      </c>
      <c r="C28" s="73">
        <v>100.239</v>
      </c>
      <c r="D28" s="73">
        <f t="shared" si="1"/>
        <v>10023.9</v>
      </c>
      <c r="E28" s="73">
        <f t="shared" si="0"/>
        <v>2004.7800000000002</v>
      </c>
      <c r="F28" s="103">
        <f t="shared" si="2"/>
        <v>1822.5272727272727</v>
      </c>
      <c r="G28" s="108">
        <v>20</v>
      </c>
      <c r="H28" s="109">
        <v>1.1000000000000001</v>
      </c>
    </row>
    <row r="29" spans="1:9" x14ac:dyDescent="0.25">
      <c r="A29" s="147">
        <v>832</v>
      </c>
      <c r="B29" s="73">
        <v>0.2535</v>
      </c>
      <c r="C29" s="73">
        <v>104.164</v>
      </c>
      <c r="D29" s="73">
        <f t="shared" si="1"/>
        <v>10416.4</v>
      </c>
      <c r="E29" s="73">
        <f t="shared" si="0"/>
        <v>1562.46</v>
      </c>
      <c r="F29" s="103">
        <f t="shared" si="2"/>
        <v>2083.2800000000002</v>
      </c>
      <c r="G29" s="108">
        <v>15</v>
      </c>
      <c r="H29" s="109">
        <v>0.75</v>
      </c>
    </row>
    <row r="30" spans="1:9" x14ac:dyDescent="0.25">
      <c r="A30" s="147">
        <v>863</v>
      </c>
      <c r="B30" s="73">
        <v>0.26900000000000002</v>
      </c>
      <c r="C30" s="73">
        <v>83.831999999999994</v>
      </c>
      <c r="D30" s="73">
        <f t="shared" si="1"/>
        <v>8383.1999999999989</v>
      </c>
      <c r="E30" s="73">
        <f t="shared" si="0"/>
        <v>1257.48</v>
      </c>
      <c r="F30" s="103">
        <f t="shared" si="2"/>
        <v>1699.2972972972973</v>
      </c>
      <c r="G30" s="108">
        <v>15</v>
      </c>
      <c r="H30" s="109">
        <v>0.74</v>
      </c>
    </row>
    <row r="31" spans="1:9" x14ac:dyDescent="0.25">
      <c r="A31" s="147">
        <v>861</v>
      </c>
      <c r="B31" s="73">
        <v>0.25700000000000001</v>
      </c>
      <c r="C31" s="73">
        <v>99.334999999999994</v>
      </c>
      <c r="D31" s="73">
        <f t="shared" si="1"/>
        <v>9933.5</v>
      </c>
      <c r="E31" s="73">
        <f t="shared" si="0"/>
        <v>496.67499999999995</v>
      </c>
      <c r="F31" s="96">
        <f t="shared" si="2"/>
        <v>1839.5370370370367</v>
      </c>
      <c r="G31" s="108">
        <v>5</v>
      </c>
      <c r="H31" s="109">
        <v>0.27</v>
      </c>
    </row>
    <row r="32" spans="1:9" x14ac:dyDescent="0.25">
      <c r="A32" s="147">
        <v>630</v>
      </c>
      <c r="B32" s="73">
        <v>0.28100000000000003</v>
      </c>
      <c r="C32" s="73">
        <v>69.480999999999995</v>
      </c>
      <c r="D32" s="73">
        <f t="shared" si="1"/>
        <v>6948.0999999999995</v>
      </c>
      <c r="E32" s="73">
        <f t="shared" si="0"/>
        <v>347.40499999999997</v>
      </c>
      <c r="F32" s="74">
        <f t="shared" si="2"/>
        <v>1930.0277777777776</v>
      </c>
      <c r="G32" s="112">
        <v>5</v>
      </c>
      <c r="H32" s="111">
        <v>0.18</v>
      </c>
    </row>
    <row r="33" spans="1:17" x14ac:dyDescent="0.25">
      <c r="A33" s="1"/>
      <c r="B33" s="1"/>
      <c r="C33" s="1"/>
      <c r="D33" s="1"/>
      <c r="E33" s="1"/>
      <c r="F33" s="70" t="s">
        <v>66</v>
      </c>
      <c r="G33" s="163">
        <f>AVERAGE(F14:F32)</f>
        <v>3213.0737798990167</v>
      </c>
      <c r="H33" s="165"/>
    </row>
    <row r="34" spans="1:17" x14ac:dyDescent="0.25">
      <c r="A34" s="1"/>
      <c r="B34" s="1"/>
      <c r="C34" s="1"/>
      <c r="D34" s="1"/>
      <c r="E34" s="1"/>
      <c r="F34" s="70" t="s">
        <v>75</v>
      </c>
      <c r="G34" s="163">
        <f>_xlfn.STDEV.P(F14:F32)</f>
        <v>4100.3635487917663</v>
      </c>
      <c r="H34" s="165"/>
    </row>
    <row r="35" spans="1:17" x14ac:dyDescent="0.25">
      <c r="A35" s="1"/>
      <c r="B35" s="1"/>
      <c r="C35" s="1"/>
      <c r="D35" s="1"/>
      <c r="E35" s="1"/>
      <c r="F35" s="70" t="s">
        <v>99</v>
      </c>
      <c r="G35" s="163">
        <f>_xlfn.T.TEST(F14:F32,F39:F47,2,3)</f>
        <v>0.21720298034652688</v>
      </c>
      <c r="H35" s="165"/>
    </row>
    <row r="36" spans="1:17" x14ac:dyDescent="0.25">
      <c r="A36" s="1"/>
      <c r="B36" s="1"/>
      <c r="C36" s="1"/>
      <c r="D36" s="1"/>
      <c r="E36" s="1"/>
      <c r="F36" s="1"/>
      <c r="G36" s="1"/>
    </row>
    <row r="37" spans="1:17" ht="15.75" thickBot="1" x14ac:dyDescent="0.3">
      <c r="A37" s="1"/>
      <c r="B37" s="1"/>
      <c r="C37" s="1"/>
      <c r="D37" s="1"/>
      <c r="E37" s="1"/>
      <c r="F37" s="1"/>
      <c r="G37" s="1"/>
    </row>
    <row r="38" spans="1:17" ht="15.75" thickTop="1" x14ac:dyDescent="0.25">
      <c r="A38" s="100" t="s">
        <v>64</v>
      </c>
      <c r="B38" s="69" t="s">
        <v>116</v>
      </c>
      <c r="C38" s="101" t="s">
        <v>115</v>
      </c>
      <c r="D38" s="101" t="s">
        <v>114</v>
      </c>
      <c r="E38" s="70" t="s">
        <v>89</v>
      </c>
      <c r="F38" s="99" t="s">
        <v>88</v>
      </c>
      <c r="G38" s="106" t="s">
        <v>90</v>
      </c>
      <c r="H38" s="107" t="s">
        <v>91</v>
      </c>
    </row>
    <row r="39" spans="1:17" ht="30" x14ac:dyDescent="0.25">
      <c r="A39" s="102" t="s">
        <v>105</v>
      </c>
      <c r="B39" s="73">
        <v>0.245</v>
      </c>
      <c r="C39" s="73">
        <v>79.130434782608702</v>
      </c>
      <c r="D39" s="73">
        <f>C39*100</f>
        <v>7913.04347826087</v>
      </c>
      <c r="E39" s="73">
        <f t="shared" ref="E39:E47" si="3">C39*G39</f>
        <v>791.304347826087</v>
      </c>
      <c r="F39" s="104">
        <f t="shared" ref="F39:F47" si="4">E39/H39</f>
        <v>1720.2268431001889</v>
      </c>
      <c r="G39" s="119">
        <v>10</v>
      </c>
      <c r="H39" s="128">
        <v>0.46</v>
      </c>
      <c r="J39" s="61" t="s">
        <v>118</v>
      </c>
      <c r="K39" s="61" t="s">
        <v>119</v>
      </c>
      <c r="L39" s="61" t="s">
        <v>53</v>
      </c>
      <c r="M39" s="61" t="s">
        <v>54</v>
      </c>
      <c r="N39" s="61" t="s">
        <v>55</v>
      </c>
      <c r="O39" s="61" t="s">
        <v>56</v>
      </c>
      <c r="P39" s="61" t="s">
        <v>120</v>
      </c>
      <c r="Q39" s="61" t="s">
        <v>121</v>
      </c>
    </row>
    <row r="40" spans="1:17" ht="38.25" x14ac:dyDescent="0.25">
      <c r="A40" s="102" t="s">
        <v>102</v>
      </c>
      <c r="B40" s="73">
        <v>0.26950000000000002</v>
      </c>
      <c r="C40" s="73">
        <v>126.95652173913045</v>
      </c>
      <c r="D40" s="73">
        <f t="shared" ref="D40:D47" si="5">C40*100</f>
        <v>12695.652173913046</v>
      </c>
      <c r="E40" s="73">
        <f t="shared" si="3"/>
        <v>1269.5652173913045</v>
      </c>
      <c r="F40" s="103">
        <f t="shared" si="4"/>
        <v>2351.0466988727858</v>
      </c>
      <c r="G40" s="119">
        <v>10</v>
      </c>
      <c r="H40" s="128">
        <v>0.54</v>
      </c>
      <c r="J40" s="63" t="s">
        <v>122</v>
      </c>
      <c r="K40" s="63" t="s">
        <v>123</v>
      </c>
      <c r="L40" s="63">
        <v>0.316</v>
      </c>
      <c r="M40" s="63">
        <v>2.27</v>
      </c>
      <c r="N40" s="63">
        <v>110</v>
      </c>
      <c r="O40" s="63">
        <v>0.183</v>
      </c>
      <c r="P40" s="63">
        <v>0.996</v>
      </c>
      <c r="Q40" s="63" t="s">
        <v>124</v>
      </c>
    </row>
    <row r="41" spans="1:17" x14ac:dyDescent="0.25">
      <c r="A41" s="102" t="s">
        <v>101</v>
      </c>
      <c r="B41" s="73">
        <v>0.23349999999999999</v>
      </c>
      <c r="C41" s="73">
        <v>90</v>
      </c>
      <c r="D41" s="73">
        <f t="shared" si="5"/>
        <v>9000</v>
      </c>
      <c r="E41" s="73">
        <f t="shared" si="3"/>
        <v>900</v>
      </c>
      <c r="F41" s="103">
        <f t="shared" si="4"/>
        <v>1698.1132075471696</v>
      </c>
      <c r="G41" s="119">
        <v>10</v>
      </c>
      <c r="H41" s="128">
        <v>0.53</v>
      </c>
    </row>
    <row r="42" spans="1:17" x14ac:dyDescent="0.25">
      <c r="A42" s="102" t="s">
        <v>104</v>
      </c>
      <c r="B42" s="73">
        <v>0.23749999999999999</v>
      </c>
      <c r="C42" s="73">
        <v>146.08695652173913</v>
      </c>
      <c r="D42" s="73">
        <f t="shared" si="5"/>
        <v>14608.695652173912</v>
      </c>
      <c r="E42" s="73">
        <f t="shared" si="3"/>
        <v>2921.7391304347825</v>
      </c>
      <c r="F42" s="103">
        <f t="shared" si="4"/>
        <v>2656.1264822134385</v>
      </c>
      <c r="G42" s="119">
        <v>20</v>
      </c>
      <c r="H42" s="128">
        <v>1.1000000000000001</v>
      </c>
    </row>
    <row r="43" spans="1:17" x14ac:dyDescent="0.25">
      <c r="A43" s="102" t="s">
        <v>100</v>
      </c>
      <c r="B43" s="73">
        <v>0.23150000000000001</v>
      </c>
      <c r="C43" s="73">
        <v>134.78260869565216</v>
      </c>
      <c r="D43" s="73">
        <f t="shared" si="5"/>
        <v>13478.260869565216</v>
      </c>
      <c r="E43" s="73">
        <f t="shared" si="3"/>
        <v>1684.782608695652</v>
      </c>
      <c r="F43" s="103">
        <f t="shared" si="4"/>
        <v>2372.9332516840173</v>
      </c>
      <c r="G43" s="119">
        <v>12.5</v>
      </c>
      <c r="H43" s="128">
        <v>0.71</v>
      </c>
    </row>
    <row r="44" spans="1:17" x14ac:dyDescent="0.25">
      <c r="A44" s="102" t="s">
        <v>107</v>
      </c>
      <c r="B44" s="73">
        <v>0.28000000000000003</v>
      </c>
      <c r="C44" s="73">
        <v>127.82608695652176</v>
      </c>
      <c r="D44" s="73">
        <f t="shared" si="5"/>
        <v>12782.608695652176</v>
      </c>
      <c r="E44" s="73">
        <f t="shared" si="3"/>
        <v>894.78260869565236</v>
      </c>
      <c r="F44" s="103">
        <f t="shared" si="4"/>
        <v>2354.6910755148747</v>
      </c>
      <c r="G44" s="119">
        <v>7</v>
      </c>
      <c r="H44" s="128">
        <v>0.38</v>
      </c>
      <c r="O44" s="166" t="s">
        <v>187</v>
      </c>
      <c r="P44" s="166"/>
    </row>
    <row r="45" spans="1:17" x14ac:dyDescent="0.25">
      <c r="A45" s="102" t="s">
        <v>108</v>
      </c>
      <c r="B45" s="73">
        <v>0.2455</v>
      </c>
      <c r="C45" s="73">
        <v>107.82608695652175</v>
      </c>
      <c r="D45" s="73">
        <f t="shared" si="5"/>
        <v>10782.608695652176</v>
      </c>
      <c r="E45" s="73">
        <f t="shared" si="3"/>
        <v>1078.2608695652175</v>
      </c>
      <c r="F45" s="103">
        <f t="shared" si="4"/>
        <v>1925.4658385093167</v>
      </c>
      <c r="G45" s="121">
        <v>10</v>
      </c>
      <c r="H45" s="129">
        <v>0.56000000000000005</v>
      </c>
    </row>
    <row r="46" spans="1:17" x14ac:dyDescent="0.25">
      <c r="A46" s="102" t="s">
        <v>103</v>
      </c>
      <c r="B46" s="73">
        <v>0.23749999999999999</v>
      </c>
      <c r="C46" s="73">
        <v>69.130434782608702</v>
      </c>
      <c r="D46" s="73">
        <f t="shared" si="5"/>
        <v>6913.04347826087</v>
      </c>
      <c r="E46" s="73">
        <f t="shared" si="3"/>
        <v>691.304347826087</v>
      </c>
      <c r="F46" s="103">
        <f t="shared" si="4"/>
        <v>1329.4314381270904</v>
      </c>
      <c r="G46" s="119">
        <v>10</v>
      </c>
      <c r="H46" s="128">
        <v>0.52</v>
      </c>
    </row>
    <row r="47" spans="1:17" x14ac:dyDescent="0.25">
      <c r="A47" s="102" t="s">
        <v>106</v>
      </c>
      <c r="B47" s="73">
        <v>0.222</v>
      </c>
      <c r="C47" s="73">
        <v>67.826086956521735</v>
      </c>
      <c r="D47" s="73">
        <f t="shared" si="5"/>
        <v>6782.6086956521731</v>
      </c>
      <c r="E47" s="73">
        <f t="shared" si="3"/>
        <v>678.26086956521738</v>
      </c>
      <c r="F47" s="96">
        <f t="shared" si="4"/>
        <v>1244.5153570003988</v>
      </c>
      <c r="G47" s="119">
        <v>10</v>
      </c>
      <c r="H47" s="128">
        <v>0.54500000000000004</v>
      </c>
    </row>
    <row r="48" spans="1:17" x14ac:dyDescent="0.25">
      <c r="A48" s="1"/>
      <c r="B48" s="1"/>
      <c r="C48" s="1"/>
      <c r="D48" s="1"/>
      <c r="E48" s="1"/>
      <c r="F48" s="70" t="s">
        <v>66</v>
      </c>
      <c r="G48" s="163">
        <f>AVERAGE(F39:F47)</f>
        <v>1961.3944658410312</v>
      </c>
      <c r="H48" s="165"/>
    </row>
    <row r="49" spans="1:8" x14ac:dyDescent="0.25">
      <c r="A49" s="1"/>
      <c r="B49" s="1"/>
      <c r="C49" s="1"/>
      <c r="D49" s="1"/>
      <c r="E49" s="1"/>
      <c r="F49" s="70" t="s">
        <v>75</v>
      </c>
      <c r="G49" s="163">
        <f>_xlfn.STDEV.P(F39:F47)</f>
        <v>471.47410289340655</v>
      </c>
      <c r="H49" s="165"/>
    </row>
    <row r="50" spans="1:8" x14ac:dyDescent="0.25">
      <c r="A50" s="1"/>
      <c r="B50" s="1"/>
      <c r="C50" s="1"/>
      <c r="D50" s="1"/>
      <c r="E50" s="1"/>
      <c r="F50" s="70" t="s">
        <v>99</v>
      </c>
      <c r="G50" s="163">
        <v>0.21720298034652688</v>
      </c>
      <c r="H50" s="165"/>
    </row>
  </sheetData>
  <mergeCells count="10">
    <mergeCell ref="G48:H48"/>
    <mergeCell ref="G49:H49"/>
    <mergeCell ref="G50:H50"/>
    <mergeCell ref="P3:R10"/>
    <mergeCell ref="P1:R1"/>
    <mergeCell ref="P2:R2"/>
    <mergeCell ref="G33:H33"/>
    <mergeCell ref="G34:H34"/>
    <mergeCell ref="G35:H35"/>
    <mergeCell ref="O44:P44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Fresh and T-LE Viability</vt:lpstr>
      <vt:lpstr>Explant Presto Blue</vt:lpstr>
      <vt:lpstr>Standardization Volume &amp; Weight</vt:lpstr>
      <vt:lpstr>sGAG Raw Data </vt:lpstr>
      <vt:lpstr>TGF-Beta Raw Data</vt:lpstr>
      <vt:lpstr>bmp-7 Raw Data </vt:lpstr>
      <vt:lpstr>bFGF Raw Data </vt:lpstr>
      <vt:lpstr>PRG-4 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Bledsoe</dc:creator>
  <cp:lastModifiedBy>Ruth Bledsoe</cp:lastModifiedBy>
  <dcterms:created xsi:type="dcterms:W3CDTF">2020-05-14T16:04:06Z</dcterms:created>
  <dcterms:modified xsi:type="dcterms:W3CDTF">2020-06-11T14:11:02Z</dcterms:modified>
</cp:coreProperties>
</file>