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512189\Desktop\2021 Submission\A Final Submission\"/>
    </mc:Choice>
  </mc:AlternateContent>
  <bookViews>
    <workbookView xWindow="-110" yWindow="-110" windowWidth="19420" windowHeight="10420" firstSheet="2" activeTab="5"/>
  </bookViews>
  <sheets>
    <sheet name="Economies of Scale" sheetId="16" r:id="rId1"/>
    <sheet name="Economies of Scale (2)" sheetId="29" state="hidden" r:id="rId2"/>
    <sheet name="Economies of Scope" sheetId="26" r:id="rId3"/>
    <sheet name="Economies of Scope (2)" sheetId="30" state="hidden" r:id="rId4"/>
    <sheet name="CEA " sheetId="25" state="hidden" r:id="rId5"/>
    <sheet name="CEA." sheetId="31" r:id="rId6"/>
    <sheet name="Cost Ratios" sheetId="7" state="hidden" r:id="rId7"/>
    <sheet name="Cost Drivers" sheetId="32" r:id="rId8"/>
    <sheet name="Sensitivity analysis" sheetId="28" state="hidden" r:id="rId9"/>
    <sheet name="Sensitivity analysis." sheetId="33" r:id="rId10"/>
    <sheet name="Total Budget" sheetId="14" r:id="rId11"/>
    <sheet name="Pediatrician" sheetId="1" r:id="rId12"/>
    <sheet name="GP or MO" sheetId="10" r:id="rId13"/>
    <sheet name="WBOT" sheetId="11" r:id="rId14"/>
    <sheet name="WBOT + Sampling" sheetId="12" r:id="rId15"/>
    <sheet name="Labour" sheetId="6" r:id="rId16"/>
    <sheet name="Food" sheetId="4" r:id="rId17"/>
    <sheet name="PZQ and ALB" sheetId="2" r:id="rId18"/>
    <sheet name="Lab Tests" sheetId="3" r:id="rId19"/>
    <sheet name="Mobile Clinic" sheetId="8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6" l="1"/>
  <c r="D3" i="31" l="1"/>
  <c r="F3" i="31"/>
  <c r="E3" i="31"/>
  <c r="T10" i="7" l="1"/>
  <c r="T9" i="7"/>
  <c r="T8" i="7"/>
  <c r="T7" i="7"/>
  <c r="F4" i="31" l="1"/>
  <c r="E4" i="31"/>
  <c r="D4" i="31"/>
  <c r="C4" i="31"/>
  <c r="C3" i="31"/>
  <c r="E43" i="30"/>
  <c r="D18" i="30"/>
  <c r="D16" i="30"/>
  <c r="D10" i="30"/>
  <c r="D7" i="30"/>
  <c r="D5" i="30"/>
  <c r="C4" i="8" l="1"/>
  <c r="D5" i="1" l="1"/>
  <c r="D19" i="1"/>
  <c r="D16" i="1"/>
  <c r="O9" i="7" s="1"/>
  <c r="E9" i="32" s="1"/>
  <c r="D5" i="10"/>
  <c r="O11" i="7" l="1"/>
  <c r="E10" i="32" s="1"/>
  <c r="S8" i="7"/>
  <c r="O6" i="7"/>
  <c r="S5" i="7"/>
  <c r="F5" i="25"/>
  <c r="E5" i="25"/>
  <c r="C3" i="25"/>
  <c r="F4" i="25"/>
  <c r="F3" i="25"/>
  <c r="E4" i="25"/>
  <c r="E3" i="25"/>
  <c r="D5" i="25"/>
  <c r="D4" i="25"/>
  <c r="D3" i="25"/>
  <c r="C5" i="25"/>
  <c r="C4" i="25"/>
  <c r="E43" i="26"/>
  <c r="D18" i="26"/>
  <c r="D16" i="26"/>
  <c r="D10" i="26"/>
  <c r="D7" i="26"/>
  <c r="D5" i="26"/>
  <c r="S10" i="7" l="1"/>
  <c r="D18" i="12"/>
  <c r="D16" i="12"/>
  <c r="D10" i="12"/>
  <c r="D7" i="12"/>
  <c r="O3" i="7" s="1"/>
  <c r="D5" i="12"/>
  <c r="D19" i="11"/>
  <c r="D16" i="11"/>
  <c r="D10" i="11"/>
  <c r="O7" i="7" s="1"/>
  <c r="D7" i="11"/>
  <c r="D5" i="11"/>
  <c r="D19" i="10"/>
  <c r="D16" i="10"/>
  <c r="D10" i="10"/>
  <c r="D7" i="10"/>
  <c r="S3" i="7" s="1"/>
  <c r="D10" i="1"/>
  <c r="D7" i="1"/>
  <c r="C11" i="8"/>
  <c r="D11" i="8" s="1"/>
  <c r="E11" i="8" s="1"/>
  <c r="C6" i="8"/>
  <c r="C7" i="8"/>
  <c r="C8" i="8"/>
  <c r="C9" i="8"/>
  <c r="C5" i="8"/>
  <c r="D5" i="8" s="1"/>
  <c r="D4" i="8"/>
  <c r="E4" i="8" s="1"/>
  <c r="E5" i="3"/>
  <c r="E6" i="3"/>
  <c r="E4" i="3"/>
  <c r="E3" i="3"/>
  <c r="D17" i="1" s="1"/>
  <c r="D5" i="6"/>
  <c r="G5" i="6" s="1"/>
  <c r="C8" i="6"/>
  <c r="D8" i="6" s="1"/>
  <c r="C5" i="6"/>
  <c r="C6" i="6"/>
  <c r="D6" i="6" s="1"/>
  <c r="C7" i="6"/>
  <c r="D7" i="6" s="1"/>
  <c r="C4" i="6"/>
  <c r="D4" i="6" s="1"/>
  <c r="E4" i="6" s="1"/>
  <c r="C3" i="6"/>
  <c r="D3" i="6" s="1"/>
  <c r="G3" i="6" s="1"/>
  <c r="G10" i="6"/>
  <c r="C10" i="8" l="1"/>
  <c r="D17" i="30"/>
  <c r="O10" i="7"/>
  <c r="S9" i="7" s="1"/>
  <c r="D17" i="12"/>
  <c r="D18" i="10"/>
  <c r="D18" i="11"/>
  <c r="D17" i="26"/>
  <c r="D18" i="1"/>
  <c r="K3" i="6"/>
  <c r="I3" i="6"/>
  <c r="I8" i="6"/>
  <c r="K5" i="6"/>
  <c r="I5" i="6"/>
  <c r="G8" i="6"/>
  <c r="G6" i="6"/>
  <c r="I4" i="6"/>
  <c r="K4" i="6" l="1"/>
  <c r="G4" i="6"/>
  <c r="E68" i="12" l="1"/>
  <c r="E44" i="11"/>
  <c r="D17" i="11"/>
  <c r="D22" i="30" s="1"/>
  <c r="E44" i="10"/>
  <c r="D17" i="10"/>
  <c r="E44" i="1"/>
  <c r="E5" i="8"/>
  <c r="H9" i="6"/>
  <c r="J9" i="6"/>
  <c r="F9" i="6"/>
  <c r="D6" i="8"/>
  <c r="E6" i="8" s="1"/>
  <c r="D7" i="8"/>
  <c r="E7" i="8" s="1"/>
  <c r="D8" i="8"/>
  <c r="E8" i="8" s="1"/>
  <c r="D9" i="8"/>
  <c r="E9" i="8" s="1"/>
  <c r="E10" i="8" l="1"/>
  <c r="D22" i="12"/>
  <c r="D22" i="26"/>
  <c r="G7" i="6"/>
  <c r="G9" i="6" s="1"/>
  <c r="I7" i="6"/>
  <c r="D9" i="6"/>
  <c r="D10" i="8"/>
  <c r="H3" i="2"/>
  <c r="D11" i="1" l="1"/>
  <c r="D11" i="10"/>
  <c r="D11" i="12"/>
  <c r="O5" i="7" s="1"/>
  <c r="D11" i="11"/>
  <c r="D3" i="2"/>
  <c r="F3" i="2" s="1"/>
  <c r="I3" i="2" s="1"/>
  <c r="K3" i="2" s="1"/>
  <c r="E7" i="6"/>
  <c r="K7" i="6" s="1"/>
  <c r="E9" i="6"/>
  <c r="E6" i="6"/>
  <c r="I6" i="6" s="1"/>
  <c r="I9" i="6" s="1"/>
  <c r="E8" i="6"/>
  <c r="K8" i="6" s="1"/>
  <c r="D15" i="30" l="1"/>
  <c r="D19" i="30" s="1"/>
  <c r="D15" i="26"/>
  <c r="D19" i="26" s="1"/>
  <c r="D15" i="12"/>
  <c r="D19" i="12" s="1"/>
  <c r="L23" i="26" s="1"/>
  <c r="D15" i="1"/>
  <c r="E7" i="32" s="1"/>
  <c r="D15" i="11"/>
  <c r="D20" i="11" s="1"/>
  <c r="D15" i="10"/>
  <c r="D20" i="10" s="1"/>
  <c r="H8" i="16" s="1"/>
  <c r="L37" i="26"/>
  <c r="L30" i="26"/>
  <c r="L13" i="26"/>
  <c r="L20" i="26"/>
  <c r="L5" i="26"/>
  <c r="L14" i="26"/>
  <c r="L36" i="26"/>
  <c r="L29" i="26"/>
  <c r="L22" i="26"/>
  <c r="L17" i="26"/>
  <c r="L12" i="26"/>
  <c r="L8" i="26"/>
  <c r="L4" i="26"/>
  <c r="L42" i="26"/>
  <c r="L16" i="26"/>
  <c r="L39" i="26"/>
  <c r="L24" i="26"/>
  <c r="L35" i="26"/>
  <c r="L28" i="26"/>
  <c r="L21" i="26"/>
  <c r="L11" i="26"/>
  <c r="L7" i="26"/>
  <c r="L27" i="26"/>
  <c r="L25" i="26"/>
  <c r="L38" i="26"/>
  <c r="L9" i="26"/>
  <c r="L41" i="26"/>
  <c r="L34" i="26"/>
  <c r="L26" i="26"/>
  <c r="L10" i="26"/>
  <c r="L6" i="26"/>
  <c r="L40" i="26"/>
  <c r="L33" i="26"/>
  <c r="L19" i="26"/>
  <c r="L15" i="26"/>
  <c r="L32" i="26"/>
  <c r="L31" i="26"/>
  <c r="H4" i="12"/>
  <c r="H29" i="12"/>
  <c r="H23" i="12"/>
  <c r="H36" i="12"/>
  <c r="H24" i="12"/>
  <c r="H40" i="12"/>
  <c r="H27" i="12"/>
  <c r="H18" i="12"/>
  <c r="H21" i="12"/>
  <c r="H34" i="12"/>
  <c r="H37" i="12"/>
  <c r="H28" i="12"/>
  <c r="H31" i="12"/>
  <c r="H33" i="12"/>
  <c r="H22" i="12"/>
  <c r="H25" i="12"/>
  <c r="H38" i="12"/>
  <c r="H41" i="12"/>
  <c r="H19" i="12"/>
  <c r="H32" i="12"/>
  <c r="H35" i="12"/>
  <c r="H26" i="12"/>
  <c r="H42" i="12"/>
  <c r="H20" i="12"/>
  <c r="H39" i="12"/>
  <c r="H30" i="12"/>
  <c r="L10" i="16"/>
  <c r="L12" i="16"/>
  <c r="L14" i="16"/>
  <c r="L16" i="16"/>
  <c r="L26" i="16"/>
  <c r="L28" i="16"/>
  <c r="L30" i="16"/>
  <c r="L32" i="16"/>
  <c r="L3" i="16"/>
  <c r="L5" i="16"/>
  <c r="L7" i="16"/>
  <c r="L9" i="16"/>
  <c r="L19" i="16"/>
  <c r="L21" i="16"/>
  <c r="L23" i="16"/>
  <c r="L25" i="16"/>
  <c r="L35" i="16"/>
  <c r="L37" i="16"/>
  <c r="L39" i="16"/>
  <c r="L41" i="16"/>
  <c r="H11" i="11"/>
  <c r="H7" i="11"/>
  <c r="H13" i="11"/>
  <c r="H17" i="11"/>
  <c r="H6" i="11"/>
  <c r="H15" i="11"/>
  <c r="P4" i="16"/>
  <c r="P6" i="16"/>
  <c r="P10" i="16"/>
  <c r="P12" i="16"/>
  <c r="P16" i="16"/>
  <c r="P18" i="16"/>
  <c r="P8" i="16"/>
  <c r="P14" i="16"/>
  <c r="P15" i="16"/>
  <c r="P20" i="16"/>
  <c r="P24" i="16"/>
  <c r="P28" i="16"/>
  <c r="P32" i="16"/>
  <c r="P36" i="16"/>
  <c r="P40" i="16"/>
  <c r="P5" i="16"/>
  <c r="P41" i="16"/>
  <c r="P17" i="16"/>
  <c r="P23" i="16"/>
  <c r="P35" i="16"/>
  <c r="P11" i="16"/>
  <c r="P21" i="16"/>
  <c r="P25" i="16"/>
  <c r="P29" i="16"/>
  <c r="P33" i="16"/>
  <c r="P37" i="16"/>
  <c r="P3" i="16"/>
  <c r="P19" i="16"/>
  <c r="P31" i="16"/>
  <c r="P7" i="16"/>
  <c r="P22" i="16"/>
  <c r="P26" i="16"/>
  <c r="P30" i="16"/>
  <c r="P34" i="16"/>
  <c r="P38" i="16"/>
  <c r="P13" i="16"/>
  <c r="P27" i="16"/>
  <c r="P39" i="16"/>
  <c r="P9" i="16"/>
  <c r="H14" i="12"/>
  <c r="H13" i="12"/>
  <c r="H9" i="12"/>
  <c r="H7" i="12"/>
  <c r="H10" i="12"/>
  <c r="H8" i="12"/>
  <c r="H12" i="12"/>
  <c r="H15" i="12"/>
  <c r="H11" i="12"/>
  <c r="H5" i="12"/>
  <c r="H6" i="12"/>
  <c r="H16" i="12"/>
  <c r="H17" i="12"/>
  <c r="H14" i="10"/>
  <c r="H6" i="16"/>
  <c r="H12" i="16"/>
  <c r="H18" i="16"/>
  <c r="H22" i="16"/>
  <c r="H28" i="16"/>
  <c r="H34" i="16"/>
  <c r="H38" i="16"/>
  <c r="H11" i="16"/>
  <c r="H29" i="16"/>
  <c r="H37" i="16"/>
  <c r="H9" i="16"/>
  <c r="H13" i="16"/>
  <c r="H23" i="16"/>
  <c r="H35" i="16"/>
  <c r="H9" i="10"/>
  <c r="H8" i="10"/>
  <c r="H4" i="10"/>
  <c r="H10" i="10"/>
  <c r="H12" i="10"/>
  <c r="K6" i="6"/>
  <c r="K9" i="6" s="1"/>
  <c r="H7" i="10" l="1"/>
  <c r="H6" i="10"/>
  <c r="H19" i="16"/>
  <c r="H33" i="16"/>
  <c r="H36" i="16"/>
  <c r="H20" i="16"/>
  <c r="H4" i="16"/>
  <c r="H11" i="10"/>
  <c r="H16" i="10"/>
  <c r="H15" i="16"/>
  <c r="H25" i="16"/>
  <c r="H32" i="16"/>
  <c r="H16" i="16"/>
  <c r="H17" i="10"/>
  <c r="H39" i="16"/>
  <c r="H17" i="16"/>
  <c r="H21" i="16"/>
  <c r="H30" i="16"/>
  <c r="H14" i="16"/>
  <c r="C18" i="33"/>
  <c r="E18" i="33"/>
  <c r="D18" i="33"/>
  <c r="H13" i="10"/>
  <c r="H31" i="16"/>
  <c r="H7" i="16"/>
  <c r="H5" i="16"/>
  <c r="H26" i="16"/>
  <c r="H10" i="16"/>
  <c r="L18" i="26"/>
  <c r="H5" i="10"/>
  <c r="H15" i="10"/>
  <c r="H27" i="16"/>
  <c r="H41" i="16"/>
  <c r="H40" i="16"/>
  <c r="H24" i="16"/>
  <c r="H3" i="16"/>
  <c r="H28" i="29"/>
  <c r="H12" i="29"/>
  <c r="H11" i="29"/>
  <c r="H10" i="29"/>
  <c r="H27" i="29"/>
  <c r="H26" i="29"/>
  <c r="H25" i="29"/>
  <c r="H5" i="29"/>
  <c r="H41" i="29"/>
  <c r="H24" i="29"/>
  <c r="H9" i="29"/>
  <c r="H6" i="29"/>
  <c r="H14" i="29"/>
  <c r="H40" i="29"/>
  <c r="H39" i="29"/>
  <c r="H38" i="29"/>
  <c r="H37" i="29"/>
  <c r="H23" i="29"/>
  <c r="H22" i="29"/>
  <c r="H21" i="29"/>
  <c r="H8" i="29"/>
  <c r="H7" i="29"/>
  <c r="H20" i="29"/>
  <c r="H4" i="29"/>
  <c r="H36" i="29"/>
  <c r="H3" i="29"/>
  <c r="H35" i="29"/>
  <c r="H34" i="29"/>
  <c r="H33" i="29"/>
  <c r="H19" i="29"/>
  <c r="H18" i="29"/>
  <c r="H17" i="29"/>
  <c r="H30" i="29"/>
  <c r="H13" i="29"/>
  <c r="H32" i="29"/>
  <c r="H16" i="29"/>
  <c r="H31" i="29"/>
  <c r="H29" i="29"/>
  <c r="H15" i="29"/>
  <c r="L41" i="29"/>
  <c r="L39" i="29"/>
  <c r="L24" i="29"/>
  <c r="L23" i="29"/>
  <c r="L40" i="29"/>
  <c r="L38" i="29"/>
  <c r="L37" i="29"/>
  <c r="L22" i="29"/>
  <c r="L21" i="29"/>
  <c r="L8" i="29"/>
  <c r="L7" i="29"/>
  <c r="L15" i="29"/>
  <c r="L36" i="29"/>
  <c r="L35" i="29"/>
  <c r="L20" i="29"/>
  <c r="L19" i="29"/>
  <c r="L6" i="29"/>
  <c r="L5" i="29"/>
  <c r="L4" i="29"/>
  <c r="L3" i="29"/>
  <c r="L34" i="29"/>
  <c r="L33" i="29"/>
  <c r="L18" i="29"/>
  <c r="L17" i="29"/>
  <c r="L32" i="29"/>
  <c r="L16" i="29"/>
  <c r="L31" i="29"/>
  <c r="L30" i="29"/>
  <c r="L29" i="29"/>
  <c r="L14" i="29"/>
  <c r="L13" i="29"/>
  <c r="L25" i="29"/>
  <c r="L28" i="29"/>
  <c r="L27" i="29"/>
  <c r="L12" i="29"/>
  <c r="L11" i="29"/>
  <c r="L10" i="29"/>
  <c r="L9" i="29"/>
  <c r="L26" i="29"/>
  <c r="H14" i="11"/>
  <c r="H10" i="11"/>
  <c r="L33" i="16"/>
  <c r="L17" i="16"/>
  <c r="L40" i="16"/>
  <c r="L24" i="16"/>
  <c r="L8" i="16"/>
  <c r="D20" i="1"/>
  <c r="O8" i="7"/>
  <c r="D9" i="30"/>
  <c r="D12" i="30" s="1"/>
  <c r="D9" i="26"/>
  <c r="D12" i="26" s="1"/>
  <c r="D9" i="12"/>
  <c r="H9" i="11"/>
  <c r="H8" i="11"/>
  <c r="L31" i="16"/>
  <c r="L15" i="16"/>
  <c r="L38" i="16"/>
  <c r="L22" i="16"/>
  <c r="L6" i="16"/>
  <c r="L42" i="30"/>
  <c r="L35" i="30"/>
  <c r="L24" i="30"/>
  <c r="L13" i="30"/>
  <c r="P36" i="29"/>
  <c r="P35" i="29"/>
  <c r="P20" i="29"/>
  <c r="P19" i="29"/>
  <c r="P5" i="29"/>
  <c r="P4" i="29"/>
  <c r="P3" i="29"/>
  <c r="L38" i="30"/>
  <c r="L31" i="30"/>
  <c r="L21" i="30"/>
  <c r="L15" i="30"/>
  <c r="L7" i="30"/>
  <c r="P34" i="29"/>
  <c r="P33" i="29"/>
  <c r="P18" i="29"/>
  <c r="P17" i="29"/>
  <c r="P9" i="29"/>
  <c r="P21" i="29"/>
  <c r="L41" i="30"/>
  <c r="L34" i="30"/>
  <c r="L27" i="30"/>
  <c r="L17" i="30"/>
  <c r="L12" i="30"/>
  <c r="L4" i="30"/>
  <c r="P32" i="29"/>
  <c r="P31" i="29"/>
  <c r="P16" i="29"/>
  <c r="P15" i="29"/>
  <c r="P28" i="29"/>
  <c r="P11" i="29"/>
  <c r="P37" i="29"/>
  <c r="L37" i="30"/>
  <c r="L30" i="30"/>
  <c r="L23" i="30"/>
  <c r="L20" i="30"/>
  <c r="L9" i="30"/>
  <c r="P30" i="29"/>
  <c r="P29" i="29"/>
  <c r="P14" i="29"/>
  <c r="P13" i="29"/>
  <c r="L6" i="30"/>
  <c r="P27" i="29"/>
  <c r="P12" i="29"/>
  <c r="P8" i="29"/>
  <c r="L40" i="30"/>
  <c r="L33" i="30"/>
  <c r="L26" i="30"/>
  <c r="L11" i="30"/>
  <c r="P10" i="29"/>
  <c r="L36" i="30"/>
  <c r="L29" i="30"/>
  <c r="L22" i="30"/>
  <c r="L19" i="30"/>
  <c r="P26" i="29"/>
  <c r="P25" i="29"/>
  <c r="L28" i="30"/>
  <c r="L8" i="30"/>
  <c r="P7" i="29"/>
  <c r="L32" i="30"/>
  <c r="L25" i="30"/>
  <c r="L16" i="30"/>
  <c r="L14" i="30"/>
  <c r="L10" i="30"/>
  <c r="L5" i="30"/>
  <c r="P41" i="29"/>
  <c r="P39" i="29"/>
  <c r="P24" i="29"/>
  <c r="P23" i="29"/>
  <c r="L39" i="30"/>
  <c r="L18" i="30"/>
  <c r="P40" i="29"/>
  <c r="P38" i="29"/>
  <c r="P22" i="29"/>
  <c r="P6" i="29"/>
  <c r="H16" i="11"/>
  <c r="H4" i="11"/>
  <c r="L29" i="16"/>
  <c r="L13" i="16"/>
  <c r="L36" i="16"/>
  <c r="L20" i="16"/>
  <c r="L4" i="16"/>
  <c r="H4" i="26"/>
  <c r="H41" i="26"/>
  <c r="H7" i="26"/>
  <c r="H18" i="26"/>
  <c r="H16" i="26"/>
  <c r="H26" i="26"/>
  <c r="H33" i="26"/>
  <c r="H37" i="26"/>
  <c r="H8" i="26"/>
  <c r="H27" i="26"/>
  <c r="H13" i="26"/>
  <c r="H23" i="26"/>
  <c r="H35" i="26"/>
  <c r="H25" i="26"/>
  <c r="H22" i="26"/>
  <c r="H38" i="26"/>
  <c r="H9" i="26"/>
  <c r="H14" i="26"/>
  <c r="H20" i="26"/>
  <c r="H31" i="26"/>
  <c r="H12" i="26"/>
  <c r="H6" i="26"/>
  <c r="H40" i="26"/>
  <c r="H11" i="26"/>
  <c r="H30" i="26"/>
  <c r="H29" i="26"/>
  <c r="H28" i="26"/>
  <c r="H5" i="26"/>
  <c r="H19" i="26"/>
  <c r="H32" i="26"/>
  <c r="H36" i="26"/>
  <c r="H17" i="26"/>
  <c r="H42" i="26"/>
  <c r="H10" i="26"/>
  <c r="H24" i="26"/>
  <c r="H39" i="26"/>
  <c r="H15" i="26"/>
  <c r="H34" i="26"/>
  <c r="H21" i="26"/>
  <c r="H5" i="11"/>
  <c r="H12" i="11"/>
  <c r="L27" i="16"/>
  <c r="L11" i="16"/>
  <c r="L34" i="16"/>
  <c r="L18" i="16"/>
  <c r="H5" i="30"/>
  <c r="H17" i="30"/>
  <c r="H22" i="30"/>
  <c r="H12" i="30"/>
  <c r="H13" i="30"/>
  <c r="H14" i="30"/>
  <c r="H10" i="30"/>
  <c r="H11" i="30"/>
  <c r="H6" i="30"/>
  <c r="H8" i="30"/>
  <c r="H26" i="30"/>
  <c r="H28" i="30"/>
  <c r="H21" i="30"/>
  <c r="H4" i="30"/>
  <c r="H15" i="30"/>
  <c r="H19" i="30"/>
  <c r="H7" i="30"/>
  <c r="H9" i="30"/>
  <c r="H42" i="30"/>
  <c r="H39" i="30"/>
  <c r="H20" i="30"/>
  <c r="H24" i="30"/>
  <c r="H35" i="30"/>
  <c r="H40" i="30"/>
  <c r="H41" i="30"/>
  <c r="H38" i="30"/>
  <c r="H16" i="30"/>
  <c r="H18" i="30"/>
  <c r="H31" i="30"/>
  <c r="H36" i="30"/>
  <c r="H37" i="30"/>
  <c r="H34" i="30"/>
  <c r="H27" i="30"/>
  <c r="H32" i="30"/>
  <c r="H33" i="30"/>
  <c r="H30" i="30"/>
  <c r="H23" i="30"/>
  <c r="H29" i="30"/>
  <c r="H25" i="30"/>
  <c r="D9" i="10"/>
  <c r="D9" i="1"/>
  <c r="D12" i="1" s="1"/>
  <c r="O4" i="7" l="1"/>
  <c r="E8" i="32" s="1"/>
  <c r="S4" i="7"/>
  <c r="D20" i="33"/>
  <c r="D21" i="33"/>
  <c r="D19" i="33"/>
  <c r="E5" i="33"/>
  <c r="C6" i="28"/>
  <c r="D5" i="33"/>
  <c r="C5" i="33"/>
  <c r="C6" i="33" s="1"/>
  <c r="D5" i="28"/>
  <c r="C20" i="33"/>
  <c r="C19" i="33"/>
  <c r="C21" i="33"/>
  <c r="E19" i="33"/>
  <c r="E20" i="33"/>
  <c r="E21" i="33"/>
  <c r="G32" i="30"/>
  <c r="G40" i="30"/>
  <c r="G20" i="30"/>
  <c r="G14" i="30"/>
  <c r="G30" i="30"/>
  <c r="G39" i="30"/>
  <c r="G36" i="30"/>
  <c r="G9" i="30"/>
  <c r="G22" i="30"/>
  <c r="G26" i="30"/>
  <c r="G35" i="30"/>
  <c r="G28" i="30"/>
  <c r="G8" i="30"/>
  <c r="G21" i="30"/>
  <c r="G16" i="30"/>
  <c r="G19" i="30"/>
  <c r="G17" i="30"/>
  <c r="G27" i="30"/>
  <c r="G6" i="30"/>
  <c r="G37" i="30"/>
  <c r="G10" i="30"/>
  <c r="G11" i="30"/>
  <c r="G23" i="30"/>
  <c r="G24" i="30"/>
  <c r="G33" i="30"/>
  <c r="G42" i="30"/>
  <c r="G5" i="30"/>
  <c r="G18" i="30"/>
  <c r="G13" i="30"/>
  <c r="G29" i="30"/>
  <c r="G38" i="30"/>
  <c r="G4" i="30"/>
  <c r="G12" i="30"/>
  <c r="G7" i="30"/>
  <c r="G25" i="30"/>
  <c r="G34" i="30"/>
  <c r="G31" i="30"/>
  <c r="G41" i="30"/>
  <c r="G15" i="30"/>
  <c r="E5" i="28"/>
  <c r="S7" i="7"/>
  <c r="C5" i="28"/>
  <c r="H4" i="1"/>
  <c r="D33" i="29"/>
  <c r="D32" i="29"/>
  <c r="D17" i="29"/>
  <c r="D16" i="29"/>
  <c r="D31" i="29"/>
  <c r="D30" i="29"/>
  <c r="D15" i="29"/>
  <c r="D14" i="29"/>
  <c r="D34" i="29"/>
  <c r="D29" i="29"/>
  <c r="D28" i="29"/>
  <c r="D13" i="29"/>
  <c r="D12" i="29"/>
  <c r="D11" i="29"/>
  <c r="D10" i="29"/>
  <c r="D25" i="29"/>
  <c r="D27" i="29"/>
  <c r="D26" i="29"/>
  <c r="D24" i="29"/>
  <c r="D40" i="29"/>
  <c r="D38" i="29"/>
  <c r="D41" i="29"/>
  <c r="D39" i="29"/>
  <c r="D23" i="29"/>
  <c r="D22" i="29"/>
  <c r="D9" i="29"/>
  <c r="D8" i="29"/>
  <c r="D7" i="29"/>
  <c r="D19" i="29"/>
  <c r="D37" i="29"/>
  <c r="D36" i="29"/>
  <c r="D21" i="29"/>
  <c r="D20" i="29"/>
  <c r="D6" i="29"/>
  <c r="D5" i="29"/>
  <c r="D4" i="29"/>
  <c r="D3" i="29"/>
  <c r="D35" i="29"/>
  <c r="D18" i="29"/>
  <c r="D15" i="16"/>
  <c r="D31" i="16"/>
  <c r="D22" i="16"/>
  <c r="D12" i="16"/>
  <c r="D36" i="16"/>
  <c r="H13" i="1"/>
  <c r="D7" i="16"/>
  <c r="H16" i="1"/>
  <c r="D9" i="16"/>
  <c r="H11" i="1"/>
  <c r="D17" i="16"/>
  <c r="D33" i="16"/>
  <c r="D30" i="16"/>
  <c r="D26" i="16"/>
  <c r="H9" i="1"/>
  <c r="H6" i="1"/>
  <c r="D18" i="16"/>
  <c r="D25" i="16"/>
  <c r="D11" i="16"/>
  <c r="D3" i="16"/>
  <c r="D19" i="16"/>
  <c r="D35" i="16"/>
  <c r="D38" i="16"/>
  <c r="D34" i="16"/>
  <c r="H17" i="1"/>
  <c r="H14" i="1"/>
  <c r="D39" i="16"/>
  <c r="D8" i="16"/>
  <c r="D27" i="16"/>
  <c r="H12" i="1"/>
  <c r="D16" i="16"/>
  <c r="D5" i="16"/>
  <c r="D21" i="16"/>
  <c r="D37" i="16"/>
  <c r="D4" i="16"/>
  <c r="D28" i="16"/>
  <c r="H10" i="1"/>
  <c r="H7" i="1"/>
  <c r="D23" i="16"/>
  <c r="H15" i="1"/>
  <c r="H8" i="1"/>
  <c r="D10" i="16"/>
  <c r="D6" i="16"/>
  <c r="D24" i="16"/>
  <c r="D41" i="16"/>
  <c r="D40" i="16"/>
  <c r="D13" i="16"/>
  <c r="D20" i="16"/>
  <c r="D32" i="16"/>
  <c r="D14" i="16"/>
  <c r="D29" i="16"/>
  <c r="H5" i="1"/>
  <c r="D12" i="12"/>
  <c r="G8" i="26"/>
  <c r="G36" i="26"/>
  <c r="G6" i="26"/>
  <c r="G14" i="26"/>
  <c r="G10" i="26"/>
  <c r="G37" i="26"/>
  <c r="G20" i="26"/>
  <c r="G30" i="26"/>
  <c r="G31" i="26"/>
  <c r="G32" i="26"/>
  <c r="G25" i="26"/>
  <c r="G5" i="26"/>
  <c r="G29" i="26"/>
  <c r="G4" i="26"/>
  <c r="G12" i="26"/>
  <c r="G23" i="26"/>
  <c r="G16" i="26"/>
  <c r="G22" i="26"/>
  <c r="G13" i="26"/>
  <c r="G34" i="26"/>
  <c r="G28" i="26"/>
  <c r="G39" i="26"/>
  <c r="G19" i="26"/>
  <c r="G21" i="26"/>
  <c r="G42" i="26"/>
  <c r="G38" i="26"/>
  <c r="G17" i="26"/>
  <c r="G26" i="26"/>
  <c r="G11" i="26"/>
  <c r="G15" i="26"/>
  <c r="G18" i="26"/>
  <c r="G40" i="26"/>
  <c r="G41" i="26"/>
  <c r="G35" i="26"/>
  <c r="G7" i="26"/>
  <c r="G33" i="26"/>
  <c r="G9" i="26"/>
  <c r="G24" i="26"/>
  <c r="G27" i="26"/>
  <c r="G15" i="1"/>
  <c r="I15" i="1" s="1"/>
  <c r="J15" i="1" s="1"/>
  <c r="G12" i="1"/>
  <c r="I12" i="1" s="1"/>
  <c r="J12" i="1" s="1"/>
  <c r="G5" i="1"/>
  <c r="G16" i="1"/>
  <c r="I16" i="1" s="1"/>
  <c r="J16" i="1" s="1"/>
  <c r="G13" i="1"/>
  <c r="I13" i="1" s="1"/>
  <c r="J13" i="1" s="1"/>
  <c r="G8" i="1"/>
  <c r="I8" i="1" s="1"/>
  <c r="J8" i="1" s="1"/>
  <c r="G9" i="1"/>
  <c r="I9" i="1" s="1"/>
  <c r="J9" i="1" s="1"/>
  <c r="G4" i="1"/>
  <c r="G6" i="1"/>
  <c r="I6" i="1" s="1"/>
  <c r="J6" i="1" s="1"/>
  <c r="G17" i="1"/>
  <c r="I17" i="1" s="1"/>
  <c r="J17" i="1" s="1"/>
  <c r="G14" i="1"/>
  <c r="I14" i="1" s="1"/>
  <c r="J14" i="1" s="1"/>
  <c r="G10" i="1"/>
  <c r="G7" i="1"/>
  <c r="I7" i="1" s="1"/>
  <c r="J7" i="1" s="1"/>
  <c r="G11" i="1"/>
  <c r="I11" i="1" s="1"/>
  <c r="J11" i="1" s="1"/>
  <c r="D9" i="11"/>
  <c r="D12" i="11" s="1"/>
  <c r="D12" i="10"/>
  <c r="I10" i="1" l="1"/>
  <c r="J10" i="1" s="1"/>
  <c r="I18" i="26"/>
  <c r="J18" i="26" s="1"/>
  <c r="P18" i="26"/>
  <c r="R18" i="26" s="1"/>
  <c r="I4" i="30"/>
  <c r="J4" i="30" s="1"/>
  <c r="P4" i="30"/>
  <c r="I24" i="30"/>
  <c r="J24" i="30" s="1"/>
  <c r="P24" i="30"/>
  <c r="R24" i="30" s="1"/>
  <c r="P19" i="30"/>
  <c r="I19" i="30"/>
  <c r="J19" i="30" s="1"/>
  <c r="I9" i="30"/>
  <c r="J9" i="30" s="1"/>
  <c r="P9" i="30"/>
  <c r="I24" i="26"/>
  <c r="J24" i="26" s="1"/>
  <c r="P24" i="26"/>
  <c r="I15" i="26"/>
  <c r="J15" i="26" s="1"/>
  <c r="P15" i="26"/>
  <c r="R15" i="26" s="1"/>
  <c r="P39" i="26"/>
  <c r="I39" i="26"/>
  <c r="J39" i="26" s="1"/>
  <c r="I4" i="26"/>
  <c r="J4" i="26" s="1"/>
  <c r="P4" i="26"/>
  <c r="I37" i="26"/>
  <c r="J37" i="26" s="1"/>
  <c r="P37" i="26"/>
  <c r="I15" i="30"/>
  <c r="J15" i="30" s="1"/>
  <c r="P15" i="30"/>
  <c r="P38" i="30"/>
  <c r="I38" i="30"/>
  <c r="J38" i="30" s="1"/>
  <c r="P23" i="30"/>
  <c r="R23" i="30" s="1"/>
  <c r="I23" i="30"/>
  <c r="J23" i="30" s="1"/>
  <c r="P16" i="30"/>
  <c r="I16" i="30"/>
  <c r="J16" i="30" s="1"/>
  <c r="I36" i="30"/>
  <c r="J36" i="30" s="1"/>
  <c r="P36" i="30"/>
  <c r="P10" i="26"/>
  <c r="I10" i="26"/>
  <c r="J10" i="26" s="1"/>
  <c r="E27" i="29"/>
  <c r="F27" i="29" s="1"/>
  <c r="P41" i="30"/>
  <c r="I41" i="30"/>
  <c r="J41" i="30" s="1"/>
  <c r="I29" i="30"/>
  <c r="J29" i="30" s="1"/>
  <c r="P29" i="30"/>
  <c r="I11" i="30"/>
  <c r="J11" i="30" s="1"/>
  <c r="P11" i="30"/>
  <c r="I21" i="30"/>
  <c r="J21" i="30" s="1"/>
  <c r="P21" i="30"/>
  <c r="P39" i="30"/>
  <c r="I39" i="30"/>
  <c r="J39" i="30" s="1"/>
  <c r="I30" i="30"/>
  <c r="J30" i="30" s="1"/>
  <c r="P30" i="30"/>
  <c r="I27" i="26"/>
  <c r="J27" i="26" s="1"/>
  <c r="P27" i="26"/>
  <c r="P20" i="26"/>
  <c r="I20" i="26"/>
  <c r="J20" i="26" s="1"/>
  <c r="I11" i="26"/>
  <c r="J11" i="26" s="1"/>
  <c r="P11" i="26"/>
  <c r="P33" i="26"/>
  <c r="I33" i="26"/>
  <c r="J33" i="26" s="1"/>
  <c r="I5" i="26"/>
  <c r="J5" i="26" s="1"/>
  <c r="P5" i="26"/>
  <c r="I8" i="30"/>
  <c r="J8" i="30" s="1"/>
  <c r="P8" i="30"/>
  <c r="R8" i="30" s="1"/>
  <c r="I7" i="26"/>
  <c r="J7" i="26" s="1"/>
  <c r="E9" i="25" s="1"/>
  <c r="P7" i="26"/>
  <c r="R7" i="26" s="1"/>
  <c r="I17" i="26"/>
  <c r="J17" i="26" s="1"/>
  <c r="P17" i="26"/>
  <c r="I13" i="26"/>
  <c r="J13" i="26" s="1"/>
  <c r="P13" i="26"/>
  <c r="R13" i="26" s="1"/>
  <c r="I25" i="26"/>
  <c r="J25" i="26" s="1"/>
  <c r="P25" i="26"/>
  <c r="R25" i="26" s="1"/>
  <c r="I6" i="26"/>
  <c r="J6" i="26" s="1"/>
  <c r="D8" i="31" s="1"/>
  <c r="P6" i="26"/>
  <c r="R6" i="26" s="1"/>
  <c r="P34" i="30"/>
  <c r="I34" i="30"/>
  <c r="J34" i="30" s="1"/>
  <c r="P18" i="30"/>
  <c r="I18" i="30"/>
  <c r="J18" i="30" s="1"/>
  <c r="I37" i="30"/>
  <c r="J37" i="30" s="1"/>
  <c r="P37" i="30"/>
  <c r="I28" i="30"/>
  <c r="J28" i="30" s="1"/>
  <c r="P28" i="30"/>
  <c r="P14" i="30"/>
  <c r="I14" i="30"/>
  <c r="J14" i="30" s="1"/>
  <c r="I19" i="26"/>
  <c r="J19" i="26" s="1"/>
  <c r="P19" i="26"/>
  <c r="I5" i="1"/>
  <c r="J5" i="1" s="1"/>
  <c r="I9" i="26"/>
  <c r="J9" i="26" s="1"/>
  <c r="P9" i="26"/>
  <c r="R9" i="26" s="1"/>
  <c r="P29" i="26"/>
  <c r="I29" i="26"/>
  <c r="J29" i="26" s="1"/>
  <c r="I34" i="26"/>
  <c r="J34" i="26" s="1"/>
  <c r="P34" i="26"/>
  <c r="R34" i="26" s="1"/>
  <c r="E14" i="29"/>
  <c r="F14" i="29" s="1"/>
  <c r="P31" i="30"/>
  <c r="I31" i="30"/>
  <c r="J31" i="30" s="1"/>
  <c r="I10" i="30"/>
  <c r="J10" i="30" s="1"/>
  <c r="P10" i="30"/>
  <c r="G31" i="29"/>
  <c r="I31" i="29" s="1"/>
  <c r="J31" i="29" s="1"/>
  <c r="G30" i="29"/>
  <c r="I30" i="29" s="1"/>
  <c r="J30" i="29" s="1"/>
  <c r="G29" i="29"/>
  <c r="I29" i="29" s="1"/>
  <c r="J29" i="29" s="1"/>
  <c r="G15" i="29"/>
  <c r="I15" i="29" s="1"/>
  <c r="J15" i="29" s="1"/>
  <c r="G14" i="29"/>
  <c r="I14" i="29" s="1"/>
  <c r="J14" i="29" s="1"/>
  <c r="G13" i="29"/>
  <c r="I13" i="29" s="1"/>
  <c r="J13" i="29" s="1"/>
  <c r="G28" i="29"/>
  <c r="I28" i="29" s="1"/>
  <c r="J28" i="29" s="1"/>
  <c r="G12" i="29"/>
  <c r="I12" i="29" s="1"/>
  <c r="J12" i="29" s="1"/>
  <c r="G11" i="29"/>
  <c r="I11" i="29" s="1"/>
  <c r="J11" i="29" s="1"/>
  <c r="G10" i="29"/>
  <c r="I10" i="29" s="1"/>
  <c r="J10" i="29" s="1"/>
  <c r="G38" i="29"/>
  <c r="I38" i="29" s="1"/>
  <c r="J38" i="29" s="1"/>
  <c r="G27" i="29"/>
  <c r="I27" i="29" s="1"/>
  <c r="J27" i="29" s="1"/>
  <c r="G26" i="29"/>
  <c r="I26" i="29" s="1"/>
  <c r="J26" i="29" s="1"/>
  <c r="G25" i="29"/>
  <c r="I25" i="29" s="1"/>
  <c r="J25" i="29" s="1"/>
  <c r="G22" i="29"/>
  <c r="I22" i="29" s="1"/>
  <c r="J22" i="29" s="1"/>
  <c r="G8" i="29"/>
  <c r="I8" i="29" s="1"/>
  <c r="J8" i="29" s="1"/>
  <c r="G41" i="29"/>
  <c r="I41" i="29" s="1"/>
  <c r="J41" i="29" s="1"/>
  <c r="G24" i="29"/>
  <c r="I24" i="29" s="1"/>
  <c r="J24" i="29" s="1"/>
  <c r="G9" i="29"/>
  <c r="I9" i="29" s="1"/>
  <c r="J9" i="29" s="1"/>
  <c r="G39" i="29"/>
  <c r="I39" i="29" s="1"/>
  <c r="J39" i="29" s="1"/>
  <c r="G37" i="29"/>
  <c r="I37" i="29" s="1"/>
  <c r="J37" i="29" s="1"/>
  <c r="G23" i="29"/>
  <c r="I23" i="29" s="1"/>
  <c r="J23" i="29" s="1"/>
  <c r="G21" i="29"/>
  <c r="I21" i="29" s="1"/>
  <c r="J21" i="29" s="1"/>
  <c r="G7" i="29"/>
  <c r="I7" i="29" s="1"/>
  <c r="J7" i="29" s="1"/>
  <c r="G40" i="29"/>
  <c r="I40" i="29" s="1"/>
  <c r="J40" i="29" s="1"/>
  <c r="G36" i="29"/>
  <c r="I36" i="29" s="1"/>
  <c r="J36" i="29" s="1"/>
  <c r="G20" i="29"/>
  <c r="I20" i="29" s="1"/>
  <c r="J20" i="29" s="1"/>
  <c r="G6" i="29"/>
  <c r="I6" i="29" s="1"/>
  <c r="J6" i="29" s="1"/>
  <c r="G5" i="29"/>
  <c r="I5" i="29" s="1"/>
  <c r="J5" i="29" s="1"/>
  <c r="G4" i="29"/>
  <c r="I4" i="29" s="1"/>
  <c r="J4" i="29" s="1"/>
  <c r="G3" i="29"/>
  <c r="I3" i="29" s="1"/>
  <c r="J3" i="29" s="1"/>
  <c r="G32" i="29"/>
  <c r="I32" i="29" s="1"/>
  <c r="J32" i="29" s="1"/>
  <c r="G16" i="29"/>
  <c r="I16" i="29" s="1"/>
  <c r="J16" i="29" s="1"/>
  <c r="G35" i="29"/>
  <c r="I35" i="29" s="1"/>
  <c r="J35" i="29" s="1"/>
  <c r="G34" i="29"/>
  <c r="I34" i="29" s="1"/>
  <c r="J34" i="29" s="1"/>
  <c r="G33" i="29"/>
  <c r="I33" i="29" s="1"/>
  <c r="J33" i="29" s="1"/>
  <c r="G19" i="29"/>
  <c r="I19" i="29" s="1"/>
  <c r="J19" i="29" s="1"/>
  <c r="G18" i="29"/>
  <c r="I18" i="29" s="1"/>
  <c r="J18" i="29" s="1"/>
  <c r="G17" i="29"/>
  <c r="I17" i="29" s="1"/>
  <c r="J17" i="29" s="1"/>
  <c r="C33" i="16"/>
  <c r="E33" i="16" s="1"/>
  <c r="F33" i="16" s="1"/>
  <c r="C35" i="29"/>
  <c r="C34" i="29"/>
  <c r="E34" i="29" s="1"/>
  <c r="F34" i="29" s="1"/>
  <c r="C19" i="29"/>
  <c r="E19" i="29" s="1"/>
  <c r="F19" i="29" s="1"/>
  <c r="C18" i="29"/>
  <c r="E18" i="29" s="1"/>
  <c r="F18" i="29" s="1"/>
  <c r="C33" i="29"/>
  <c r="E33" i="29" s="1"/>
  <c r="F33" i="29" s="1"/>
  <c r="C32" i="29"/>
  <c r="E32" i="29" s="1"/>
  <c r="F32" i="29" s="1"/>
  <c r="C17" i="29"/>
  <c r="E17" i="29" s="1"/>
  <c r="F17" i="29" s="1"/>
  <c r="C16" i="29"/>
  <c r="C27" i="29"/>
  <c r="C31" i="29"/>
  <c r="C30" i="29"/>
  <c r="C15" i="29"/>
  <c r="E15" i="29" s="1"/>
  <c r="F15" i="29" s="1"/>
  <c r="C14" i="29"/>
  <c r="C6" i="29"/>
  <c r="E6" i="29" s="1"/>
  <c r="F6" i="29" s="1"/>
  <c r="C29" i="29"/>
  <c r="E29" i="29" s="1"/>
  <c r="F29" i="29" s="1"/>
  <c r="C28" i="29"/>
  <c r="E28" i="29" s="1"/>
  <c r="F28" i="29" s="1"/>
  <c r="C13" i="29"/>
  <c r="C12" i="29"/>
  <c r="C11" i="29"/>
  <c r="E11" i="29" s="1"/>
  <c r="F11" i="29" s="1"/>
  <c r="C10" i="29"/>
  <c r="E10" i="29" s="1"/>
  <c r="F10" i="29" s="1"/>
  <c r="C36" i="29"/>
  <c r="E36" i="29" s="1"/>
  <c r="F36" i="29" s="1"/>
  <c r="C5" i="29"/>
  <c r="E5" i="29" s="1"/>
  <c r="F5" i="29" s="1"/>
  <c r="C26" i="29"/>
  <c r="E26" i="29" s="1"/>
  <c r="F26" i="29" s="1"/>
  <c r="C20" i="29"/>
  <c r="E20" i="29" s="1"/>
  <c r="F20" i="29" s="1"/>
  <c r="C3" i="29"/>
  <c r="C40" i="29"/>
  <c r="C38" i="29"/>
  <c r="E38" i="29" s="1"/>
  <c r="F38" i="29" s="1"/>
  <c r="C25" i="29"/>
  <c r="E25" i="29" s="1"/>
  <c r="F25" i="29" s="1"/>
  <c r="C24" i="29"/>
  <c r="E24" i="29" s="1"/>
  <c r="F24" i="29" s="1"/>
  <c r="C37" i="29"/>
  <c r="E37" i="29" s="1"/>
  <c r="F37" i="29" s="1"/>
  <c r="C21" i="29"/>
  <c r="E21" i="29" s="1"/>
  <c r="F21" i="29" s="1"/>
  <c r="C4" i="29"/>
  <c r="C41" i="29"/>
  <c r="C39" i="29"/>
  <c r="E39" i="29" s="1"/>
  <c r="F39" i="29" s="1"/>
  <c r="C23" i="29"/>
  <c r="E23" i="29" s="1"/>
  <c r="F23" i="29" s="1"/>
  <c r="C22" i="29"/>
  <c r="E22" i="29" s="1"/>
  <c r="F22" i="29" s="1"/>
  <c r="C9" i="29"/>
  <c r="E9" i="29" s="1"/>
  <c r="F9" i="29" s="1"/>
  <c r="C8" i="29"/>
  <c r="E8" i="29" s="1"/>
  <c r="F8" i="29" s="1"/>
  <c r="C7" i="29"/>
  <c r="P35" i="26"/>
  <c r="I35" i="26"/>
  <c r="J35" i="26" s="1"/>
  <c r="I38" i="26"/>
  <c r="J38" i="26" s="1"/>
  <c r="P38" i="26"/>
  <c r="I22" i="26"/>
  <c r="J22" i="26" s="1"/>
  <c r="P22" i="26"/>
  <c r="I32" i="26"/>
  <c r="J32" i="26" s="1"/>
  <c r="P32" i="26"/>
  <c r="P36" i="26"/>
  <c r="I36" i="26"/>
  <c r="J36" i="26" s="1"/>
  <c r="E35" i="29"/>
  <c r="F35" i="29" s="1"/>
  <c r="E41" i="29"/>
  <c r="F41" i="29" s="1"/>
  <c r="E30" i="29"/>
  <c r="F30" i="29" s="1"/>
  <c r="I25" i="30"/>
  <c r="J25" i="30" s="1"/>
  <c r="P25" i="30"/>
  <c r="I5" i="30"/>
  <c r="J5" i="30" s="1"/>
  <c r="P5" i="30"/>
  <c r="R5" i="30" s="1"/>
  <c r="I6" i="30"/>
  <c r="J6" i="30" s="1"/>
  <c r="P6" i="30"/>
  <c r="P35" i="30"/>
  <c r="I35" i="30"/>
  <c r="J35" i="30" s="1"/>
  <c r="P20" i="30"/>
  <c r="I20" i="30"/>
  <c r="J20" i="30" s="1"/>
  <c r="P12" i="26"/>
  <c r="I12" i="26"/>
  <c r="J12" i="26" s="1"/>
  <c r="I28" i="26"/>
  <c r="J28" i="26" s="1"/>
  <c r="P28" i="26"/>
  <c r="I26" i="26"/>
  <c r="J26" i="26" s="1"/>
  <c r="P26" i="26"/>
  <c r="I14" i="26"/>
  <c r="J14" i="26" s="1"/>
  <c r="P14" i="26"/>
  <c r="P13" i="30"/>
  <c r="I13" i="30"/>
  <c r="J13" i="30" s="1"/>
  <c r="K26" i="29"/>
  <c r="M26" i="29" s="1"/>
  <c r="N26" i="29" s="1"/>
  <c r="K25" i="29"/>
  <c r="M25" i="29" s="1"/>
  <c r="N25" i="29" s="1"/>
  <c r="K41" i="29"/>
  <c r="M41" i="29" s="1"/>
  <c r="N41" i="29" s="1"/>
  <c r="K39" i="29"/>
  <c r="M39" i="29" s="1"/>
  <c r="N39" i="29" s="1"/>
  <c r="K24" i="29"/>
  <c r="M24" i="29" s="1"/>
  <c r="N24" i="29" s="1"/>
  <c r="K23" i="29"/>
  <c r="M23" i="29" s="1"/>
  <c r="N23" i="29" s="1"/>
  <c r="K9" i="29"/>
  <c r="M9" i="29" s="1"/>
  <c r="N9" i="29" s="1"/>
  <c r="K40" i="29"/>
  <c r="M40" i="29" s="1"/>
  <c r="N40" i="29" s="1"/>
  <c r="K38" i="29"/>
  <c r="M38" i="29" s="1"/>
  <c r="N38" i="29" s="1"/>
  <c r="K37" i="29"/>
  <c r="M37" i="29" s="1"/>
  <c r="N37" i="29" s="1"/>
  <c r="K22" i="29"/>
  <c r="M22" i="29" s="1"/>
  <c r="N22" i="29" s="1"/>
  <c r="K21" i="29"/>
  <c r="M21" i="29" s="1"/>
  <c r="N21" i="29" s="1"/>
  <c r="K8" i="29"/>
  <c r="M8" i="29" s="1"/>
  <c r="N8" i="29" s="1"/>
  <c r="K7" i="29"/>
  <c r="M7" i="29" s="1"/>
  <c r="N7" i="29" s="1"/>
  <c r="K34" i="29"/>
  <c r="M34" i="29" s="1"/>
  <c r="N34" i="29" s="1"/>
  <c r="K18" i="29"/>
  <c r="M18" i="29" s="1"/>
  <c r="N18" i="29" s="1"/>
  <c r="K36" i="29"/>
  <c r="M36" i="29" s="1"/>
  <c r="N36" i="29" s="1"/>
  <c r="K35" i="29"/>
  <c r="M35" i="29" s="1"/>
  <c r="N35" i="29" s="1"/>
  <c r="K20" i="29"/>
  <c r="M20" i="29" s="1"/>
  <c r="N20" i="29" s="1"/>
  <c r="K19" i="29"/>
  <c r="M19" i="29" s="1"/>
  <c r="N19" i="29" s="1"/>
  <c r="K6" i="29"/>
  <c r="M6" i="29" s="1"/>
  <c r="N6" i="29" s="1"/>
  <c r="K5" i="29"/>
  <c r="M5" i="29" s="1"/>
  <c r="N5" i="29" s="1"/>
  <c r="K4" i="29"/>
  <c r="M4" i="29" s="1"/>
  <c r="N4" i="29" s="1"/>
  <c r="K3" i="29"/>
  <c r="M3" i="29" s="1"/>
  <c r="N3" i="29" s="1"/>
  <c r="K12" i="29"/>
  <c r="M12" i="29" s="1"/>
  <c r="N12" i="29" s="1"/>
  <c r="K33" i="29"/>
  <c r="M33" i="29" s="1"/>
  <c r="N33" i="29" s="1"/>
  <c r="K17" i="29"/>
  <c r="M17" i="29" s="1"/>
  <c r="N17" i="29" s="1"/>
  <c r="K10" i="29"/>
  <c r="M10" i="29" s="1"/>
  <c r="N10" i="29" s="1"/>
  <c r="K32" i="29"/>
  <c r="M32" i="29" s="1"/>
  <c r="N32" i="29" s="1"/>
  <c r="K31" i="29"/>
  <c r="M31" i="29" s="1"/>
  <c r="N31" i="29" s="1"/>
  <c r="K16" i="29"/>
  <c r="M16" i="29" s="1"/>
  <c r="N16" i="29" s="1"/>
  <c r="K15" i="29"/>
  <c r="M15" i="29" s="1"/>
  <c r="N15" i="29" s="1"/>
  <c r="K28" i="29"/>
  <c r="M28" i="29" s="1"/>
  <c r="N28" i="29" s="1"/>
  <c r="K27" i="29"/>
  <c r="M27" i="29" s="1"/>
  <c r="N27" i="29" s="1"/>
  <c r="K30" i="29"/>
  <c r="M30" i="29" s="1"/>
  <c r="N30" i="29" s="1"/>
  <c r="K29" i="29"/>
  <c r="M29" i="29" s="1"/>
  <c r="N29" i="29" s="1"/>
  <c r="K14" i="29"/>
  <c r="M14" i="29" s="1"/>
  <c r="N14" i="29" s="1"/>
  <c r="K13" i="29"/>
  <c r="M13" i="29" s="1"/>
  <c r="N13" i="29" s="1"/>
  <c r="K11" i="29"/>
  <c r="M11" i="29" s="1"/>
  <c r="N11" i="29" s="1"/>
  <c r="I41" i="26"/>
  <c r="J41" i="26" s="1"/>
  <c r="P41" i="26"/>
  <c r="I42" i="26"/>
  <c r="J42" i="26" s="1"/>
  <c r="P42" i="26"/>
  <c r="I16" i="26"/>
  <c r="J16" i="26" s="1"/>
  <c r="P16" i="26"/>
  <c r="I31" i="26"/>
  <c r="J31" i="26" s="1"/>
  <c r="P31" i="26"/>
  <c r="R31" i="26" s="1"/>
  <c r="P8" i="26"/>
  <c r="I8" i="26"/>
  <c r="J8" i="26" s="1"/>
  <c r="E3" i="29"/>
  <c r="F3" i="29" s="1"/>
  <c r="E12" i="29"/>
  <c r="F12" i="29" s="1"/>
  <c r="E31" i="29"/>
  <c r="F31" i="29" s="1"/>
  <c r="I7" i="30"/>
  <c r="J7" i="30" s="1"/>
  <c r="P7" i="30"/>
  <c r="P42" i="30"/>
  <c r="R42" i="30" s="1"/>
  <c r="I42" i="30"/>
  <c r="J42" i="30" s="1"/>
  <c r="P27" i="30"/>
  <c r="I27" i="30"/>
  <c r="J27" i="30" s="1"/>
  <c r="P26" i="30"/>
  <c r="I26" i="30"/>
  <c r="J26" i="30" s="1"/>
  <c r="I40" i="30"/>
  <c r="J40" i="30" s="1"/>
  <c r="P40" i="30"/>
  <c r="R40" i="30" s="1"/>
  <c r="I40" i="26"/>
  <c r="J40" i="26" s="1"/>
  <c r="P40" i="26"/>
  <c r="P21" i="26"/>
  <c r="I21" i="26"/>
  <c r="J21" i="26" s="1"/>
  <c r="I23" i="26"/>
  <c r="J23" i="26" s="1"/>
  <c r="P23" i="26"/>
  <c r="I30" i="26"/>
  <c r="J30" i="26" s="1"/>
  <c r="P30" i="26"/>
  <c r="R30" i="26" s="1"/>
  <c r="K29" i="26"/>
  <c r="K39" i="30"/>
  <c r="K28" i="30"/>
  <c r="K18" i="30"/>
  <c r="K8" i="30"/>
  <c r="O40" i="29"/>
  <c r="Q40" i="29" s="1"/>
  <c r="R40" i="29" s="1"/>
  <c r="O38" i="29"/>
  <c r="Q38" i="29" s="1"/>
  <c r="R38" i="29" s="1"/>
  <c r="O37" i="29"/>
  <c r="Q37" i="29" s="1"/>
  <c r="R37" i="29" s="1"/>
  <c r="O22" i="29"/>
  <c r="Q22" i="29" s="1"/>
  <c r="R22" i="29" s="1"/>
  <c r="O21" i="29"/>
  <c r="Q21" i="29" s="1"/>
  <c r="R21" i="29" s="1"/>
  <c r="O8" i="29"/>
  <c r="Q8" i="29" s="1"/>
  <c r="R8" i="29" s="1"/>
  <c r="O7" i="29"/>
  <c r="Q7" i="29" s="1"/>
  <c r="R7" i="29" s="1"/>
  <c r="O6" i="29"/>
  <c r="Q6" i="29" s="1"/>
  <c r="R6" i="29" s="1"/>
  <c r="K42" i="30"/>
  <c r="K35" i="30"/>
  <c r="K24" i="30"/>
  <c r="K13" i="30"/>
  <c r="O36" i="29"/>
  <c r="Q36" i="29" s="1"/>
  <c r="R36" i="29" s="1"/>
  <c r="O35" i="29"/>
  <c r="Q35" i="29" s="1"/>
  <c r="R35" i="29" s="1"/>
  <c r="O20" i="29"/>
  <c r="Q20" i="29" s="1"/>
  <c r="R20" i="29" s="1"/>
  <c r="O19" i="29"/>
  <c r="Q19" i="29" s="1"/>
  <c r="R19" i="29" s="1"/>
  <c r="O5" i="29"/>
  <c r="Q5" i="29" s="1"/>
  <c r="R5" i="29" s="1"/>
  <c r="O4" i="29"/>
  <c r="Q4" i="29" s="1"/>
  <c r="R4" i="29" s="1"/>
  <c r="O3" i="29"/>
  <c r="Q3" i="29" s="1"/>
  <c r="R3" i="29" s="1"/>
  <c r="K38" i="30"/>
  <c r="K31" i="30"/>
  <c r="K21" i="30"/>
  <c r="K15" i="30"/>
  <c r="K7" i="30"/>
  <c r="O34" i="29"/>
  <c r="Q34" i="29" s="1"/>
  <c r="R34" i="29" s="1"/>
  <c r="O33" i="29"/>
  <c r="Q33" i="29" s="1"/>
  <c r="R33" i="29" s="1"/>
  <c r="O18" i="29"/>
  <c r="Q18" i="29" s="1"/>
  <c r="R18" i="29" s="1"/>
  <c r="O17" i="29"/>
  <c r="Q17" i="29" s="1"/>
  <c r="R17" i="29" s="1"/>
  <c r="O30" i="29"/>
  <c r="Q30" i="29" s="1"/>
  <c r="R30" i="29" s="1"/>
  <c r="O14" i="29"/>
  <c r="Q14" i="29" s="1"/>
  <c r="R14" i="29" s="1"/>
  <c r="O24" i="29"/>
  <c r="Q24" i="29" s="1"/>
  <c r="R24" i="29" s="1"/>
  <c r="K41" i="30"/>
  <c r="K34" i="30"/>
  <c r="K27" i="30"/>
  <c r="K17" i="30"/>
  <c r="K12" i="30"/>
  <c r="K4" i="30"/>
  <c r="O32" i="29"/>
  <c r="Q32" i="29" s="1"/>
  <c r="R32" i="29" s="1"/>
  <c r="O31" i="29"/>
  <c r="Q31" i="29" s="1"/>
  <c r="R31" i="29" s="1"/>
  <c r="O16" i="29"/>
  <c r="Q16" i="29" s="1"/>
  <c r="R16" i="29" s="1"/>
  <c r="O15" i="29"/>
  <c r="Q15" i="29" s="1"/>
  <c r="R15" i="29" s="1"/>
  <c r="O23" i="29"/>
  <c r="Q23" i="29" s="1"/>
  <c r="R23" i="29" s="1"/>
  <c r="K37" i="30"/>
  <c r="K30" i="30"/>
  <c r="K23" i="30"/>
  <c r="K20" i="30"/>
  <c r="K9" i="30"/>
  <c r="O29" i="29"/>
  <c r="Q29" i="29" s="1"/>
  <c r="R29" i="29" s="1"/>
  <c r="O13" i="29"/>
  <c r="Q13" i="29" s="1"/>
  <c r="R13" i="29" s="1"/>
  <c r="K40" i="30"/>
  <c r="K33" i="30"/>
  <c r="K26" i="30"/>
  <c r="K11" i="30"/>
  <c r="K6" i="30"/>
  <c r="O28" i="29"/>
  <c r="Q28" i="29" s="1"/>
  <c r="R28" i="29" s="1"/>
  <c r="O27" i="29"/>
  <c r="Q27" i="29" s="1"/>
  <c r="R27" i="29" s="1"/>
  <c r="O12" i="29"/>
  <c r="Q12" i="29" s="1"/>
  <c r="R12" i="29" s="1"/>
  <c r="O11" i="29"/>
  <c r="Q11" i="29" s="1"/>
  <c r="R11" i="29" s="1"/>
  <c r="O10" i="29"/>
  <c r="Q10" i="29" s="1"/>
  <c r="R10" i="29" s="1"/>
  <c r="O9" i="29"/>
  <c r="Q9" i="29" s="1"/>
  <c r="R9" i="29" s="1"/>
  <c r="K16" i="30"/>
  <c r="O41" i="29"/>
  <c r="Q41" i="29" s="1"/>
  <c r="R41" i="29" s="1"/>
  <c r="O39" i="29"/>
  <c r="Q39" i="29" s="1"/>
  <c r="R39" i="29" s="1"/>
  <c r="K36" i="30"/>
  <c r="K29" i="30"/>
  <c r="K22" i="30"/>
  <c r="K19" i="30"/>
  <c r="O26" i="29"/>
  <c r="Q26" i="29" s="1"/>
  <c r="R26" i="29" s="1"/>
  <c r="O25" i="29"/>
  <c r="Q25" i="29" s="1"/>
  <c r="R25" i="29" s="1"/>
  <c r="K32" i="30"/>
  <c r="K25" i="30"/>
  <c r="K14" i="30"/>
  <c r="K10" i="30"/>
  <c r="K5" i="30"/>
  <c r="G21" i="12"/>
  <c r="I21" i="12" s="1"/>
  <c r="J21" i="12" s="1"/>
  <c r="K21" i="26"/>
  <c r="G42" i="12"/>
  <c r="I42" i="12" s="1"/>
  <c r="J42" i="12" s="1"/>
  <c r="K20" i="26"/>
  <c r="G41" i="12"/>
  <c r="I41" i="12" s="1"/>
  <c r="J41" i="12" s="1"/>
  <c r="K40" i="26"/>
  <c r="K11" i="26"/>
  <c r="G24" i="12"/>
  <c r="I24" i="12" s="1"/>
  <c r="J24" i="12" s="1"/>
  <c r="G35" i="12"/>
  <c r="I35" i="12" s="1"/>
  <c r="J35" i="12" s="1"/>
  <c r="K17" i="26"/>
  <c r="K13" i="26"/>
  <c r="G36" i="12"/>
  <c r="I36" i="12" s="1"/>
  <c r="J36" i="12" s="1"/>
  <c r="G37" i="12"/>
  <c r="I37" i="12" s="1"/>
  <c r="J37" i="12" s="1"/>
  <c r="G25" i="12"/>
  <c r="I25" i="12" s="1"/>
  <c r="J25" i="12" s="1"/>
  <c r="O3" i="16"/>
  <c r="K37" i="26"/>
  <c r="G23" i="12"/>
  <c r="I23" i="12" s="1"/>
  <c r="J23" i="12" s="1"/>
  <c r="K38" i="26"/>
  <c r="K41" i="26"/>
  <c r="K32" i="26"/>
  <c r="K24" i="26"/>
  <c r="G29" i="12"/>
  <c r="I29" i="12" s="1"/>
  <c r="J29" i="12" s="1"/>
  <c r="K28" i="26"/>
  <c r="K7" i="26"/>
  <c r="G20" i="12"/>
  <c r="I20" i="12" s="1"/>
  <c r="J20" i="12" s="1"/>
  <c r="G28" i="12"/>
  <c r="I28" i="12" s="1"/>
  <c r="J28" i="12" s="1"/>
  <c r="G4" i="12"/>
  <c r="I4" i="12" s="1"/>
  <c r="J4" i="12" s="1"/>
  <c r="G27" i="12"/>
  <c r="I27" i="12" s="1"/>
  <c r="J27" i="12" s="1"/>
  <c r="K10" i="26"/>
  <c r="K39" i="26"/>
  <c r="K35" i="26"/>
  <c r="K27" i="26"/>
  <c r="K42" i="26"/>
  <c r="G32" i="12"/>
  <c r="I32" i="12" s="1"/>
  <c r="J32" i="12" s="1"/>
  <c r="G40" i="12"/>
  <c r="I40" i="12" s="1"/>
  <c r="J40" i="12" s="1"/>
  <c r="K22" i="26"/>
  <c r="K4" i="26"/>
  <c r="K12" i="26"/>
  <c r="K25" i="26"/>
  <c r="G18" i="12"/>
  <c r="I18" i="12" s="1"/>
  <c r="J18" i="12" s="1"/>
  <c r="K23" i="26"/>
  <c r="K26" i="26"/>
  <c r="K31" i="26"/>
  <c r="G26" i="12"/>
  <c r="I26" i="12" s="1"/>
  <c r="J26" i="12" s="1"/>
  <c r="K16" i="26"/>
  <c r="K14" i="26"/>
  <c r="K9" i="26"/>
  <c r="G33" i="12"/>
  <c r="I33" i="12" s="1"/>
  <c r="J33" i="12" s="1"/>
  <c r="G39" i="12"/>
  <c r="I39" i="12" s="1"/>
  <c r="J39" i="12" s="1"/>
  <c r="K36" i="26"/>
  <c r="K8" i="26"/>
  <c r="K15" i="26"/>
  <c r="G38" i="12"/>
  <c r="I38" i="12" s="1"/>
  <c r="J38" i="12" s="1"/>
  <c r="K19" i="26"/>
  <c r="G19" i="12"/>
  <c r="I19" i="12" s="1"/>
  <c r="J19" i="12" s="1"/>
  <c r="G30" i="12"/>
  <c r="I30" i="12" s="1"/>
  <c r="J30" i="12" s="1"/>
  <c r="K33" i="26"/>
  <c r="G22" i="12"/>
  <c r="I22" i="12" s="1"/>
  <c r="J22" i="12" s="1"/>
  <c r="K6" i="26"/>
  <c r="G34" i="12"/>
  <c r="I34" i="12" s="1"/>
  <c r="J34" i="12" s="1"/>
  <c r="K30" i="26"/>
  <c r="K34" i="26"/>
  <c r="K18" i="26"/>
  <c r="G31" i="12"/>
  <c r="I31" i="12" s="1"/>
  <c r="J31" i="12" s="1"/>
  <c r="K5" i="26"/>
  <c r="E4" i="29"/>
  <c r="F4" i="29" s="1"/>
  <c r="E7" i="29"/>
  <c r="F7" i="29" s="1"/>
  <c r="E40" i="29"/>
  <c r="F40" i="29" s="1"/>
  <c r="E13" i="29"/>
  <c r="F13" i="29" s="1"/>
  <c r="E16" i="29"/>
  <c r="F16" i="29" s="1"/>
  <c r="P12" i="30"/>
  <c r="I12" i="30"/>
  <c r="J12" i="30" s="1"/>
  <c r="P33" i="30"/>
  <c r="I33" i="30"/>
  <c r="J33" i="30" s="1"/>
  <c r="P17" i="30"/>
  <c r="I17" i="30"/>
  <c r="J17" i="30" s="1"/>
  <c r="P22" i="30"/>
  <c r="I22" i="30"/>
  <c r="J22" i="30" s="1"/>
  <c r="I32" i="30"/>
  <c r="J32" i="30" s="1"/>
  <c r="P32" i="30"/>
  <c r="C25" i="16"/>
  <c r="E25" i="16" s="1"/>
  <c r="F25" i="16" s="1"/>
  <c r="C3" i="16"/>
  <c r="E3" i="16" s="1"/>
  <c r="F3" i="16" s="1"/>
  <c r="C7" i="16"/>
  <c r="E7" i="16" s="1"/>
  <c r="F7" i="16" s="1"/>
  <c r="C36" i="16"/>
  <c r="E36" i="16" s="1"/>
  <c r="F36" i="16" s="1"/>
  <c r="C22" i="16"/>
  <c r="E22" i="16" s="1"/>
  <c r="F22" i="16" s="1"/>
  <c r="C26" i="16"/>
  <c r="E26" i="16" s="1"/>
  <c r="F26" i="16" s="1"/>
  <c r="C16" i="16"/>
  <c r="E16" i="16" s="1"/>
  <c r="F16" i="16" s="1"/>
  <c r="C9" i="16"/>
  <c r="E9" i="16" s="1"/>
  <c r="F9" i="16" s="1"/>
  <c r="C34" i="16"/>
  <c r="E34" i="16" s="1"/>
  <c r="F34" i="16" s="1"/>
  <c r="C5" i="16"/>
  <c r="E5" i="16" s="1"/>
  <c r="F5" i="16" s="1"/>
  <c r="C30" i="16"/>
  <c r="E30" i="16" s="1"/>
  <c r="F30" i="16" s="1"/>
  <c r="C11" i="16"/>
  <c r="E11" i="16" s="1"/>
  <c r="F11" i="16" s="1"/>
  <c r="C38" i="16"/>
  <c r="E38" i="16" s="1"/>
  <c r="F38" i="16" s="1"/>
  <c r="C40" i="16"/>
  <c r="E40" i="16" s="1"/>
  <c r="F40" i="16" s="1"/>
  <c r="I4" i="1"/>
  <c r="J4" i="1" s="1"/>
  <c r="C24" i="16"/>
  <c r="E24" i="16" s="1"/>
  <c r="F24" i="16" s="1"/>
  <c r="C13" i="16"/>
  <c r="E13" i="16" s="1"/>
  <c r="F13" i="16" s="1"/>
  <c r="C32" i="16"/>
  <c r="E32" i="16" s="1"/>
  <c r="F32" i="16" s="1"/>
  <c r="K21" i="16"/>
  <c r="M21" i="16" s="1"/>
  <c r="N21" i="16" s="1"/>
  <c r="K23" i="16"/>
  <c r="M23" i="16" s="1"/>
  <c r="N23" i="16" s="1"/>
  <c r="G4" i="11"/>
  <c r="I4" i="11" s="1"/>
  <c r="J4" i="11" s="1"/>
  <c r="C39" i="16"/>
  <c r="E39" i="16" s="1"/>
  <c r="F39" i="16" s="1"/>
  <c r="C6" i="16"/>
  <c r="E6" i="16" s="1"/>
  <c r="F6" i="16" s="1"/>
  <c r="C21" i="16"/>
  <c r="E21" i="16" s="1"/>
  <c r="F21" i="16" s="1"/>
  <c r="C19" i="16"/>
  <c r="E19" i="16" s="1"/>
  <c r="F19" i="16" s="1"/>
  <c r="C28" i="16"/>
  <c r="E28" i="16" s="1"/>
  <c r="F28" i="16" s="1"/>
  <c r="C31" i="16"/>
  <c r="E31" i="16" s="1"/>
  <c r="F31" i="16" s="1"/>
  <c r="C8" i="16"/>
  <c r="E8" i="16" s="1"/>
  <c r="F8" i="16" s="1"/>
  <c r="C12" i="16"/>
  <c r="E12" i="16" s="1"/>
  <c r="F12" i="16" s="1"/>
  <c r="C20" i="16"/>
  <c r="E20" i="16" s="1"/>
  <c r="F20" i="16" s="1"/>
  <c r="C37" i="16"/>
  <c r="E37" i="16" s="1"/>
  <c r="F37" i="16" s="1"/>
  <c r="C18" i="16"/>
  <c r="E18" i="16" s="1"/>
  <c r="F18" i="16" s="1"/>
  <c r="C10" i="16"/>
  <c r="E10" i="16" s="1"/>
  <c r="F10" i="16" s="1"/>
  <c r="C14" i="16"/>
  <c r="E14" i="16" s="1"/>
  <c r="F14" i="16" s="1"/>
  <c r="C41" i="16"/>
  <c r="E41" i="16" s="1"/>
  <c r="F41" i="16" s="1"/>
  <c r="C4" i="16"/>
  <c r="E4" i="16" s="1"/>
  <c r="F4" i="16" s="1"/>
  <c r="C15" i="16"/>
  <c r="E15" i="16" s="1"/>
  <c r="F15" i="16" s="1"/>
  <c r="C35" i="16"/>
  <c r="E35" i="16" s="1"/>
  <c r="F35" i="16" s="1"/>
  <c r="C29" i="16"/>
  <c r="E29" i="16" s="1"/>
  <c r="F29" i="16" s="1"/>
  <c r="C23" i="16"/>
  <c r="E23" i="16" s="1"/>
  <c r="F23" i="16" s="1"/>
  <c r="C17" i="16"/>
  <c r="E17" i="16" s="1"/>
  <c r="F17" i="16" s="1"/>
  <c r="C27" i="16"/>
  <c r="E27" i="16" s="1"/>
  <c r="F27" i="16" s="1"/>
  <c r="K16" i="16"/>
  <c r="M16" i="16" s="1"/>
  <c r="N16" i="16" s="1"/>
  <c r="K33" i="16"/>
  <c r="M33" i="16" s="1"/>
  <c r="N33" i="16" s="1"/>
  <c r="K24" i="16"/>
  <c r="M24" i="16" s="1"/>
  <c r="N24" i="16" s="1"/>
  <c r="K32" i="16"/>
  <c r="M32" i="16" s="1"/>
  <c r="N32" i="16" s="1"/>
  <c r="G13" i="11"/>
  <c r="I13" i="11" s="1"/>
  <c r="J13" i="11" s="1"/>
  <c r="O35" i="16"/>
  <c r="Q35" i="16" s="1"/>
  <c r="R35" i="16" s="1"/>
  <c r="G17" i="16"/>
  <c r="I17" i="16" s="1"/>
  <c r="J17" i="16" s="1"/>
  <c r="G40" i="16"/>
  <c r="I40" i="16" s="1"/>
  <c r="J40" i="16" s="1"/>
  <c r="G15" i="10"/>
  <c r="I15" i="10" s="1"/>
  <c r="J15" i="10" s="1"/>
  <c r="G14" i="10"/>
  <c r="I14" i="10" s="1"/>
  <c r="J14" i="10" s="1"/>
  <c r="G11" i="16"/>
  <c r="I11" i="16" s="1"/>
  <c r="J11" i="16" s="1"/>
  <c r="G13" i="10"/>
  <c r="I13" i="10" s="1"/>
  <c r="J13" i="10" s="1"/>
  <c r="G10" i="10"/>
  <c r="I10" i="10" s="1"/>
  <c r="J10" i="10" s="1"/>
  <c r="G8" i="10"/>
  <c r="I8" i="10" s="1"/>
  <c r="J8" i="10" s="1"/>
  <c r="G9" i="10"/>
  <c r="I9" i="10" s="1"/>
  <c r="J9" i="10" s="1"/>
  <c r="G11" i="10"/>
  <c r="I11" i="10" s="1"/>
  <c r="J11" i="10" s="1"/>
  <c r="G7" i="16"/>
  <c r="I7" i="16" s="1"/>
  <c r="J7" i="16" s="1"/>
  <c r="G33" i="16"/>
  <c r="I33" i="16" s="1"/>
  <c r="J33" i="16" s="1"/>
  <c r="G3" i="16"/>
  <c r="I3" i="16" s="1"/>
  <c r="J3" i="16" s="1"/>
  <c r="V3" i="16" s="1"/>
  <c r="G4" i="16"/>
  <c r="I4" i="16" s="1"/>
  <c r="J4" i="16" s="1"/>
  <c r="G26" i="16"/>
  <c r="I26" i="16" s="1"/>
  <c r="J26" i="16" s="1"/>
  <c r="G32" i="16"/>
  <c r="I32" i="16" s="1"/>
  <c r="J32" i="16" s="1"/>
  <c r="G38" i="16"/>
  <c r="I38" i="16" s="1"/>
  <c r="J38" i="16" s="1"/>
  <c r="G9" i="16"/>
  <c r="I9" i="16" s="1"/>
  <c r="J9" i="16" s="1"/>
  <c r="G15" i="16"/>
  <c r="I15" i="16" s="1"/>
  <c r="J15" i="16" s="1"/>
  <c r="G37" i="16"/>
  <c r="I37" i="16" s="1"/>
  <c r="J37" i="16" s="1"/>
  <c r="G16" i="16"/>
  <c r="I16" i="16" s="1"/>
  <c r="J16" i="16" s="1"/>
  <c r="G5" i="10"/>
  <c r="I5" i="10" s="1"/>
  <c r="J5" i="10" s="1"/>
  <c r="G27" i="16"/>
  <c r="I27" i="16" s="1"/>
  <c r="J27" i="16" s="1"/>
  <c r="G13" i="16"/>
  <c r="I13" i="16" s="1"/>
  <c r="J13" i="16" s="1"/>
  <c r="G16" i="10"/>
  <c r="I16" i="10" s="1"/>
  <c r="J16" i="10" s="1"/>
  <c r="G28" i="16"/>
  <c r="I28" i="16" s="1"/>
  <c r="J28" i="16" s="1"/>
  <c r="G14" i="16"/>
  <c r="I14" i="16" s="1"/>
  <c r="J14" i="16" s="1"/>
  <c r="G36" i="16"/>
  <c r="I36" i="16" s="1"/>
  <c r="J36" i="16" s="1"/>
  <c r="G18" i="16"/>
  <c r="I18" i="16" s="1"/>
  <c r="J18" i="16" s="1"/>
  <c r="G25" i="16"/>
  <c r="I25" i="16" s="1"/>
  <c r="J25" i="16" s="1"/>
  <c r="G17" i="10"/>
  <c r="I17" i="10" s="1"/>
  <c r="J17" i="10" s="1"/>
  <c r="G34" i="16"/>
  <c r="I34" i="16" s="1"/>
  <c r="J34" i="16" s="1"/>
  <c r="G30" i="16"/>
  <c r="I30" i="16" s="1"/>
  <c r="J30" i="16" s="1"/>
  <c r="G29" i="16"/>
  <c r="I29" i="16" s="1"/>
  <c r="J29" i="16" s="1"/>
  <c r="G12" i="16"/>
  <c r="I12" i="16" s="1"/>
  <c r="J12" i="16" s="1"/>
  <c r="G6" i="10"/>
  <c r="I6" i="10" s="1"/>
  <c r="J6" i="10" s="1"/>
  <c r="G8" i="16"/>
  <c r="I8" i="16" s="1"/>
  <c r="J8" i="16" s="1"/>
  <c r="G5" i="16"/>
  <c r="I5" i="16" s="1"/>
  <c r="J5" i="16" s="1"/>
  <c r="G23" i="16"/>
  <c r="I23" i="16" s="1"/>
  <c r="J23" i="16" s="1"/>
  <c r="G6" i="16"/>
  <c r="I6" i="16" s="1"/>
  <c r="J6" i="16" s="1"/>
  <c r="G41" i="16"/>
  <c r="I41" i="16" s="1"/>
  <c r="J41" i="16" s="1"/>
  <c r="G39" i="16"/>
  <c r="I39" i="16" s="1"/>
  <c r="J39" i="16" s="1"/>
  <c r="G12" i="10"/>
  <c r="I12" i="10" s="1"/>
  <c r="J12" i="10" s="1"/>
  <c r="G20" i="16"/>
  <c r="I20" i="16" s="1"/>
  <c r="J20" i="16" s="1"/>
  <c r="G10" i="16"/>
  <c r="I10" i="16" s="1"/>
  <c r="J10" i="16" s="1"/>
  <c r="G19" i="16"/>
  <c r="I19" i="16" s="1"/>
  <c r="J19" i="16" s="1"/>
  <c r="G7" i="10"/>
  <c r="I7" i="10" s="1"/>
  <c r="J7" i="10" s="1"/>
  <c r="G4" i="10"/>
  <c r="I4" i="10" s="1"/>
  <c r="J4" i="10" s="1"/>
  <c r="G22" i="16"/>
  <c r="I22" i="16" s="1"/>
  <c r="J22" i="16" s="1"/>
  <c r="G35" i="16"/>
  <c r="I35" i="16" s="1"/>
  <c r="J35" i="16" s="1"/>
  <c r="G31" i="16"/>
  <c r="I31" i="16" s="1"/>
  <c r="J31" i="16" s="1"/>
  <c r="G21" i="16"/>
  <c r="I21" i="16" s="1"/>
  <c r="J21" i="16" s="1"/>
  <c r="G24" i="16"/>
  <c r="I24" i="16" s="1"/>
  <c r="J24" i="16" s="1"/>
  <c r="G13" i="12"/>
  <c r="I13" i="12" s="1"/>
  <c r="J13" i="12" s="1"/>
  <c r="G15" i="11"/>
  <c r="I15" i="11" s="1"/>
  <c r="J15" i="11" s="1"/>
  <c r="K36" i="16"/>
  <c r="M36" i="16" s="1"/>
  <c r="N36" i="16" s="1"/>
  <c r="K29" i="16"/>
  <c r="M29" i="16" s="1"/>
  <c r="N29" i="16" s="1"/>
  <c r="G9" i="11"/>
  <c r="I9" i="11" s="1"/>
  <c r="J9" i="11" s="1"/>
  <c r="K38" i="16"/>
  <c r="M38" i="16" s="1"/>
  <c r="N38" i="16" s="1"/>
  <c r="K7" i="16"/>
  <c r="M7" i="16" s="1"/>
  <c r="N7" i="16" s="1"/>
  <c r="K25" i="16"/>
  <c r="M25" i="16" s="1"/>
  <c r="N25" i="16" s="1"/>
  <c r="K10" i="16"/>
  <c r="M10" i="16" s="1"/>
  <c r="N10" i="16" s="1"/>
  <c r="K9" i="16"/>
  <c r="M9" i="16" s="1"/>
  <c r="N9" i="16" s="1"/>
  <c r="K5" i="16"/>
  <c r="M5" i="16" s="1"/>
  <c r="N5" i="16" s="1"/>
  <c r="K40" i="16"/>
  <c r="M40" i="16" s="1"/>
  <c r="N40" i="16" s="1"/>
  <c r="G15" i="12"/>
  <c r="I15" i="12" s="1"/>
  <c r="J15" i="12" s="1"/>
  <c r="O10" i="16"/>
  <c r="Q10" i="16" s="1"/>
  <c r="R10" i="16" s="1"/>
  <c r="G5" i="12"/>
  <c r="I5" i="12" s="1"/>
  <c r="J5" i="12" s="1"/>
  <c r="O12" i="16"/>
  <c r="Q12" i="16" s="1"/>
  <c r="R12" i="16" s="1"/>
  <c r="O32" i="16"/>
  <c r="Q32" i="16" s="1"/>
  <c r="R32" i="16" s="1"/>
  <c r="G9" i="12"/>
  <c r="I9" i="12" s="1"/>
  <c r="J9" i="12" s="1"/>
  <c r="O4" i="16"/>
  <c r="Q4" i="16" s="1"/>
  <c r="R4" i="16" s="1"/>
  <c r="O39" i="16"/>
  <c r="Q39" i="16" s="1"/>
  <c r="R39" i="16" s="1"/>
  <c r="O5" i="16"/>
  <c r="Q5" i="16" s="1"/>
  <c r="R5" i="16" s="1"/>
  <c r="O9" i="16"/>
  <c r="Q9" i="16" s="1"/>
  <c r="R9" i="16" s="1"/>
  <c r="G6" i="12"/>
  <c r="I6" i="12" s="1"/>
  <c r="J6" i="12" s="1"/>
  <c r="O29" i="16"/>
  <c r="Q29" i="16" s="1"/>
  <c r="R29" i="16" s="1"/>
  <c r="O34" i="16"/>
  <c r="Q34" i="16" s="1"/>
  <c r="R34" i="16" s="1"/>
  <c r="O26" i="16"/>
  <c r="Q26" i="16" s="1"/>
  <c r="R26" i="16" s="1"/>
  <c r="O41" i="16"/>
  <c r="Q41" i="16" s="1"/>
  <c r="R41" i="16" s="1"/>
  <c r="O14" i="16"/>
  <c r="Q14" i="16" s="1"/>
  <c r="R14" i="16" s="1"/>
  <c r="G17" i="12"/>
  <c r="I17" i="12" s="1"/>
  <c r="J17" i="12" s="1"/>
  <c r="O24" i="16"/>
  <c r="Q24" i="16" s="1"/>
  <c r="R24" i="16" s="1"/>
  <c r="T24" i="16" s="1"/>
  <c r="O18" i="16"/>
  <c r="Q18" i="16" s="1"/>
  <c r="R18" i="16" s="1"/>
  <c r="O36" i="16"/>
  <c r="Q36" i="16" s="1"/>
  <c r="R36" i="16" s="1"/>
  <c r="T36" i="16" s="1"/>
  <c r="O17" i="16"/>
  <c r="Q17" i="16" s="1"/>
  <c r="R17" i="16" s="1"/>
  <c r="G11" i="12"/>
  <c r="I11" i="12" s="1"/>
  <c r="J11" i="12" s="1"/>
  <c r="O13" i="16"/>
  <c r="Q13" i="16" s="1"/>
  <c r="R13" i="16" s="1"/>
  <c r="O7" i="16"/>
  <c r="Q7" i="16" s="1"/>
  <c r="R7" i="16" s="1"/>
  <c r="O27" i="16"/>
  <c r="Q27" i="16" s="1"/>
  <c r="R27" i="16" s="1"/>
  <c r="Q3" i="16"/>
  <c r="R3" i="16" s="1"/>
  <c r="G10" i="12"/>
  <c r="I10" i="12" s="1"/>
  <c r="J10" i="12" s="1"/>
  <c r="G12" i="12"/>
  <c r="I12" i="12" s="1"/>
  <c r="J12" i="12" s="1"/>
  <c r="O16" i="16"/>
  <c r="Q16" i="16" s="1"/>
  <c r="R16" i="16" s="1"/>
  <c r="O37" i="16"/>
  <c r="Q37" i="16" s="1"/>
  <c r="R37" i="16" s="1"/>
  <c r="O22" i="16"/>
  <c r="Q22" i="16" s="1"/>
  <c r="R22" i="16" s="1"/>
  <c r="O30" i="16"/>
  <c r="Q30" i="16" s="1"/>
  <c r="R30" i="16" s="1"/>
  <c r="O25" i="16"/>
  <c r="Q25" i="16" s="1"/>
  <c r="R25" i="16" s="1"/>
  <c r="G16" i="12"/>
  <c r="I16" i="12" s="1"/>
  <c r="J16" i="12" s="1"/>
  <c r="G14" i="12"/>
  <c r="I14" i="12" s="1"/>
  <c r="J14" i="12" s="1"/>
  <c r="O15" i="16"/>
  <c r="Q15" i="16" s="1"/>
  <c r="R15" i="16" s="1"/>
  <c r="O28" i="16"/>
  <c r="Q28" i="16" s="1"/>
  <c r="R28" i="16" s="1"/>
  <c r="T28" i="16" s="1"/>
  <c r="O11" i="16"/>
  <c r="Q11" i="16" s="1"/>
  <c r="R11" i="16" s="1"/>
  <c r="O19" i="16"/>
  <c r="Q19" i="16" s="1"/>
  <c r="R19" i="16" s="1"/>
  <c r="G14" i="11"/>
  <c r="I14" i="11" s="1"/>
  <c r="J14" i="11" s="1"/>
  <c r="K20" i="16"/>
  <c r="M20" i="16" s="1"/>
  <c r="N20" i="16" s="1"/>
  <c r="K13" i="16"/>
  <c r="M13" i="16" s="1"/>
  <c r="N13" i="16" s="1"/>
  <c r="G11" i="11"/>
  <c r="I11" i="11" s="1"/>
  <c r="J11" i="11" s="1"/>
  <c r="K4" i="16"/>
  <c r="M4" i="16" s="1"/>
  <c r="N4" i="16" s="1"/>
  <c r="K17" i="16"/>
  <c r="M17" i="16" s="1"/>
  <c r="N17" i="16" s="1"/>
  <c r="K39" i="16"/>
  <c r="M39" i="16" s="1"/>
  <c r="N39" i="16" s="1"/>
  <c r="G8" i="12"/>
  <c r="I8" i="12" s="1"/>
  <c r="J8" i="12" s="1"/>
  <c r="O40" i="16"/>
  <c r="Q40" i="16" s="1"/>
  <c r="R40" i="16" s="1"/>
  <c r="O20" i="16"/>
  <c r="Q20" i="16" s="1"/>
  <c r="R20" i="16" s="1"/>
  <c r="O33" i="16"/>
  <c r="Q33" i="16" s="1"/>
  <c r="R33" i="16" s="1"/>
  <c r="O38" i="16"/>
  <c r="Q38" i="16" s="1"/>
  <c r="R38" i="16" s="1"/>
  <c r="O31" i="16"/>
  <c r="Q31" i="16" s="1"/>
  <c r="R31" i="16" s="1"/>
  <c r="T31" i="16" s="1"/>
  <c r="G10" i="11"/>
  <c r="I10" i="11" s="1"/>
  <c r="J10" i="11" s="1"/>
  <c r="K22" i="16"/>
  <c r="M22" i="16" s="1"/>
  <c r="N22" i="16" s="1"/>
  <c r="K8" i="16"/>
  <c r="G8" i="11"/>
  <c r="I8" i="11" s="1"/>
  <c r="J8" i="11" s="1"/>
  <c r="K41" i="16"/>
  <c r="M41" i="16" s="1"/>
  <c r="N41" i="16" s="1"/>
  <c r="K28" i="16"/>
  <c r="M28" i="16" s="1"/>
  <c r="N28" i="16" s="1"/>
  <c r="K26" i="16"/>
  <c r="M26" i="16" s="1"/>
  <c r="N26" i="16" s="1"/>
  <c r="G7" i="12"/>
  <c r="I7" i="12" s="1"/>
  <c r="J7" i="12" s="1"/>
  <c r="O8" i="16"/>
  <c r="Q8" i="16" s="1"/>
  <c r="R8" i="16" s="1"/>
  <c r="O23" i="16"/>
  <c r="Q23" i="16" s="1"/>
  <c r="R23" i="16" s="1"/>
  <c r="O21" i="16"/>
  <c r="Q21" i="16" s="1"/>
  <c r="R21" i="16" s="1"/>
  <c r="O6" i="16"/>
  <c r="Q6" i="16" s="1"/>
  <c r="R6" i="16" s="1"/>
  <c r="K3" i="16"/>
  <c r="M3" i="16" s="1"/>
  <c r="N3" i="16" s="1"/>
  <c r="G6" i="11"/>
  <c r="I6" i="11" s="1"/>
  <c r="J6" i="11" s="1"/>
  <c r="G17" i="11"/>
  <c r="I17" i="11" s="1"/>
  <c r="J17" i="11" s="1"/>
  <c r="K31" i="16"/>
  <c r="M31" i="16" s="1"/>
  <c r="N31" i="16" s="1"/>
  <c r="K27" i="16"/>
  <c r="M27" i="16" s="1"/>
  <c r="N27" i="16" s="1"/>
  <c r="K34" i="16"/>
  <c r="M34" i="16" s="1"/>
  <c r="N34" i="16" s="1"/>
  <c r="K11" i="16"/>
  <c r="M11" i="16" s="1"/>
  <c r="N11" i="16" s="1"/>
  <c r="G5" i="11"/>
  <c r="I5" i="11" s="1"/>
  <c r="J5" i="11" s="1"/>
  <c r="G16" i="11"/>
  <c r="I16" i="11" s="1"/>
  <c r="J16" i="11" s="1"/>
  <c r="K15" i="16"/>
  <c r="M15" i="16" s="1"/>
  <c r="N15" i="16" s="1"/>
  <c r="K30" i="16"/>
  <c r="M30" i="16" s="1"/>
  <c r="N30" i="16" s="1"/>
  <c r="K35" i="16"/>
  <c r="M35" i="16" s="1"/>
  <c r="N35" i="16" s="1"/>
  <c r="K18" i="16"/>
  <c r="M18" i="16" s="1"/>
  <c r="N18" i="16" s="1"/>
  <c r="K37" i="16"/>
  <c r="M37" i="16" s="1"/>
  <c r="N37" i="16" s="1"/>
  <c r="G7" i="11"/>
  <c r="I7" i="11" s="1"/>
  <c r="J7" i="11" s="1"/>
  <c r="G12" i="11"/>
  <c r="I12" i="11" s="1"/>
  <c r="J12" i="11" s="1"/>
  <c r="K12" i="16"/>
  <c r="M12" i="16" s="1"/>
  <c r="N12" i="16" s="1"/>
  <c r="K14" i="16"/>
  <c r="M14" i="16" s="1"/>
  <c r="N14" i="16" s="1"/>
  <c r="K19" i="16"/>
  <c r="M19" i="16" s="1"/>
  <c r="N19" i="16" s="1"/>
  <c r="K6" i="16"/>
  <c r="M6" i="16" s="1"/>
  <c r="N6" i="16" s="1"/>
  <c r="R21" i="26" l="1"/>
  <c r="R27" i="30"/>
  <c r="R6" i="30"/>
  <c r="R38" i="26"/>
  <c r="R19" i="26"/>
  <c r="R20" i="26"/>
  <c r="R4" i="26"/>
  <c r="R9" i="30"/>
  <c r="T38" i="16"/>
  <c r="W3" i="29"/>
  <c r="R7" i="30"/>
  <c r="R36" i="26"/>
  <c r="R35" i="26"/>
  <c r="V7" i="29"/>
  <c r="R10" i="30"/>
  <c r="R14" i="30"/>
  <c r="R34" i="30"/>
  <c r="R17" i="26"/>
  <c r="R30" i="30"/>
  <c r="R29" i="30"/>
  <c r="T22" i="16"/>
  <c r="R32" i="30"/>
  <c r="R25" i="30"/>
  <c r="R16" i="30"/>
  <c r="R26" i="30"/>
  <c r="R39" i="30"/>
  <c r="R41" i="30"/>
  <c r="R37" i="26"/>
  <c r="R24" i="26"/>
  <c r="R4" i="30"/>
  <c r="T28" i="29"/>
  <c r="S28" i="29"/>
  <c r="T26" i="29"/>
  <c r="S26" i="29"/>
  <c r="T20" i="29"/>
  <c r="S20" i="29"/>
  <c r="T5" i="29"/>
  <c r="S5" i="29"/>
  <c r="T6" i="29"/>
  <c r="S6" i="29"/>
  <c r="T32" i="29"/>
  <c r="S32" i="29"/>
  <c r="S39" i="29"/>
  <c r="T39" i="29"/>
  <c r="U39" i="29"/>
  <c r="S33" i="29"/>
  <c r="T33" i="29"/>
  <c r="S22" i="29"/>
  <c r="T22" i="29"/>
  <c r="T25" i="29"/>
  <c r="S25" i="29"/>
  <c r="T10" i="29"/>
  <c r="S10" i="29"/>
  <c r="S15" i="29"/>
  <c r="T15" i="29"/>
  <c r="S18" i="29"/>
  <c r="T18" i="29"/>
  <c r="T23" i="29"/>
  <c r="S23" i="29"/>
  <c r="T11" i="29"/>
  <c r="S11" i="29"/>
  <c r="S19" i="29"/>
  <c r="T19" i="29"/>
  <c r="Q36" i="26"/>
  <c r="M36" i="26"/>
  <c r="N36" i="26" s="1"/>
  <c r="O36" i="26" s="1"/>
  <c r="Q5" i="26"/>
  <c r="M5" i="26"/>
  <c r="N5" i="26" s="1"/>
  <c r="O5" i="26" s="1"/>
  <c r="M23" i="26"/>
  <c r="N23" i="26" s="1"/>
  <c r="O23" i="26" s="1"/>
  <c r="Q23" i="26"/>
  <c r="Q17" i="30"/>
  <c r="M17" i="30"/>
  <c r="N17" i="30" s="1"/>
  <c r="T11" i="16"/>
  <c r="Q27" i="26"/>
  <c r="M27" i="26"/>
  <c r="N27" i="26" s="1"/>
  <c r="O27" i="26" s="1"/>
  <c r="Q7" i="26"/>
  <c r="M7" i="26"/>
  <c r="N7" i="26" s="1"/>
  <c r="O7" i="26" s="1"/>
  <c r="Q37" i="26"/>
  <c r="M37" i="26"/>
  <c r="N37" i="26" s="1"/>
  <c r="O37" i="26" s="1"/>
  <c r="Q5" i="30"/>
  <c r="M5" i="30"/>
  <c r="N5" i="30" s="1"/>
  <c r="O5" i="30" s="1"/>
  <c r="M22" i="30"/>
  <c r="N22" i="30" s="1"/>
  <c r="O22" i="30" s="1"/>
  <c r="Q22" i="30"/>
  <c r="Q40" i="30"/>
  <c r="M40" i="30"/>
  <c r="N40" i="30" s="1"/>
  <c r="O40" i="30" s="1"/>
  <c r="Q27" i="30"/>
  <c r="M27" i="30"/>
  <c r="N27" i="30" s="1"/>
  <c r="O27" i="30" s="1"/>
  <c r="Q35" i="30"/>
  <c r="M35" i="30"/>
  <c r="N35" i="30" s="1"/>
  <c r="W7" i="29"/>
  <c r="T35" i="29"/>
  <c r="S35" i="29"/>
  <c r="T34" i="29"/>
  <c r="S34" i="29"/>
  <c r="R18" i="30"/>
  <c r="R33" i="26"/>
  <c r="R10" i="26"/>
  <c r="R38" i="30"/>
  <c r="Q26" i="26"/>
  <c r="M26" i="26"/>
  <c r="N26" i="26" s="1"/>
  <c r="O26" i="26" s="1"/>
  <c r="R33" i="30"/>
  <c r="M33" i="26"/>
  <c r="N33" i="26" s="1"/>
  <c r="O33" i="26" s="1"/>
  <c r="Q33" i="26"/>
  <c r="T34" i="16"/>
  <c r="R12" i="30"/>
  <c r="M18" i="26"/>
  <c r="N18" i="26" s="1"/>
  <c r="O18" i="26" s="1"/>
  <c r="Q18" i="26"/>
  <c r="Q9" i="26"/>
  <c r="M9" i="26"/>
  <c r="N9" i="26" s="1"/>
  <c r="O9" i="26" s="1"/>
  <c r="M25" i="26"/>
  <c r="N25" i="26" s="1"/>
  <c r="O25" i="26" s="1"/>
  <c r="Q25" i="26"/>
  <c r="Q35" i="26"/>
  <c r="M35" i="26"/>
  <c r="N35" i="26" s="1"/>
  <c r="O35" i="26" s="1"/>
  <c r="M28" i="26"/>
  <c r="N28" i="26" s="1"/>
  <c r="O28" i="26" s="1"/>
  <c r="Q28" i="26"/>
  <c r="Q11" i="26"/>
  <c r="M11" i="26"/>
  <c r="N11" i="26" s="1"/>
  <c r="O11" i="26" s="1"/>
  <c r="M10" i="30"/>
  <c r="N10" i="30" s="1"/>
  <c r="Q10" i="30"/>
  <c r="Q29" i="30"/>
  <c r="M29" i="30"/>
  <c r="N29" i="30" s="1"/>
  <c r="O29" i="30" s="1"/>
  <c r="Q34" i="30"/>
  <c r="M34" i="30"/>
  <c r="N34" i="30" s="1"/>
  <c r="O34" i="30" s="1"/>
  <c r="Q42" i="30"/>
  <c r="M42" i="30"/>
  <c r="N42" i="30" s="1"/>
  <c r="O42" i="30" s="1"/>
  <c r="R23" i="26"/>
  <c r="T31" i="29"/>
  <c r="S31" i="29"/>
  <c r="R16" i="26"/>
  <c r="R14" i="26"/>
  <c r="R12" i="26"/>
  <c r="R11" i="26"/>
  <c r="R36" i="30"/>
  <c r="R15" i="30"/>
  <c r="S16" i="29"/>
  <c r="T16" i="29"/>
  <c r="Q14" i="26"/>
  <c r="M14" i="26"/>
  <c r="N14" i="26" s="1"/>
  <c r="O14" i="26" s="1"/>
  <c r="M40" i="26"/>
  <c r="N40" i="26" s="1"/>
  <c r="O40" i="26" s="1"/>
  <c r="Q40" i="26"/>
  <c r="Q36" i="30"/>
  <c r="M36" i="30"/>
  <c r="N36" i="30" s="1"/>
  <c r="O36" i="30" s="1"/>
  <c r="M41" i="30"/>
  <c r="N41" i="30" s="1"/>
  <c r="O41" i="30" s="1"/>
  <c r="Q41" i="30"/>
  <c r="S12" i="29"/>
  <c r="T12" i="29"/>
  <c r="W39" i="29"/>
  <c r="T17" i="29"/>
  <c r="S17" i="29"/>
  <c r="Q34" i="26"/>
  <c r="M34" i="26"/>
  <c r="N34" i="26" s="1"/>
  <c r="O34" i="26" s="1"/>
  <c r="M19" i="26"/>
  <c r="N19" i="26" s="1"/>
  <c r="O19" i="26" s="1"/>
  <c r="Q19" i="26"/>
  <c r="Q12" i="26"/>
  <c r="M12" i="26"/>
  <c r="N12" i="26" s="1"/>
  <c r="O12" i="26" s="1"/>
  <c r="M39" i="26"/>
  <c r="N39" i="26" s="1"/>
  <c r="O39" i="26" s="1"/>
  <c r="Q39" i="26"/>
  <c r="Q14" i="30"/>
  <c r="M14" i="30"/>
  <c r="N14" i="30" s="1"/>
  <c r="O14" i="30" s="1"/>
  <c r="Q7" i="30"/>
  <c r="M7" i="30"/>
  <c r="N7" i="30" s="1"/>
  <c r="O7" i="30" s="1"/>
  <c r="Q8" i="30"/>
  <c r="M8" i="30"/>
  <c r="N8" i="30" s="1"/>
  <c r="O8" i="30" s="1"/>
  <c r="R22" i="30"/>
  <c r="T13" i="29"/>
  <c r="S13" i="29"/>
  <c r="Q30" i="26"/>
  <c r="M30" i="26"/>
  <c r="N30" i="26" s="1"/>
  <c r="O30" i="26" s="1"/>
  <c r="M16" i="26"/>
  <c r="N16" i="26" s="1"/>
  <c r="O16" i="26" s="1"/>
  <c r="Q16" i="26"/>
  <c r="Q4" i="26"/>
  <c r="M4" i="26"/>
  <c r="N4" i="26" s="1"/>
  <c r="O4" i="26" s="1"/>
  <c r="M10" i="26"/>
  <c r="N10" i="26" s="1"/>
  <c r="O10" i="26" s="1"/>
  <c r="Q10" i="26"/>
  <c r="Q24" i="26"/>
  <c r="M24" i="26"/>
  <c r="N24" i="26" s="1"/>
  <c r="O24" i="26" s="1"/>
  <c r="M25" i="30"/>
  <c r="N25" i="30" s="1"/>
  <c r="Q25" i="30"/>
  <c r="U25" i="30" s="1"/>
  <c r="X39" i="29"/>
  <c r="Y39" i="29"/>
  <c r="Q9" i="30"/>
  <c r="M9" i="30"/>
  <c r="N9" i="30" s="1"/>
  <c r="O9" i="30" s="1"/>
  <c r="Q15" i="30"/>
  <c r="M15" i="30"/>
  <c r="N15" i="30" s="1"/>
  <c r="O15" i="30" s="1"/>
  <c r="X7" i="29"/>
  <c r="Y7" i="29"/>
  <c r="Q18" i="30"/>
  <c r="M18" i="30"/>
  <c r="N18" i="30" s="1"/>
  <c r="R42" i="26"/>
  <c r="R26" i="26"/>
  <c r="R20" i="30"/>
  <c r="O25" i="30"/>
  <c r="R32" i="26"/>
  <c r="V3" i="29"/>
  <c r="O10" i="30"/>
  <c r="R29" i="26"/>
  <c r="R28" i="30"/>
  <c r="D7" i="31"/>
  <c r="C3" i="14" s="1"/>
  <c r="R21" i="30"/>
  <c r="T4" i="26"/>
  <c r="S40" i="29"/>
  <c r="T40" i="29"/>
  <c r="Q15" i="26"/>
  <c r="M15" i="26"/>
  <c r="N15" i="26" s="1"/>
  <c r="O15" i="26" s="1"/>
  <c r="M22" i="26"/>
  <c r="N22" i="26" s="1"/>
  <c r="O22" i="26" s="1"/>
  <c r="Q22" i="26"/>
  <c r="Q6" i="30"/>
  <c r="M6" i="30"/>
  <c r="N6" i="30" s="1"/>
  <c r="Q21" i="30"/>
  <c r="M21" i="30"/>
  <c r="N21" i="30" s="1"/>
  <c r="M28" i="30"/>
  <c r="N28" i="30" s="1"/>
  <c r="O28" i="30" s="1"/>
  <c r="Q28" i="30"/>
  <c r="T3" i="29"/>
  <c r="S3" i="29"/>
  <c r="O35" i="30"/>
  <c r="T30" i="29"/>
  <c r="S30" i="29"/>
  <c r="O31" i="30"/>
  <c r="O21" i="30"/>
  <c r="T27" i="29"/>
  <c r="S27" i="29"/>
  <c r="T29" i="29"/>
  <c r="S29" i="29"/>
  <c r="T24" i="29"/>
  <c r="S24" i="29"/>
  <c r="O17" i="30"/>
  <c r="M32" i="26"/>
  <c r="N32" i="26" s="1"/>
  <c r="O32" i="26" s="1"/>
  <c r="Q32" i="26"/>
  <c r="Q20" i="26"/>
  <c r="M20" i="26"/>
  <c r="N20" i="26" s="1"/>
  <c r="O20" i="26" s="1"/>
  <c r="Q32" i="30"/>
  <c r="M32" i="30"/>
  <c r="N32" i="30" s="1"/>
  <c r="O32" i="30" s="1"/>
  <c r="M20" i="30"/>
  <c r="N20" i="30" s="1"/>
  <c r="Q20" i="30"/>
  <c r="U20" i="30" s="1"/>
  <c r="W3" i="16"/>
  <c r="T25" i="16"/>
  <c r="U7" i="16"/>
  <c r="R17" i="30"/>
  <c r="U7" i="29"/>
  <c r="T7" i="29"/>
  <c r="S7" i="29"/>
  <c r="Q6" i="26"/>
  <c r="M6" i="26"/>
  <c r="N6" i="26" s="1"/>
  <c r="E8" i="31" s="1"/>
  <c r="M8" i="26"/>
  <c r="N8" i="26" s="1"/>
  <c r="O8" i="26" s="1"/>
  <c r="Q8" i="26"/>
  <c r="M31" i="26"/>
  <c r="N31" i="26" s="1"/>
  <c r="O31" i="26" s="1"/>
  <c r="Q31" i="26"/>
  <c r="Q41" i="26"/>
  <c r="M41" i="26"/>
  <c r="N41" i="26" s="1"/>
  <c r="O41" i="26" s="1"/>
  <c r="Q13" i="26"/>
  <c r="M13" i="26"/>
  <c r="N13" i="26" s="1"/>
  <c r="O13" i="26" s="1"/>
  <c r="Q16" i="30"/>
  <c r="M16" i="30"/>
  <c r="N16" i="30" s="1"/>
  <c r="O16" i="30" s="1"/>
  <c r="Q11" i="30"/>
  <c r="M11" i="30"/>
  <c r="N11" i="30" s="1"/>
  <c r="Q23" i="30"/>
  <c r="M23" i="30"/>
  <c r="N23" i="30" s="1"/>
  <c r="O23" i="30" s="1"/>
  <c r="Q4" i="30"/>
  <c r="M4" i="30"/>
  <c r="N4" i="30" s="1"/>
  <c r="O4" i="30" s="1"/>
  <c r="Q31" i="30"/>
  <c r="M31" i="30"/>
  <c r="N31" i="30" s="1"/>
  <c r="Q39" i="30"/>
  <c r="M39" i="30"/>
  <c r="N39" i="30" s="1"/>
  <c r="O39" i="30" s="1"/>
  <c r="R40" i="26"/>
  <c r="T42" i="30"/>
  <c r="R41" i="26"/>
  <c r="R28" i="26"/>
  <c r="R35" i="30"/>
  <c r="R22" i="26"/>
  <c r="R31" i="30"/>
  <c r="R37" i="30"/>
  <c r="R5" i="26"/>
  <c r="R27" i="26"/>
  <c r="R11" i="30"/>
  <c r="R39" i="26"/>
  <c r="R19" i="30"/>
  <c r="T4" i="29"/>
  <c r="S4" i="29"/>
  <c r="Q38" i="26"/>
  <c r="M38" i="26"/>
  <c r="N38" i="26" s="1"/>
  <c r="O38" i="26" s="1"/>
  <c r="Q17" i="26"/>
  <c r="M17" i="26"/>
  <c r="N17" i="26" s="1"/>
  <c r="O17" i="26" s="1"/>
  <c r="Q21" i="26"/>
  <c r="M21" i="26"/>
  <c r="N21" i="26" s="1"/>
  <c r="O21" i="26" s="1"/>
  <c r="Q26" i="30"/>
  <c r="M26" i="30"/>
  <c r="N26" i="30" s="1"/>
  <c r="O26" i="30" s="1"/>
  <c r="M30" i="30"/>
  <c r="N30" i="30" s="1"/>
  <c r="O30" i="30" s="1"/>
  <c r="Q30" i="30"/>
  <c r="M12" i="30"/>
  <c r="N12" i="30" s="1"/>
  <c r="O12" i="30" s="1"/>
  <c r="Q12" i="30"/>
  <c r="Q38" i="30"/>
  <c r="M38" i="30"/>
  <c r="N38" i="30" s="1"/>
  <c r="Q13" i="30"/>
  <c r="M13" i="30"/>
  <c r="N13" i="30" s="1"/>
  <c r="M29" i="26"/>
  <c r="N29" i="26" s="1"/>
  <c r="O29" i="26" s="1"/>
  <c r="Q29" i="26"/>
  <c r="D9" i="25"/>
  <c r="G9" i="25"/>
  <c r="G7" i="25"/>
  <c r="R8" i="26"/>
  <c r="G8" i="25"/>
  <c r="D7" i="25"/>
  <c r="D11" i="25" s="1"/>
  <c r="O13" i="30"/>
  <c r="T41" i="29"/>
  <c r="S41" i="29"/>
  <c r="V39" i="29"/>
  <c r="S14" i="29"/>
  <c r="T14" i="29"/>
  <c r="S36" i="29"/>
  <c r="T36" i="29"/>
  <c r="O11" i="30"/>
  <c r="T9" i="29"/>
  <c r="S9" i="29"/>
  <c r="M42" i="26"/>
  <c r="N42" i="26" s="1"/>
  <c r="Q42" i="26"/>
  <c r="M19" i="30"/>
  <c r="N19" i="30" s="1"/>
  <c r="O19" i="30" s="1"/>
  <c r="Q19" i="30"/>
  <c r="M33" i="30"/>
  <c r="N33" i="30" s="1"/>
  <c r="O33" i="30" s="1"/>
  <c r="Q33" i="30"/>
  <c r="Q37" i="30"/>
  <c r="M37" i="30"/>
  <c r="N37" i="30" s="1"/>
  <c r="O37" i="30" s="1"/>
  <c r="Q24" i="30"/>
  <c r="M24" i="30"/>
  <c r="N24" i="30" s="1"/>
  <c r="R13" i="30"/>
  <c r="T8" i="29"/>
  <c r="S8" i="29"/>
  <c r="O6" i="30"/>
  <c r="T37" i="29"/>
  <c r="S37" i="29"/>
  <c r="S38" i="29"/>
  <c r="T38" i="29"/>
  <c r="S21" i="29"/>
  <c r="T21" i="29"/>
  <c r="O18" i="30"/>
  <c r="O38" i="30"/>
  <c r="O24" i="30"/>
  <c r="T29" i="16"/>
  <c r="V7" i="16"/>
  <c r="T19" i="16"/>
  <c r="T20" i="16"/>
  <c r="T16" i="16"/>
  <c r="T14" i="16"/>
  <c r="T17" i="16"/>
  <c r="T5" i="16"/>
  <c r="S29" i="16"/>
  <c r="S6" i="16"/>
  <c r="S9" i="16"/>
  <c r="S15" i="16"/>
  <c r="S40" i="16"/>
  <c r="S26" i="16"/>
  <c r="S37" i="16"/>
  <c r="S33" i="16"/>
  <c r="T7" i="16"/>
  <c r="X7" i="16"/>
  <c r="Y7" i="16"/>
  <c r="S35" i="16"/>
  <c r="S20" i="16"/>
  <c r="S16" i="16"/>
  <c r="S12" i="16"/>
  <c r="S4" i="16"/>
  <c r="S38" i="16"/>
  <c r="S22" i="16"/>
  <c r="W7" i="16"/>
  <c r="S41" i="16"/>
  <c r="S31" i="16"/>
  <c r="S11" i="16"/>
  <c r="S36" i="16"/>
  <c r="W39" i="16"/>
  <c r="M8" i="16"/>
  <c r="N8" i="16" s="1"/>
  <c r="S8" i="16" s="1"/>
  <c r="T39" i="16"/>
  <c r="X39" i="16"/>
  <c r="Y39" i="16"/>
  <c r="S27" i="16"/>
  <c r="S14" i="16"/>
  <c r="S28" i="16"/>
  <c r="S32" i="16"/>
  <c r="S30" i="16"/>
  <c r="V39" i="16"/>
  <c r="S17" i="16"/>
  <c r="S10" i="16"/>
  <c r="S19" i="16"/>
  <c r="S13" i="16"/>
  <c r="S5" i="16"/>
  <c r="S3" i="16"/>
  <c r="S23" i="16"/>
  <c r="S18" i="16"/>
  <c r="S21" i="16"/>
  <c r="S24" i="16"/>
  <c r="S34" i="16"/>
  <c r="S25" i="16"/>
  <c r="T6" i="16"/>
  <c r="T9" i="16"/>
  <c r="T12" i="16"/>
  <c r="T41" i="16"/>
  <c r="T40" i="16"/>
  <c r="T26" i="16"/>
  <c r="T30" i="16"/>
  <c r="T27" i="16"/>
  <c r="T21" i="16"/>
  <c r="T32" i="16"/>
  <c r="T8" i="16"/>
  <c r="T18" i="16"/>
  <c r="T4" i="16"/>
  <c r="T35" i="16"/>
  <c r="T33" i="16"/>
  <c r="T15" i="16"/>
  <c r="T37" i="16"/>
  <c r="T13" i="16"/>
  <c r="T3" i="16"/>
  <c r="T10" i="16"/>
  <c r="T23" i="16"/>
  <c r="U39" i="16"/>
  <c r="S39" i="16"/>
  <c r="S7" i="16"/>
  <c r="T4" i="30" l="1"/>
  <c r="T8" i="26"/>
  <c r="T8" i="30"/>
  <c r="C4" i="14"/>
  <c r="C5" i="14"/>
  <c r="C6" i="14" s="1"/>
  <c r="F7" i="32"/>
  <c r="F10" i="32"/>
  <c r="C17" i="33"/>
  <c r="F8" i="32"/>
  <c r="S15" i="26"/>
  <c r="U15" i="26"/>
  <c r="S26" i="30"/>
  <c r="U26" i="30"/>
  <c r="S21" i="30"/>
  <c r="U21" i="30"/>
  <c r="U39" i="26"/>
  <c r="S39" i="26"/>
  <c r="S29" i="30"/>
  <c r="U29" i="30"/>
  <c r="U42" i="26"/>
  <c r="S42" i="26"/>
  <c r="S39" i="30"/>
  <c r="U39" i="30"/>
  <c r="S11" i="30"/>
  <c r="U11" i="30"/>
  <c r="S41" i="30"/>
  <c r="U41" i="30"/>
  <c r="S10" i="30"/>
  <c r="U10" i="30"/>
  <c r="U25" i="26"/>
  <c r="S25" i="26"/>
  <c r="S40" i="30"/>
  <c r="U40" i="30"/>
  <c r="S7" i="26"/>
  <c r="U7" i="26"/>
  <c r="S33" i="30"/>
  <c r="U33" i="30"/>
  <c r="D11" i="31"/>
  <c r="S13" i="30"/>
  <c r="U13" i="30"/>
  <c r="S31" i="26"/>
  <c r="U31" i="26"/>
  <c r="S32" i="30"/>
  <c r="U32" i="30"/>
  <c r="S9" i="30"/>
  <c r="U9" i="30"/>
  <c r="S14" i="26"/>
  <c r="U14" i="26"/>
  <c r="U35" i="26"/>
  <c r="S35" i="26"/>
  <c r="U23" i="26"/>
  <c r="S23" i="26"/>
  <c r="S24" i="30"/>
  <c r="U24" i="30"/>
  <c r="T42" i="26"/>
  <c r="O42" i="26"/>
  <c r="S38" i="30"/>
  <c r="U38" i="30"/>
  <c r="U21" i="26"/>
  <c r="S21" i="26"/>
  <c r="E8" i="25"/>
  <c r="H8" i="25"/>
  <c r="H9" i="25"/>
  <c r="F8" i="25"/>
  <c r="E7" i="25"/>
  <c r="E11" i="25" s="1"/>
  <c r="U8" i="26"/>
  <c r="D8" i="25"/>
  <c r="F7" i="25"/>
  <c r="F11" i="25" s="1"/>
  <c r="F9" i="25"/>
  <c r="S8" i="26"/>
  <c r="H7" i="25"/>
  <c r="U20" i="26"/>
  <c r="S20" i="26"/>
  <c r="S6" i="30"/>
  <c r="U6" i="30"/>
  <c r="S18" i="30"/>
  <c r="U18" i="30"/>
  <c r="S4" i="26"/>
  <c r="U4" i="26"/>
  <c r="S33" i="26"/>
  <c r="U33" i="26"/>
  <c r="S22" i="30"/>
  <c r="U22" i="30"/>
  <c r="U29" i="26"/>
  <c r="S29" i="26"/>
  <c r="U6" i="26"/>
  <c r="S6" i="26"/>
  <c r="S15" i="30"/>
  <c r="U15" i="30"/>
  <c r="S31" i="30"/>
  <c r="U31" i="30"/>
  <c r="S16" i="30"/>
  <c r="U16" i="30"/>
  <c r="S42" i="29"/>
  <c r="S43" i="29" s="1"/>
  <c r="U16" i="26"/>
  <c r="S16" i="26"/>
  <c r="S8" i="30"/>
  <c r="U8" i="30"/>
  <c r="S12" i="26"/>
  <c r="U12" i="26"/>
  <c r="U27" i="26"/>
  <c r="S27" i="26"/>
  <c r="U5" i="26"/>
  <c r="S5" i="26"/>
  <c r="S28" i="30"/>
  <c r="U28" i="30"/>
  <c r="S20" i="30"/>
  <c r="U30" i="26"/>
  <c r="S30" i="26"/>
  <c r="U26" i="26"/>
  <c r="S26" i="26"/>
  <c r="S12" i="30"/>
  <c r="U12" i="30"/>
  <c r="S32" i="26"/>
  <c r="U32" i="26"/>
  <c r="U22" i="26"/>
  <c r="S22" i="26"/>
  <c r="S37" i="30"/>
  <c r="U37" i="30"/>
  <c r="U17" i="26"/>
  <c r="S17" i="26"/>
  <c r="O6" i="26"/>
  <c r="E7" i="31"/>
  <c r="D3" i="14" s="1"/>
  <c r="F8" i="31"/>
  <c r="F7" i="31" s="1"/>
  <c r="T42" i="29"/>
  <c r="S25" i="30"/>
  <c r="S19" i="26"/>
  <c r="U19" i="26"/>
  <c r="S36" i="30"/>
  <c r="U36" i="30"/>
  <c r="S42" i="30"/>
  <c r="U42" i="30"/>
  <c r="U11" i="26"/>
  <c r="S11" i="26"/>
  <c r="U9" i="26"/>
  <c r="S9" i="26"/>
  <c r="S30" i="30"/>
  <c r="U30" i="30"/>
  <c r="S4" i="30"/>
  <c r="U4" i="30"/>
  <c r="S7" i="30"/>
  <c r="U7" i="30"/>
  <c r="O20" i="30"/>
  <c r="U40" i="26"/>
  <c r="S40" i="26"/>
  <c r="U28" i="26"/>
  <c r="S28" i="26"/>
  <c r="S18" i="26"/>
  <c r="U18" i="26"/>
  <c r="S35" i="30"/>
  <c r="U35" i="30"/>
  <c r="S5" i="30"/>
  <c r="U5" i="30"/>
  <c r="S36" i="26"/>
  <c r="U36" i="26"/>
  <c r="U38" i="26"/>
  <c r="S38" i="26"/>
  <c r="U24" i="26"/>
  <c r="S24" i="26"/>
  <c r="S34" i="30"/>
  <c r="U34" i="30"/>
  <c r="U13" i="26"/>
  <c r="S13" i="26"/>
  <c r="S19" i="30"/>
  <c r="U19" i="30"/>
  <c r="S23" i="30"/>
  <c r="U23" i="30"/>
  <c r="S41" i="26"/>
  <c r="U41" i="26"/>
  <c r="S10" i="26"/>
  <c r="U10" i="26"/>
  <c r="S14" i="30"/>
  <c r="U14" i="30"/>
  <c r="S34" i="26"/>
  <c r="U34" i="26"/>
  <c r="S27" i="30"/>
  <c r="U27" i="30"/>
  <c r="U37" i="26"/>
  <c r="S37" i="26"/>
  <c r="S17" i="30"/>
  <c r="U17" i="30"/>
  <c r="S42" i="16"/>
  <c r="S43" i="16" s="1"/>
  <c r="T42" i="16"/>
  <c r="D4" i="14" l="1"/>
  <c r="D6" i="14" s="1"/>
  <c r="D5" i="14"/>
  <c r="E3" i="14"/>
  <c r="F11" i="31"/>
  <c r="E17" i="33"/>
  <c r="H9" i="32"/>
  <c r="H10" i="32"/>
  <c r="H7" i="32"/>
  <c r="H8" i="32"/>
  <c r="G7" i="32"/>
  <c r="G8" i="32"/>
  <c r="G10" i="32"/>
  <c r="D17" i="33"/>
  <c r="F9" i="32"/>
  <c r="G9" i="32"/>
  <c r="C22" i="33"/>
  <c r="C24" i="33"/>
  <c r="C23" i="33"/>
  <c r="C25" i="33"/>
  <c r="E11" i="31"/>
  <c r="E22" i="33" l="1"/>
  <c r="E23" i="33"/>
  <c r="E24" i="33"/>
  <c r="E25" i="33"/>
  <c r="E5" i="14"/>
  <c r="E4" i="14"/>
  <c r="E6" i="14" s="1"/>
  <c r="D24" i="33"/>
  <c r="D22" i="33"/>
  <c r="D23" i="33"/>
  <c r="D25" i="33"/>
</calcChain>
</file>

<file path=xl/sharedStrings.xml><?xml version="1.0" encoding="utf-8"?>
<sst xmlns="http://schemas.openxmlformats.org/spreadsheetml/2006/main" count="721" uniqueCount="185">
  <si>
    <t>Cost line</t>
  </si>
  <si>
    <t>Fixed Cost</t>
  </si>
  <si>
    <t>Variable Cost</t>
  </si>
  <si>
    <t xml:space="preserve">Praziquantel </t>
  </si>
  <si>
    <t>Yes</t>
  </si>
  <si>
    <t>No</t>
  </si>
  <si>
    <t>Pestle and Mortar</t>
  </si>
  <si>
    <t>Food</t>
  </si>
  <si>
    <t>Dose syringe</t>
  </si>
  <si>
    <t>Clinic space</t>
  </si>
  <si>
    <t>Computers</t>
  </si>
  <si>
    <t xml:space="preserve">Utilities </t>
  </si>
  <si>
    <t>Lab tests</t>
  </si>
  <si>
    <t>Labour</t>
  </si>
  <si>
    <t xml:space="preserve">Registers </t>
  </si>
  <si>
    <t>Scales/dose poles</t>
  </si>
  <si>
    <t>Fixed Costs</t>
  </si>
  <si>
    <t>Weight scales</t>
  </si>
  <si>
    <t>Variable Costs</t>
  </si>
  <si>
    <t>Cost per mg</t>
  </si>
  <si>
    <t>Cost tablet</t>
  </si>
  <si>
    <t>PZQ</t>
  </si>
  <si>
    <t>ALB</t>
  </si>
  <si>
    <t>Dose per tablet (mg)</t>
  </si>
  <si>
    <t>Dose  required per kg</t>
  </si>
  <si>
    <t>Cost of treatment per kg</t>
  </si>
  <si>
    <t>Average weight of Children</t>
  </si>
  <si>
    <t>Dose per child</t>
  </si>
  <si>
    <t>Number of doses</t>
  </si>
  <si>
    <t>Cost per Dose</t>
  </si>
  <si>
    <t>Cost per year</t>
  </si>
  <si>
    <t>Lab Test</t>
  </si>
  <si>
    <t>Bilharzia Flourescent</t>
  </si>
  <si>
    <t>Bilharzia Serology</t>
  </si>
  <si>
    <t>Bilharzia Microscopy</t>
  </si>
  <si>
    <t>Bilharzia Hatch Test</t>
  </si>
  <si>
    <t>Item</t>
  </si>
  <si>
    <t>Quantity</t>
  </si>
  <si>
    <t>Cost</t>
  </si>
  <si>
    <t>Bread</t>
  </si>
  <si>
    <t>2 slices</t>
  </si>
  <si>
    <t>Juice</t>
  </si>
  <si>
    <t xml:space="preserve"> 1 cup</t>
  </si>
  <si>
    <t>Cadre</t>
  </si>
  <si>
    <t>PN</t>
  </si>
  <si>
    <t>SN</t>
  </si>
  <si>
    <t>Paedriatician</t>
  </si>
  <si>
    <t>GP</t>
  </si>
  <si>
    <t>Mobile Clinic</t>
  </si>
  <si>
    <t xml:space="preserve">Clinics Utilities </t>
  </si>
  <si>
    <t>Annual Rate</t>
  </si>
  <si>
    <t>Daily Rate</t>
  </si>
  <si>
    <t>CCG*</t>
  </si>
  <si>
    <t>DPSA 2018&amp;2019</t>
  </si>
  <si>
    <t>UKZN printing</t>
  </si>
  <si>
    <t>Total Cost</t>
  </si>
  <si>
    <t>Driver</t>
  </si>
  <si>
    <t>Costs</t>
  </si>
  <si>
    <t>Number of Tests</t>
  </si>
  <si>
    <t>Total cost</t>
  </si>
  <si>
    <t>Operational costs</t>
  </si>
  <si>
    <t>Cost Item</t>
  </si>
  <si>
    <t xml:space="preserve">Petrol, fuel </t>
  </si>
  <si>
    <t>Tires and minor repairs</t>
  </si>
  <si>
    <t>Hand wash, towels, cleaning supplies</t>
  </si>
  <si>
    <t>Medical waste management</t>
  </si>
  <si>
    <t>Communication, data</t>
  </si>
  <si>
    <t xml:space="preserve">Diesel for generator </t>
  </si>
  <si>
    <t>Total</t>
  </si>
  <si>
    <t>Strategy 1</t>
  </si>
  <si>
    <t>Strategy 2</t>
  </si>
  <si>
    <t>Strategy 3</t>
  </si>
  <si>
    <t>Number of Cadres</t>
  </si>
  <si>
    <t>Discount rate</t>
  </si>
  <si>
    <t>Right2Care</t>
  </si>
  <si>
    <t>Mobile clinic (quarterly)</t>
  </si>
  <si>
    <t>Assumptions</t>
  </si>
  <si>
    <t xml:space="preserve">Costs </t>
  </si>
  <si>
    <t>at the end of 2013</t>
  </si>
  <si>
    <t>Annual Cost (2013)US$</t>
  </si>
  <si>
    <t>Average quartely Cost (US$)</t>
  </si>
  <si>
    <t>Exchange rate</t>
  </si>
  <si>
    <t>Term (years)</t>
  </si>
  <si>
    <t>Amount</t>
  </si>
  <si>
    <t>Notes</t>
  </si>
  <si>
    <t>Cost Classification - Fixed Costs Strategy 1</t>
  </si>
  <si>
    <t xml:space="preserve">Office supplies </t>
  </si>
  <si>
    <t>https://www.scaletec.co.za/mdw-digital-gym-scales</t>
  </si>
  <si>
    <t>Grand Total per quarter</t>
  </si>
  <si>
    <t>Total Fixed Costs</t>
  </si>
  <si>
    <t>Cost Classification - Variable Costs Strategy 1</t>
  </si>
  <si>
    <t>Number of children in the district</t>
  </si>
  <si>
    <t xml:space="preserve">Percentage Treatment coverage </t>
  </si>
  <si>
    <t>Treatment coverage headcount</t>
  </si>
  <si>
    <t>Number of children</t>
  </si>
  <si>
    <t>Average Cost/Child</t>
  </si>
  <si>
    <t>Sample Size</t>
  </si>
  <si>
    <t>Cost Classification - Fixed Costs Strategy 5</t>
  </si>
  <si>
    <t>S5</t>
  </si>
  <si>
    <t>TC</t>
  </si>
  <si>
    <t>VC</t>
  </si>
  <si>
    <t>FC</t>
  </si>
  <si>
    <t>S4</t>
  </si>
  <si>
    <t>S3</t>
  </si>
  <si>
    <t>S2</t>
  </si>
  <si>
    <t>S1</t>
  </si>
  <si>
    <t>Quarterly  Rate</t>
  </si>
  <si>
    <t>Paediatrican present</t>
  </si>
  <si>
    <t>Medical Officer Present</t>
  </si>
  <si>
    <t>WBOT only present</t>
  </si>
  <si>
    <t>WBOT only present and only a sample of 500 children screened for schistosmiasis.</t>
  </si>
  <si>
    <t>Fixed Clinic</t>
  </si>
  <si>
    <t>Cost Difference</t>
  </si>
  <si>
    <t>Office Supplies</t>
  </si>
  <si>
    <t>Cost Range</t>
  </si>
  <si>
    <t>Average Price Range</t>
  </si>
  <si>
    <t>Overall Price Range</t>
  </si>
  <si>
    <t>Population</t>
  </si>
  <si>
    <t>Coverage</t>
  </si>
  <si>
    <t>WHO recommended</t>
  </si>
  <si>
    <t>Immunisation</t>
  </si>
  <si>
    <t>Deworming and Vit A</t>
  </si>
  <si>
    <t>Deworming and Vit A Improved</t>
  </si>
  <si>
    <t xml:space="preserve"> </t>
  </si>
  <si>
    <t>A</t>
  </si>
  <si>
    <t>B</t>
  </si>
  <si>
    <t>Cost of Treatment</t>
  </si>
  <si>
    <t>Cost Effectiveness = Cost per additional child relative to WHO recommendation.</t>
  </si>
  <si>
    <t>CDB</t>
  </si>
  <si>
    <t>S1 % change</t>
  </si>
  <si>
    <t>S2 %change</t>
  </si>
  <si>
    <t>S3% change</t>
  </si>
  <si>
    <t>S4 % Change</t>
  </si>
  <si>
    <t>F vs M</t>
  </si>
  <si>
    <t>CDA%</t>
  </si>
  <si>
    <t xml:space="preserve">IA vs IB </t>
  </si>
  <si>
    <t>C</t>
  </si>
  <si>
    <t>D</t>
  </si>
  <si>
    <t>E</t>
  </si>
  <si>
    <t>DSL</t>
  </si>
  <si>
    <t>SDL</t>
  </si>
  <si>
    <t>SL</t>
  </si>
  <si>
    <t xml:space="preserve">WHO </t>
  </si>
  <si>
    <t xml:space="preserve">Mobile clinic </t>
  </si>
  <si>
    <t>Percentage difference in cost of PZQ (brand to Generic)</t>
  </si>
  <si>
    <t>Year 1</t>
  </si>
  <si>
    <t>Year 2</t>
  </si>
  <si>
    <t>Year 3</t>
  </si>
  <si>
    <t>Quarterly Cost (US$) (7 dec 2019)</t>
  </si>
  <si>
    <t>High end</t>
  </si>
  <si>
    <t>Meduim end</t>
  </si>
  <si>
    <t>Low end</t>
  </si>
  <si>
    <t>Cost of PZQ</t>
  </si>
  <si>
    <t>PZQ Price Difference</t>
  </si>
  <si>
    <t>1 laptop per mobile clinic</t>
  </si>
  <si>
    <t>1 mobile clinic per sub-district</t>
  </si>
  <si>
    <t>1 pestle and motar per nurse only</t>
  </si>
  <si>
    <t>1 scale per mobile clinic</t>
  </si>
  <si>
    <t>No repeat doses will be done; 85% of the children will be treated</t>
  </si>
  <si>
    <t>85% of the children will be treated</t>
  </si>
  <si>
    <t>Will be same as for cervical cancer screening study</t>
  </si>
  <si>
    <t>1 WBOT per mobile clinic</t>
  </si>
  <si>
    <t>1 Laptop per sub-district</t>
  </si>
  <si>
    <t>1 WBOT per facility</t>
  </si>
  <si>
    <t>1 pestle and mortar per facility</t>
  </si>
  <si>
    <t>Existing weight scales will be used</t>
  </si>
  <si>
    <t>Cost Drivers</t>
  </si>
  <si>
    <t>% Total cost</t>
  </si>
  <si>
    <t>Dose Syringe</t>
  </si>
  <si>
    <t>Low End Generic</t>
  </si>
  <si>
    <t>Middle Priced Gene</t>
  </si>
  <si>
    <t>High End Generics</t>
  </si>
  <si>
    <t>Total Cost of Treatment</t>
  </si>
  <si>
    <t>Cost of Low-end Generics</t>
  </si>
  <si>
    <t>Cost of Middle Cost Generics</t>
  </si>
  <si>
    <t>Cost of High end generic</t>
  </si>
  <si>
    <t xml:space="preserve"> MDA Cost Reduction Donated PZQ (%)</t>
  </si>
  <si>
    <t>MDA Cost Reduction Low end generic (%)</t>
  </si>
  <si>
    <t>MDA Cost Reduction medium cost generic (%)</t>
  </si>
  <si>
    <t>MDA Cost Reduction High End generic (%)</t>
  </si>
  <si>
    <t>Cost per unit</t>
  </si>
  <si>
    <t>Key:</t>
  </si>
  <si>
    <t>Integration with immunisation program at current 85% coverage</t>
  </si>
  <si>
    <t>Integration withdeworming and Vit A  supplimentation program at current 74 % coverage</t>
  </si>
  <si>
    <t>Integration withdeworming and Vit A  supplimentation program at assumed improved 85 % 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</si>
</sst>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R&quot;#,##0;[Red]\-&quot;R&quot;#,##0"/>
    <numFmt numFmtId="8" formatCode="&quot;R&quot;#,##0.00;[Red]\-&quot;R&quot;#,##0.00"/>
    <numFmt numFmtId="43" formatCode="_-* #,##0.00_-;\-* #,##0.00_-;_-* &quot;-&quot;??_-;_-@_-"/>
    <numFmt numFmtId="164" formatCode="_-* #,##0_-;\-* #,##0_-;_-* &quot;-&quot;??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1" fillId="0" borderId="4" xfId="0" applyFont="1" applyBorder="1"/>
    <xf numFmtId="0" fontId="5" fillId="2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6" fillId="3" borderId="0" xfId="0" applyFont="1" applyFill="1"/>
    <xf numFmtId="8" fontId="0" fillId="0" borderId="0" xfId="0" applyNumberFormat="1"/>
    <xf numFmtId="3" fontId="0" fillId="0" borderId="0" xfId="0" applyNumberFormat="1"/>
    <xf numFmtId="6" fontId="0" fillId="0" borderId="0" xfId="0" applyNumberFormat="1"/>
    <xf numFmtId="2" fontId="0" fillId="0" borderId="0" xfId="0" applyNumberFormat="1"/>
    <xf numFmtId="2" fontId="1" fillId="0" borderId="0" xfId="0" applyNumberFormat="1" applyFont="1"/>
    <xf numFmtId="0" fontId="1" fillId="0" borderId="3" xfId="0" applyFont="1" applyBorder="1"/>
    <xf numFmtId="2" fontId="0" fillId="3" borderId="0" xfId="0" applyNumberFormat="1" applyFill="1"/>
    <xf numFmtId="43" fontId="0" fillId="0" borderId="0" xfId="2" applyFont="1"/>
    <xf numFmtId="43" fontId="0" fillId="3" borderId="0" xfId="2" applyFont="1" applyFill="1"/>
    <xf numFmtId="0" fontId="8" fillId="0" borderId="0" xfId="0" applyFont="1"/>
    <xf numFmtId="0" fontId="4" fillId="0" borderId="0" xfId="1" applyAlignment="1">
      <alignment vertical="center"/>
    </xf>
    <xf numFmtId="43" fontId="0" fillId="0" borderId="0" xfId="0" applyNumberFormat="1"/>
    <xf numFmtId="0" fontId="2" fillId="0" borderId="0" xfId="0" applyFont="1" applyAlignment="1">
      <alignment vertical="center"/>
    </xf>
    <xf numFmtId="43" fontId="1" fillId="0" borderId="0" xfId="0" applyNumberFormat="1" applyFont="1"/>
    <xf numFmtId="0" fontId="3" fillId="3" borderId="0" xfId="0" applyFont="1" applyFill="1" applyAlignment="1">
      <alignment vertical="center"/>
    </xf>
    <xf numFmtId="9" fontId="0" fillId="0" borderId="0" xfId="0" applyNumberFormat="1"/>
    <xf numFmtId="0" fontId="9" fillId="0" borderId="0" xfId="0" applyFont="1" applyAlignment="1">
      <alignment vertical="center"/>
    </xf>
    <xf numFmtId="164" fontId="0" fillId="0" borderId="0" xfId="0" applyNumberFormat="1"/>
    <xf numFmtId="164" fontId="0" fillId="0" borderId="0" xfId="2" applyNumberFormat="1" applyFont="1"/>
    <xf numFmtId="0" fontId="0" fillId="0" borderId="0" xfId="0" quotePrefix="1"/>
    <xf numFmtId="164" fontId="0" fillId="2" borderId="0" xfId="0" applyNumberFormat="1" applyFill="1"/>
    <xf numFmtId="164" fontId="0" fillId="2" borderId="0" xfId="2" applyNumberFormat="1" applyFont="1" applyFill="1"/>
    <xf numFmtId="43" fontId="0" fillId="2" borderId="0" xfId="0" applyNumberFormat="1" applyFill="1"/>
    <xf numFmtId="43" fontId="0" fillId="2" borderId="0" xfId="2" applyFont="1" applyFill="1"/>
    <xf numFmtId="0" fontId="10" fillId="0" borderId="0" xfId="0" applyFont="1"/>
    <xf numFmtId="43" fontId="10" fillId="0" borderId="0" xfId="2" applyFont="1"/>
    <xf numFmtId="0" fontId="11" fillId="0" borderId="0" xfId="0" applyFont="1"/>
    <xf numFmtId="0" fontId="11" fillId="2" borderId="0" xfId="0" applyFont="1" applyFill="1"/>
    <xf numFmtId="43" fontId="10" fillId="0" borderId="0" xfId="0" applyNumberFormat="1" applyFont="1"/>
    <xf numFmtId="164" fontId="10" fillId="0" borderId="0" xfId="0" applyNumberFormat="1" applyFont="1"/>
    <xf numFmtId="164" fontId="10" fillId="2" borderId="0" xfId="0" applyNumberFormat="1" applyFont="1" applyFill="1"/>
    <xf numFmtId="43" fontId="10" fillId="2" borderId="0" xfId="0" applyNumberFormat="1" applyFont="1" applyFill="1"/>
    <xf numFmtId="0" fontId="12" fillId="0" borderId="0" xfId="0" applyFont="1"/>
    <xf numFmtId="0" fontId="5" fillId="0" borderId="0" xfId="0" applyFont="1"/>
    <xf numFmtId="43" fontId="5" fillId="0" borderId="0" xfId="0" applyNumberFormat="1" applyFont="1"/>
    <xf numFmtId="43" fontId="10" fillId="2" borderId="0" xfId="2" applyFont="1" applyFill="1"/>
    <xf numFmtId="0" fontId="13" fillId="0" borderId="0" xfId="0" applyFont="1"/>
    <xf numFmtId="1" fontId="0" fillId="0" borderId="0" xfId="0" applyNumberFormat="1"/>
    <xf numFmtId="0" fontId="1" fillId="0" borderId="0" xfId="0" applyFont="1" applyAlignment="1"/>
    <xf numFmtId="165" fontId="0" fillId="0" borderId="0" xfId="0" applyNumberFormat="1"/>
    <xf numFmtId="43" fontId="0" fillId="0" borderId="0" xfId="0" applyNumberFormat="1" applyAlignment="1"/>
    <xf numFmtId="1" fontId="1" fillId="0" borderId="0" xfId="0" applyNumberFormat="1" applyFont="1" applyAlignment="1"/>
    <xf numFmtId="43" fontId="5" fillId="2" borderId="0" xfId="0" applyNumberFormat="1" applyFont="1" applyFill="1"/>
    <xf numFmtId="2" fontId="0" fillId="2" borderId="0" xfId="0" applyNumberFormat="1" applyFill="1"/>
    <xf numFmtId="1" fontId="0" fillId="2" borderId="0" xfId="0" applyNumberFormat="1" applyFill="1"/>
    <xf numFmtId="0" fontId="2" fillId="0" borderId="1" xfId="0" applyFont="1" applyBorder="1" applyAlignment="1">
      <alignment horizontal="center" vertical="center"/>
    </xf>
    <xf numFmtId="164" fontId="13" fillId="0" borderId="0" xfId="0" applyNumberFormat="1" applyFont="1"/>
    <xf numFmtId="0" fontId="14" fillId="0" borderId="2" xfId="0" applyFont="1" applyBorder="1" applyAlignment="1">
      <alignment vertical="center" wrapText="1"/>
    </xf>
    <xf numFmtId="9" fontId="9" fillId="0" borderId="2" xfId="0" applyNumberFormat="1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right" vertical="center"/>
    </xf>
    <xf numFmtId="9" fontId="9" fillId="0" borderId="2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0" fillId="0" borderId="0" xfId="0" applyAlignment="1"/>
    <xf numFmtId="2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 b="1">
                <a:solidFill>
                  <a:sysClr val="windowText" lastClr="000000"/>
                </a:solidFill>
              </a:rPr>
              <a:t>Differential costing of Labour and</a:t>
            </a:r>
            <a:r>
              <a:rPr lang="en-ZA" b="1" baseline="0">
                <a:solidFill>
                  <a:sysClr val="windowText" lastClr="000000"/>
                </a:solidFill>
              </a:rPr>
              <a:t> diagnosis scenarios</a:t>
            </a:r>
            <a:endParaRPr lang="en-ZA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131726839889904E-2"/>
          <c:y val="0.11247607259180169"/>
          <c:w val="0.89137594369428608"/>
          <c:h val="0.53538130025355601"/>
        </c:manualLayout>
      </c:layout>
      <c:lineChart>
        <c:grouping val="standard"/>
        <c:varyColors val="0"/>
        <c:ser>
          <c:idx val="0"/>
          <c:order val="0"/>
          <c:tx>
            <c:strRef>
              <c:f>'Economies of Scale'!$F$2</c:f>
              <c:strCache>
                <c:ptCount val="1"/>
                <c:pt idx="0">
                  <c:v>Paediatrican present</c:v>
                </c:pt>
              </c:strCache>
            </c:strRef>
          </c:tx>
          <c:spPr>
            <a:ln w="952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'Economies of Scale'!$B$3:$B$41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Scale'!$F$3:$F$41</c:f>
              <c:numCache>
                <c:formatCode>_-* #\ ##0_-;\-* #\ ##0_-;_-* "-"??_-;_-@_-</c:formatCode>
                <c:ptCount val="39"/>
                <c:pt idx="0">
                  <c:v>60.053094593363127</c:v>
                </c:pt>
                <c:pt idx="1">
                  <c:v>41.026587341870226</c:v>
                </c:pt>
                <c:pt idx="2">
                  <c:v>34.684418258039258</c:v>
                </c:pt>
                <c:pt idx="3">
                  <c:v>31.513333716123778</c:v>
                </c:pt>
                <c:pt idx="4">
                  <c:v>29.610682990974489</c:v>
                </c:pt>
                <c:pt idx="5">
                  <c:v>28.342249174208298</c:v>
                </c:pt>
                <c:pt idx="6">
                  <c:v>27.4362250193753</c:v>
                </c:pt>
                <c:pt idx="7">
                  <c:v>26.756706903250553</c:v>
                </c:pt>
                <c:pt idx="8">
                  <c:v>26.228192812931308</c:v>
                </c:pt>
                <c:pt idx="9">
                  <c:v>25.80538154067591</c:v>
                </c:pt>
                <c:pt idx="10">
                  <c:v>25.459445045194219</c:v>
                </c:pt>
                <c:pt idx="11">
                  <c:v>25.171164632292815</c:v>
                </c:pt>
                <c:pt idx="12">
                  <c:v>24.927235052145466</c:v>
                </c:pt>
                <c:pt idx="13">
                  <c:v>24.718152554876312</c:v>
                </c:pt>
                <c:pt idx="14">
                  <c:v>24.536947723909716</c:v>
                </c:pt>
                <c:pt idx="15">
                  <c:v>24.378393496813938</c:v>
                </c:pt>
                <c:pt idx="16">
                  <c:v>24.238492708200024</c:v>
                </c:pt>
                <c:pt idx="17">
                  <c:v>24.114136451654318</c:v>
                </c:pt>
                <c:pt idx="18">
                  <c:v>24.002870327376581</c:v>
                </c:pt>
                <c:pt idx="19">
                  <c:v>23.90273081552662</c:v>
                </c:pt>
                <c:pt idx="20">
                  <c:v>23.812128400043317</c:v>
                </c:pt>
                <c:pt idx="21">
                  <c:v>23.729762567785773</c:v>
                </c:pt>
                <c:pt idx="22">
                  <c:v>23.654558981811491</c:v>
                </c:pt>
                <c:pt idx="23">
                  <c:v>23.585622361335069</c:v>
                </c:pt>
                <c:pt idx="24">
                  <c:v>23.522200670496755</c:v>
                </c:pt>
                <c:pt idx="25">
                  <c:v>23.463657571261393</c:v>
                </c:pt>
                <c:pt idx="26">
                  <c:v>23.40945099789532</c:v>
                </c:pt>
                <c:pt idx="27">
                  <c:v>23.359116322626818</c:v>
                </c:pt>
                <c:pt idx="28">
                  <c:v>23.312253004273387</c:v>
                </c:pt>
                <c:pt idx="29">
                  <c:v>23.268513907143522</c:v>
                </c:pt>
                <c:pt idx="30">
                  <c:v>23.227596687247836</c:v>
                </c:pt>
                <c:pt idx="31">
                  <c:v>23.189236793595633</c:v>
                </c:pt>
                <c:pt idx="32">
                  <c:v>23.153201741982958</c:v>
                </c:pt>
                <c:pt idx="33">
                  <c:v>23.119286399288676</c:v>
                </c:pt>
                <c:pt idx="34">
                  <c:v>23.087309076176918</c:v>
                </c:pt>
                <c:pt idx="35">
                  <c:v>23.057108271015821</c:v>
                </c:pt>
                <c:pt idx="36">
                  <c:v>23.028539941809377</c:v>
                </c:pt>
                <c:pt idx="37">
                  <c:v>23.001475208876951</c:v>
                </c:pt>
                <c:pt idx="38">
                  <c:v>22.975798410966707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B8-4C5C-8BC1-CF9C2992277A}"/>
            </c:ext>
          </c:extLst>
        </c:ser>
        <c:ser>
          <c:idx val="1"/>
          <c:order val="1"/>
          <c:tx>
            <c:strRef>
              <c:f>'Economies of Scale'!$J$2</c:f>
              <c:strCache>
                <c:ptCount val="1"/>
                <c:pt idx="0">
                  <c:v>Medical Officer Present</c:v>
                </c:pt>
              </c:strCache>
            </c:strRef>
          </c:tx>
          <c:spPr>
            <a:ln w="952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2"/>
            <c:marker>
              <c:symbol val="none"/>
            </c:marker>
            <c:bubble3D val="0"/>
            <c:spPr>
              <a:ln w="9525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6DB8-4C5C-8BC1-CF9C2992277A}"/>
              </c:ext>
            </c:extLst>
          </c:dPt>
          <c:cat>
            <c:numRef>
              <c:f>'Economies of Scale'!$B$3:$B$41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Scale'!$J$3:$J$41</c:f>
              <c:numCache>
                <c:formatCode>_-* #\ ##0_-;\-* #\ ##0_-;_-* "-"??_-;_-@_-</c:formatCode>
                <c:ptCount val="39"/>
                <c:pt idx="0">
                  <c:v>57.014051254406276</c:v>
                </c:pt>
                <c:pt idx="1">
                  <c:v>39.507065672391803</c:v>
                </c:pt>
                <c:pt idx="2">
                  <c:v>33.67140381172031</c:v>
                </c:pt>
                <c:pt idx="3">
                  <c:v>30.753572881384564</c:v>
                </c:pt>
                <c:pt idx="4">
                  <c:v>29.002874323183118</c:v>
                </c:pt>
                <c:pt idx="5">
                  <c:v>27.835741951048821</c:v>
                </c:pt>
                <c:pt idx="6">
                  <c:v>27.002075970952891</c:v>
                </c:pt>
                <c:pt idx="7">
                  <c:v>26.376826485880944</c:v>
                </c:pt>
                <c:pt idx="8">
                  <c:v>25.890521330824988</c:v>
                </c:pt>
                <c:pt idx="9">
                  <c:v>25.501477206780223</c:v>
                </c:pt>
                <c:pt idx="10">
                  <c:v>25.183168378016319</c:v>
                </c:pt>
                <c:pt idx="11">
                  <c:v>24.917911020713074</c:v>
                </c:pt>
                <c:pt idx="12">
                  <c:v>24.693462487610326</c:v>
                </c:pt>
                <c:pt idx="13">
                  <c:v>24.501078030665106</c:v>
                </c:pt>
                <c:pt idx="14">
                  <c:v>24.334344834645922</c:v>
                </c:pt>
                <c:pt idx="15">
                  <c:v>24.188453288129139</c:v>
                </c:pt>
                <c:pt idx="16">
                  <c:v>24.059725452967268</c:v>
                </c:pt>
                <c:pt idx="17">
                  <c:v>23.945300710601156</c:v>
                </c:pt>
                <c:pt idx="18">
                  <c:v>23.8429206779578</c:v>
                </c:pt>
                <c:pt idx="19">
                  <c:v>23.750778648578777</c:v>
                </c:pt>
                <c:pt idx="20">
                  <c:v>23.66741205056918</c:v>
                </c:pt>
                <c:pt idx="21">
                  <c:v>23.591624234196825</c:v>
                </c:pt>
                <c:pt idx="22">
                  <c:v>23.522426662726414</c:v>
                </c:pt>
                <c:pt idx="23">
                  <c:v>23.458995555545204</c:v>
                </c:pt>
                <c:pt idx="24">
                  <c:v>23.400638936938485</c:v>
                </c:pt>
                <c:pt idx="25">
                  <c:v>23.346771288993828</c:v>
                </c:pt>
                <c:pt idx="26">
                  <c:v>23.296893837193217</c:v>
                </c:pt>
                <c:pt idx="27">
                  <c:v>23.250579060521218</c:v>
                </c:pt>
                <c:pt idx="28">
                  <c:v>23.207458406378326</c:v>
                </c:pt>
                <c:pt idx="29">
                  <c:v>23.167212462511628</c:v>
                </c:pt>
                <c:pt idx="30">
                  <c:v>23.129563031152454</c:v>
                </c:pt>
                <c:pt idx="31">
                  <c:v>23.094266689253232</c:v>
                </c:pt>
                <c:pt idx="32">
                  <c:v>23.061109519590328</c:v>
                </c:pt>
                <c:pt idx="33">
                  <c:v>23.029902771672297</c:v>
                </c:pt>
                <c:pt idx="34">
                  <c:v>23.000479266492441</c:v>
                </c:pt>
                <c:pt idx="35">
                  <c:v>22.972690400489245</c:v>
                </c:pt>
                <c:pt idx="36">
                  <c:v>22.946403635351086</c:v>
                </c:pt>
                <c:pt idx="37">
                  <c:v>22.921500384167562</c:v>
                </c:pt>
                <c:pt idx="38">
                  <c:v>22.897874222788328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B8-4C5C-8BC1-CF9C2992277A}"/>
            </c:ext>
          </c:extLst>
        </c:ser>
        <c:ser>
          <c:idx val="2"/>
          <c:order val="2"/>
          <c:tx>
            <c:strRef>
              <c:f>'Economies of Scale'!$N$2</c:f>
              <c:strCache>
                <c:ptCount val="1"/>
                <c:pt idx="0">
                  <c:v>WBOT only present</c:v>
                </c:pt>
              </c:strCache>
            </c:strRef>
          </c:tx>
          <c:spPr>
            <a:ln w="95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'Economies of Scale'!$B$3:$B$41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Scale'!$N$3:$N$41</c:f>
              <c:numCache>
                <c:formatCode>_-* #\ ##0_-;\-* #\ ##0_-;_-* "-"??_-;_-@_-</c:formatCode>
                <c:ptCount val="39"/>
                <c:pt idx="0">
                  <c:v>48.185091828444392</c:v>
                </c:pt>
                <c:pt idx="1">
                  <c:v>35.092585959410862</c:v>
                </c:pt>
                <c:pt idx="2">
                  <c:v>30.728417336399687</c:v>
                </c:pt>
                <c:pt idx="3">
                  <c:v>28.546333024894096</c:v>
                </c:pt>
                <c:pt idx="4">
                  <c:v>27.23708243799074</c:v>
                </c:pt>
                <c:pt idx="5">
                  <c:v>26.364248713388506</c:v>
                </c:pt>
                <c:pt idx="6">
                  <c:v>25.740796052958334</c:v>
                </c:pt>
                <c:pt idx="7">
                  <c:v>25.27320655763571</c:v>
                </c:pt>
                <c:pt idx="8">
                  <c:v>24.909525839051444</c:v>
                </c:pt>
                <c:pt idx="9">
                  <c:v>24.618581264184034</c:v>
                </c:pt>
                <c:pt idx="10">
                  <c:v>24.380535702928878</c:v>
                </c:pt>
                <c:pt idx="11">
                  <c:v>24.182164401882918</c:v>
                </c:pt>
                <c:pt idx="12">
                  <c:v>24.014311762536334</c:v>
                </c:pt>
                <c:pt idx="13">
                  <c:v>23.870438071667831</c:v>
                </c:pt>
                <c:pt idx="14">
                  <c:v>23.745747539581799</c:v>
                </c:pt>
                <c:pt idx="15">
                  <c:v>23.636643324006521</c:v>
                </c:pt>
                <c:pt idx="16">
                  <c:v>23.540374898498921</c:v>
                </c:pt>
                <c:pt idx="17">
                  <c:v>23.454802964714389</c:v>
                </c:pt>
                <c:pt idx="18">
                  <c:v>23.378238602907174</c:v>
                </c:pt>
                <c:pt idx="19">
                  <c:v>23.309330677280684</c:v>
                </c:pt>
                <c:pt idx="20">
                  <c:v>23.246985411237663</c:v>
                </c:pt>
                <c:pt idx="21">
                  <c:v>23.190307896653103</c:v>
                </c:pt>
                <c:pt idx="22">
                  <c:v>23.138558861597634</c:v>
                </c:pt>
                <c:pt idx="23">
                  <c:v>23.091122246130123</c:v>
                </c:pt>
                <c:pt idx="24">
                  <c:v>23.047480559900006</c:v>
                </c:pt>
                <c:pt idx="25">
                  <c:v>23.007195926456827</c:v>
                </c:pt>
                <c:pt idx="26">
                  <c:v>22.969895339935366</c:v>
                </c:pt>
                <c:pt idx="27">
                  <c:v>22.935259081022576</c:v>
                </c:pt>
                <c:pt idx="28">
                  <c:v>22.903011529621018</c:v>
                </c:pt>
                <c:pt idx="29">
                  <c:v>22.872913814979562</c:v>
                </c:pt>
                <c:pt idx="30">
                  <c:v>22.844757888379487</c:v>
                </c:pt>
                <c:pt idx="31">
                  <c:v>22.818361707191922</c:v>
                </c:pt>
                <c:pt idx="32">
                  <c:v>22.793565294561176</c:v>
                </c:pt>
                <c:pt idx="33">
                  <c:v>22.770227494438124</c:v>
                </c:pt>
                <c:pt idx="34">
                  <c:v>22.748223282893527</c:v>
                </c:pt>
                <c:pt idx="35">
                  <c:v>22.727441527545857</c:v>
                </c:pt>
                <c:pt idx="36">
                  <c:v>22.707783110325085</c:v>
                </c:pt>
                <c:pt idx="37">
                  <c:v>22.689159346642249</c:v>
                </c:pt>
                <c:pt idx="38">
                  <c:v>22.671490647763662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B8-4C5C-8BC1-CF9C2992277A}"/>
            </c:ext>
          </c:extLst>
        </c:ser>
        <c:ser>
          <c:idx val="3"/>
          <c:order val="3"/>
          <c:tx>
            <c:strRef>
              <c:f>'Economies of Scale'!$R$2</c:f>
              <c:strCache>
                <c:ptCount val="1"/>
                <c:pt idx="0">
                  <c:v>WBOT only present and only a sample of 500 children screened for schistosmiasis.</c:v>
                </c:pt>
              </c:strCache>
            </c:strRef>
          </c:tx>
          <c:spPr>
            <a:ln w="95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'Economies of Scale'!$B$3:$B$41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Scale'!$R$3:$R$41</c:f>
              <c:numCache>
                <c:formatCode>_-* #\ ##0_-;\-* #\ ##0_-;_-* "-"??_-;_-@_-</c:formatCode>
                <c:ptCount val="39"/>
                <c:pt idx="0">
                  <c:v>48.185091828444392</c:v>
                </c:pt>
                <c:pt idx="1">
                  <c:v>32.067932231580073</c:v>
                </c:pt>
                <c:pt idx="2">
                  <c:v>26.695545699291969</c:v>
                </c:pt>
                <c:pt idx="3">
                  <c:v>24.009352433147917</c:v>
                </c:pt>
                <c:pt idx="4">
                  <c:v>22.397636473461485</c:v>
                </c:pt>
                <c:pt idx="5">
                  <c:v>21.323159167003865</c:v>
                </c:pt>
                <c:pt idx="6">
                  <c:v>20.555675376676991</c:v>
                </c:pt>
                <c:pt idx="7">
                  <c:v>19.980062533931839</c:v>
                </c:pt>
                <c:pt idx="8">
                  <c:v>19.532363656241163</c:v>
                </c:pt>
                <c:pt idx="9">
                  <c:v>19.174204554088622</c:v>
                </c:pt>
                <c:pt idx="10">
                  <c:v>18.88116528869109</c:v>
                </c:pt>
                <c:pt idx="11">
                  <c:v>18.636965900859813</c:v>
                </c:pt>
                <c:pt idx="12">
                  <c:v>18.430335649617962</c:v>
                </c:pt>
                <c:pt idx="13">
                  <c:v>18.253224005696378</c:v>
                </c:pt>
                <c:pt idx="14">
                  <c:v>18.099727247630998</c:v>
                </c:pt>
                <c:pt idx="15">
                  <c:v>17.965417584323799</c:v>
                </c:pt>
                <c:pt idx="16">
                  <c:v>17.846909057876267</c:v>
                </c:pt>
                <c:pt idx="17">
                  <c:v>17.741568145478457</c:v>
                </c:pt>
                <c:pt idx="18">
                  <c:v>17.64731575017516</c:v>
                </c:pt>
                <c:pt idx="19">
                  <c:v>17.56248859440219</c:v>
                </c:pt>
                <c:pt idx="20">
                  <c:v>17.4857402153695</c:v>
                </c:pt>
                <c:pt idx="21">
                  <c:v>17.41596896170342</c:v>
                </c:pt>
                <c:pt idx="22">
                  <c:v>17.352264773573523</c:v>
                </c:pt>
                <c:pt idx="23">
                  <c:v>17.293869267787784</c:v>
                </c:pt>
                <c:pt idx="24">
                  <c:v>17.240145402464901</c:v>
                </c:pt>
                <c:pt idx="25">
                  <c:v>17.190554142166857</c:v>
                </c:pt>
                <c:pt idx="26">
                  <c:v>17.144636308557558</c:v>
                </c:pt>
                <c:pt idx="27">
                  <c:v>17.101998320206068</c:v>
                </c:pt>
                <c:pt idx="28">
                  <c:v>17.062300882775364</c:v>
                </c:pt>
                <c:pt idx="29">
                  <c:v>17.025249941173378</c:v>
                </c:pt>
                <c:pt idx="30">
                  <c:v>16.990589382900552</c:v>
                </c:pt>
                <c:pt idx="31">
                  <c:v>16.958095109519778</c:v>
                </c:pt>
                <c:pt idx="32">
                  <c:v>16.927570186040867</c:v>
                </c:pt>
                <c:pt idx="33">
                  <c:v>16.898840846296014</c:v>
                </c:pt>
                <c:pt idx="34">
                  <c:v>16.871753183108002</c:v>
                </c:pt>
                <c:pt idx="35">
                  <c:v>16.846170390097107</c:v>
                </c:pt>
                <c:pt idx="36">
                  <c:v>16.821970450762478</c:v>
                </c:pt>
                <c:pt idx="37">
                  <c:v>16.799044192445457</c:v>
                </c:pt>
                <c:pt idx="38">
                  <c:v>16.777293639683158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B8-4C5C-8BC1-CF9C29922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5200432"/>
        <c:axId val="815207920"/>
      </c:lineChart>
      <c:catAx>
        <c:axId val="815200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Number of children treaten in Schistosomiasis</a:t>
                </a:r>
                <a:r>
                  <a:rPr lang="en-ZA" b="1" baseline="0">
                    <a:solidFill>
                      <a:sysClr val="windowText" lastClr="000000"/>
                    </a:solidFill>
                  </a:rPr>
                  <a:t> Control MDA Program</a:t>
                </a:r>
                <a:endParaRPr lang="en-ZA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5207920"/>
        <c:crosses val="autoZero"/>
        <c:auto val="1"/>
        <c:lblAlgn val="ctr"/>
        <c:lblOffset val="100"/>
        <c:noMultiLvlLbl val="0"/>
      </c:catAx>
      <c:valAx>
        <c:axId val="815207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Cost</a:t>
                </a:r>
                <a:r>
                  <a:rPr lang="en-ZA" b="1" baseline="0">
                    <a:solidFill>
                      <a:sysClr val="windowText" lastClr="000000"/>
                    </a:solidFill>
                  </a:rPr>
                  <a:t> in Rands</a:t>
                </a:r>
                <a:endParaRPr lang="en-ZA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520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ZA" b="1">
                <a:solidFill>
                  <a:sysClr val="windowText" lastClr="000000"/>
                </a:solidFill>
              </a:rPr>
              <a:t>Economies of Scope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'Economies of Scope (2)'!$J$3</c:f>
              <c:strCache>
                <c:ptCount val="1"/>
                <c:pt idx="0">
                  <c:v>Fixed Clinic</c:v>
                </c:pt>
              </c:strCache>
            </c:strRef>
          </c:tx>
          <c:spPr>
            <a:ln w="158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 (2)'!$F$4:$F$42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Scope (2)'!$J$4:$J$42</c:f>
              <c:numCache>
                <c:formatCode>_(* #,##0.00_);_(* \(#,##0.00\);_(* "-"??_);_(@_)</c:formatCode>
                <c:ptCount val="39"/>
                <c:pt idx="0">
                  <c:v>330.56391027466742</c:v>
                </c:pt>
                <c:pt idx="1">
                  <c:v>173.25734145469164</c:v>
                </c:pt>
                <c:pt idx="2">
                  <c:v>120.82181851469964</c:v>
                </c:pt>
                <c:pt idx="3">
                  <c:v>94.604057044703694</c:v>
                </c:pt>
                <c:pt idx="4">
                  <c:v>78.873400162706091</c:v>
                </c:pt>
                <c:pt idx="5">
                  <c:v>68.386295574707717</c:v>
                </c:pt>
                <c:pt idx="6">
                  <c:v>60.89550658328028</c:v>
                </c:pt>
                <c:pt idx="7">
                  <c:v>55.277414839709728</c:v>
                </c:pt>
                <c:pt idx="8">
                  <c:v>50.907787928043724</c:v>
                </c:pt>
                <c:pt idx="9">
                  <c:v>47.412086398710933</c:v>
                </c:pt>
                <c:pt idx="10">
                  <c:v>44.551966965620458</c:v>
                </c:pt>
                <c:pt idx="11">
                  <c:v>42.168534104711739</c:v>
                </c:pt>
                <c:pt idx="12">
                  <c:v>40.151783222404347</c:v>
                </c:pt>
                <c:pt idx="13">
                  <c:v>38.423139608998028</c:v>
                </c:pt>
                <c:pt idx="14">
                  <c:v>36.924981810712538</c:v>
                </c:pt>
                <c:pt idx="15">
                  <c:v>35.614093737212741</c:v>
                </c:pt>
                <c:pt idx="16">
                  <c:v>34.457427790007031</c:v>
                </c:pt>
                <c:pt idx="17">
                  <c:v>33.429280281379746</c:v>
                </c:pt>
                <c:pt idx="18">
                  <c:v>32.509358826292164</c:v>
                </c:pt>
                <c:pt idx="19">
                  <c:v>31.681429516713347</c:v>
                </c:pt>
                <c:pt idx="20">
                  <c:v>30.932350617570599</c:v>
                </c:pt>
                <c:pt idx="21">
                  <c:v>30.25136980016811</c:v>
                </c:pt>
                <c:pt idx="22">
                  <c:v>29.629604706018004</c:v>
                </c:pt>
                <c:pt idx="23">
                  <c:v>29.059653369713747</c:v>
                </c:pt>
                <c:pt idx="24">
                  <c:v>28.535298140313827</c:v>
                </c:pt>
                <c:pt idx="25">
                  <c:v>28.051277928560058</c:v>
                </c:pt>
                <c:pt idx="26">
                  <c:v>27.603111065825079</c:v>
                </c:pt>
                <c:pt idx="27">
                  <c:v>27.186956121856891</c:v>
                </c:pt>
                <c:pt idx="28">
                  <c:v>26.799501518852022</c:v>
                </c:pt>
                <c:pt idx="29">
                  <c:v>26.43787722271415</c:v>
                </c:pt>
                <c:pt idx="30">
                  <c:v>26.099583526327102</c:v>
                </c:pt>
                <c:pt idx="31">
                  <c:v>25.782433185964251</c:v>
                </c:pt>
                <c:pt idx="32">
                  <c:v>25.484504078350657</c:v>
                </c:pt>
                <c:pt idx="33">
                  <c:v>25.2041002123614</c:v>
                </c:pt>
                <c:pt idx="34">
                  <c:v>24.939719424428663</c:v>
                </c:pt>
                <c:pt idx="35">
                  <c:v>24.69002645804775</c:v>
                </c:pt>
                <c:pt idx="36">
                  <c:v>24.453830408768507</c:v>
                </c:pt>
                <c:pt idx="37">
                  <c:v>24.230065730503963</c:v>
                </c:pt>
                <c:pt idx="38">
                  <c:v>24.017776163945289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7A-421B-AC97-9FF05E9AB202}"/>
            </c:ext>
          </c:extLst>
        </c:ser>
        <c:ser>
          <c:idx val="1"/>
          <c:order val="1"/>
          <c:tx>
            <c:strRef>
              <c:f>'Economies of Scope (2)'!$N$3</c:f>
              <c:strCache>
                <c:ptCount val="1"/>
                <c:pt idx="0">
                  <c:v>Mobile Clinic</c:v>
                </c:pt>
              </c:strCache>
            </c:strRef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 (2)'!$F$4:$F$42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Scope (2)'!$N$4:$N$42</c:f>
              <c:numCache>
                <c:formatCode>_(* #,##0.00_);_(* \(#,##0.00\);_(* "-"??_);_(@_)</c:formatCode>
                <c:ptCount val="39"/>
                <c:pt idx="0">
                  <c:v>405.66286316423032</c:v>
                </c:pt>
                <c:pt idx="1">
                  <c:v>210.80681789947303</c:v>
                </c:pt>
                <c:pt idx="2">
                  <c:v>145.85480281122059</c:v>
                </c:pt>
                <c:pt idx="3">
                  <c:v>113.37879526709439</c:v>
                </c:pt>
                <c:pt idx="4">
                  <c:v>93.893190740618664</c:v>
                </c:pt>
                <c:pt idx="5">
                  <c:v>80.902787722968185</c:v>
                </c:pt>
                <c:pt idx="6">
                  <c:v>71.623928424646408</c:v>
                </c:pt>
                <c:pt idx="7">
                  <c:v>64.664783950905075</c:v>
                </c:pt>
                <c:pt idx="8">
                  <c:v>59.252116026884039</c:v>
                </c:pt>
                <c:pt idx="9">
                  <c:v>54.921981687667213</c:v>
                </c:pt>
                <c:pt idx="10">
                  <c:v>51.379144501035263</c:v>
                </c:pt>
                <c:pt idx="11">
                  <c:v>48.426780178841973</c:v>
                </c:pt>
                <c:pt idx="12">
                  <c:v>45.928625752370721</c:v>
                </c:pt>
                <c:pt idx="13">
                  <c:v>43.787350529681085</c:v>
                </c:pt>
                <c:pt idx="14">
                  <c:v>41.931578670016727</c:v>
                </c:pt>
                <c:pt idx="15">
                  <c:v>40.307778292810418</c:v>
                </c:pt>
                <c:pt idx="16">
                  <c:v>38.875013254098974</c:v>
                </c:pt>
                <c:pt idx="17">
                  <c:v>37.6014443307999</c:v>
                </c:pt>
                <c:pt idx="18">
                  <c:v>36.461935294163887</c:v>
                </c:pt>
                <c:pt idx="19">
                  <c:v>35.436377161191487</c:v>
                </c:pt>
                <c:pt idx="20">
                  <c:v>34.508491231359308</c:v>
                </c:pt>
                <c:pt idx="21">
                  <c:v>33.664958567875509</c:v>
                </c:pt>
                <c:pt idx="22">
                  <c:v>32.894776570781602</c:v>
                </c:pt>
                <c:pt idx="23">
                  <c:v>32.188776406778864</c:v>
                </c:pt>
                <c:pt idx="24">
                  <c:v>31.539256255896344</c:v>
                </c:pt>
                <c:pt idx="25">
                  <c:v>30.939699193543241</c:v>
                </c:pt>
                <c:pt idx="26">
                  <c:v>30.384553765438515</c:v>
                </c:pt>
                <c:pt idx="27">
                  <c:v>29.86906158219842</c:v>
                </c:pt>
                <c:pt idx="28">
                  <c:v>29.389120584009365</c:v>
                </c:pt>
                <c:pt idx="29">
                  <c:v>28.941175652366244</c:v>
                </c:pt>
                <c:pt idx="30">
                  <c:v>28.522130393732354</c:v>
                </c:pt>
                <c:pt idx="31">
                  <c:v>28.129275463763086</c:v>
                </c:pt>
                <c:pt idx="32">
                  <c:v>27.760229923488929</c:v>
                </c:pt>
                <c:pt idx="33">
                  <c:v>27.412892944407364</c:v>
                </c:pt>
                <c:pt idx="34">
                  <c:v>27.085403792701886</c:v>
                </c:pt>
                <c:pt idx="35">
                  <c:v>26.776108482757827</c:v>
                </c:pt>
                <c:pt idx="36">
                  <c:v>26.483531838216152</c:v>
                </c:pt>
                <c:pt idx="37">
                  <c:v>26.206353964439824</c:v>
                </c:pt>
                <c:pt idx="38">
                  <c:v>25.943390340600743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7A-421B-AC97-9FF05E9AB202}"/>
            </c:ext>
          </c:extLst>
        </c:ser>
        <c:ser>
          <c:idx val="2"/>
          <c:order val="2"/>
          <c:tx>
            <c:strRef>
              <c:f>'Economies of Scope (2)'!$P$3</c:f>
              <c:strCache>
                <c:ptCount val="1"/>
                <c:pt idx="0">
                  <c:v>A</c:v>
                </c:pt>
              </c:strCache>
            </c:strRef>
          </c:tx>
          <c:spPr>
            <a:ln w="158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 (2)'!$F$4:$F$42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Scope (2)'!$P$4:$P$42</c:f>
              <c:numCache>
                <c:formatCode>_(* #,##0.00_);_(* \(#,##0.00\);_(* "-"??_);_(@_)</c:formatCode>
                <c:ptCount val="39"/>
                <c:pt idx="0">
                  <c:v>173.25734145469164</c:v>
                </c:pt>
                <c:pt idx="1">
                  <c:v>94.604057044703694</c:v>
                </c:pt>
                <c:pt idx="2">
                  <c:v>68.386295574707717</c:v>
                </c:pt>
                <c:pt idx="3">
                  <c:v>55.277414839709728</c:v>
                </c:pt>
                <c:pt idx="4">
                  <c:v>47.412086398710933</c:v>
                </c:pt>
                <c:pt idx="5">
                  <c:v>42.168534104711739</c:v>
                </c:pt>
                <c:pt idx="6">
                  <c:v>38.423139608998028</c:v>
                </c:pt>
                <c:pt idx="7">
                  <c:v>35.614093737212741</c:v>
                </c:pt>
                <c:pt idx="8">
                  <c:v>33.429280281379746</c:v>
                </c:pt>
                <c:pt idx="9">
                  <c:v>31.681429516713347</c:v>
                </c:pt>
                <c:pt idx="10">
                  <c:v>30.25136980016811</c:v>
                </c:pt>
                <c:pt idx="11">
                  <c:v>29.059653369713747</c:v>
                </c:pt>
                <c:pt idx="12">
                  <c:v>28.051277928560058</c:v>
                </c:pt>
                <c:pt idx="13">
                  <c:v>27.186956121856891</c:v>
                </c:pt>
                <c:pt idx="14">
                  <c:v>26.43787722271415</c:v>
                </c:pt>
                <c:pt idx="15">
                  <c:v>25.782433185964251</c:v>
                </c:pt>
                <c:pt idx="16">
                  <c:v>25.2041002123614</c:v>
                </c:pt>
                <c:pt idx="17">
                  <c:v>24.69002645804775</c:v>
                </c:pt>
                <c:pt idx="18">
                  <c:v>24.230065730503963</c:v>
                </c:pt>
                <c:pt idx="19">
                  <c:v>23.816101075714553</c:v>
                </c:pt>
                <c:pt idx="20">
                  <c:v>23.44156162614318</c:v>
                </c:pt>
                <c:pt idx="21">
                  <c:v>23.101071217441934</c:v>
                </c:pt>
                <c:pt idx="22">
                  <c:v>22.790188670366884</c:v>
                </c:pt>
                <c:pt idx="23">
                  <c:v>22.505213002214752</c:v>
                </c:pt>
                <c:pt idx="24">
                  <c:v>22.243035387514794</c:v>
                </c:pt>
                <c:pt idx="25">
                  <c:v>22.001025281637908</c:v>
                </c:pt>
                <c:pt idx="26">
                  <c:v>21.776941850270422</c:v>
                </c:pt>
                <c:pt idx="27">
                  <c:v>21.568864378286325</c:v>
                </c:pt>
                <c:pt idx="28">
                  <c:v>21.375137076783894</c:v>
                </c:pt>
                <c:pt idx="29">
                  <c:v>21.194324928714956</c:v>
                </c:pt>
                <c:pt idx="30">
                  <c:v>21.025178080521432</c:v>
                </c:pt>
                <c:pt idx="31">
                  <c:v>20.866602910340003</c:v>
                </c:pt>
                <c:pt idx="32">
                  <c:v>20.717638356533211</c:v>
                </c:pt>
                <c:pt idx="33">
                  <c:v>20.577436423538575</c:v>
                </c:pt>
                <c:pt idx="34">
                  <c:v>20.44524602957221</c:v>
                </c:pt>
                <c:pt idx="35">
                  <c:v>20.320399546381754</c:v>
                </c:pt>
                <c:pt idx="36">
                  <c:v>20.202301521742132</c:v>
                </c:pt>
                <c:pt idx="37">
                  <c:v>20.09041918260986</c:v>
                </c:pt>
                <c:pt idx="38">
                  <c:v>19.984274399330523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7A-421B-AC97-9FF05E9AB202}"/>
            </c:ext>
          </c:extLst>
        </c:ser>
        <c:ser>
          <c:idx val="3"/>
          <c:order val="3"/>
          <c:tx>
            <c:strRef>
              <c:f>'Economies of Scope (2)'!$Q$3</c:f>
              <c:strCache>
                <c:ptCount val="1"/>
                <c:pt idx="0">
                  <c:v>B</c:v>
                </c:pt>
              </c:strCache>
            </c:strRef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 (2)'!$F$4:$F$42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Scope (2)'!$Q$4:$Q$42</c:f>
              <c:numCache>
                <c:formatCode>0.00</c:formatCode>
                <c:ptCount val="39"/>
                <c:pt idx="0">
                  <c:v>145.85480281122059</c:v>
                </c:pt>
                <c:pt idx="1">
                  <c:v>80.902787722968185</c:v>
                </c:pt>
                <c:pt idx="2">
                  <c:v>59.252116026884032</c:v>
                </c:pt>
                <c:pt idx="3">
                  <c:v>48.426780178841966</c:v>
                </c:pt>
                <c:pt idx="4">
                  <c:v>41.931578670016719</c:v>
                </c:pt>
                <c:pt idx="5">
                  <c:v>37.601444330799893</c:v>
                </c:pt>
                <c:pt idx="6">
                  <c:v>34.508491231359308</c:v>
                </c:pt>
                <c:pt idx="7">
                  <c:v>32.188776406778864</c:v>
                </c:pt>
                <c:pt idx="8">
                  <c:v>30.384553765438515</c:v>
                </c:pt>
                <c:pt idx="9">
                  <c:v>28.94117565236624</c:v>
                </c:pt>
                <c:pt idx="10">
                  <c:v>27.760229923488925</c:v>
                </c:pt>
                <c:pt idx="11">
                  <c:v>26.776108482757827</c:v>
                </c:pt>
                <c:pt idx="12">
                  <c:v>25.943390340600743</c:v>
                </c:pt>
                <c:pt idx="13">
                  <c:v>25.229631933037531</c:v>
                </c:pt>
                <c:pt idx="14">
                  <c:v>24.611041313149414</c:v>
                </c:pt>
                <c:pt idx="15">
                  <c:v>24.069774520747309</c:v>
                </c:pt>
                <c:pt idx="16">
                  <c:v>23.592186174510161</c:v>
                </c:pt>
                <c:pt idx="17">
                  <c:v>23.167663200077136</c:v>
                </c:pt>
                <c:pt idx="18">
                  <c:v>22.787826854531801</c:v>
                </c:pt>
                <c:pt idx="19">
                  <c:v>22.445974143541001</c:v>
                </c:pt>
                <c:pt idx="20">
                  <c:v>22.136678833596939</c:v>
                </c:pt>
                <c:pt idx="21">
                  <c:v>21.855501279102342</c:v>
                </c:pt>
                <c:pt idx="22">
                  <c:v>21.598773946737708</c:v>
                </c:pt>
                <c:pt idx="23">
                  <c:v>21.363440558736794</c:v>
                </c:pt>
                <c:pt idx="24">
                  <c:v>21.146933841775951</c:v>
                </c:pt>
                <c:pt idx="25">
                  <c:v>20.947081487658252</c:v>
                </c:pt>
                <c:pt idx="26">
                  <c:v>20.762033011623345</c:v>
                </c:pt>
                <c:pt idx="27">
                  <c:v>20.590202283876646</c:v>
                </c:pt>
                <c:pt idx="28">
                  <c:v>20.430221951146958</c:v>
                </c:pt>
                <c:pt idx="29">
                  <c:v>20.280906973932584</c:v>
                </c:pt>
                <c:pt idx="30">
                  <c:v>20.141225221054622</c:v>
                </c:pt>
                <c:pt idx="31">
                  <c:v>20.010273577731535</c:v>
                </c:pt>
                <c:pt idx="32">
                  <c:v>19.887258397640146</c:v>
                </c:pt>
                <c:pt idx="33">
                  <c:v>19.771479404612961</c:v>
                </c:pt>
                <c:pt idx="34">
                  <c:v>19.662316354044467</c:v>
                </c:pt>
                <c:pt idx="35">
                  <c:v>19.559217917396449</c:v>
                </c:pt>
                <c:pt idx="36">
                  <c:v>19.461692369215889</c:v>
                </c:pt>
                <c:pt idx="37">
                  <c:v>19.369299744623781</c:v>
                </c:pt>
                <c:pt idx="38">
                  <c:v>19.281645203344087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7A-421B-AC97-9FF05E9AB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617999"/>
        <c:axId val="214626735"/>
      </c:lineChart>
      <c:catAx>
        <c:axId val="2146179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Number of children Treated</a:t>
                </a:r>
              </a:p>
            </c:rich>
          </c:tx>
          <c:layout>
            <c:manualLayout>
              <c:xMode val="edge"/>
              <c:yMode val="edge"/>
              <c:x val="0.40864688961850248"/>
              <c:y val="0.794963531298608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626735"/>
        <c:crosses val="autoZero"/>
        <c:auto val="1"/>
        <c:lblAlgn val="ctr"/>
        <c:lblOffset val="100"/>
        <c:noMultiLvlLbl val="0"/>
      </c:catAx>
      <c:valAx>
        <c:axId val="214626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Cost (US$)</a:t>
                </a:r>
              </a:p>
            </c:rich>
          </c:tx>
          <c:layout>
            <c:manualLayout>
              <c:xMode val="edge"/>
              <c:yMode val="edge"/>
              <c:x val="2.7060270602706028E-2"/>
              <c:y val="0.31686167683491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617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ZA" b="1">
                <a:solidFill>
                  <a:sysClr val="windowText" lastClr="000000"/>
                </a:solidFill>
              </a:rPr>
              <a:t>Mobile</a:t>
            </a:r>
            <a:r>
              <a:rPr lang="en-ZA" b="1" baseline="0">
                <a:solidFill>
                  <a:sysClr val="windowText" lastClr="000000"/>
                </a:solidFill>
              </a:rPr>
              <a:t> Clinic</a:t>
            </a:r>
            <a:endParaRPr lang="en-ZA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07F-47D1-86C0-463FB24E2E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07F-47D1-86C0-463FB24E2E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07F-47D1-86C0-463FB24E2E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218-4B1E-8DFE-8778AB321D9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07F-47D1-86C0-463FB24E2E6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07F-47D1-86C0-463FB24E2E6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07F-47D1-86C0-463FB24E2E6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218-4B1E-8DFE-8778AB321D9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807F-47D1-86C0-463FB24E2E6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18-4B1E-8DFE-8778AB321D9E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18-4B1E-8DFE-8778AB321D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'Cost Ratios'!$N$3:$N$11</c:f>
              <c:strCache>
                <c:ptCount val="9"/>
                <c:pt idx="0">
                  <c:v>Computers</c:v>
                </c:pt>
                <c:pt idx="1">
                  <c:v>Labour</c:v>
                </c:pt>
                <c:pt idx="2">
                  <c:v>Mobile clinic </c:v>
                </c:pt>
                <c:pt idx="3">
                  <c:v>Pestle and Mortar</c:v>
                </c:pt>
                <c:pt idx="4">
                  <c:v>Weight scales</c:v>
                </c:pt>
                <c:pt idx="5">
                  <c:v>Praziquantel </c:v>
                </c:pt>
                <c:pt idx="6">
                  <c:v>Food</c:v>
                </c:pt>
                <c:pt idx="7">
                  <c:v>Office supplies </c:v>
                </c:pt>
                <c:pt idx="8">
                  <c:v>Dose syringe</c:v>
                </c:pt>
              </c:strCache>
            </c:strRef>
          </c:cat>
          <c:val>
            <c:numRef>
              <c:f>'Cost Ratios'!$O$3:$O$11</c:f>
              <c:numCache>
                <c:formatCode>_(* #,##0.00_);_(* \(#,##0.00\);_(* "-"??_);_(@_)</c:formatCode>
                <c:ptCount val="9"/>
                <c:pt idx="0">
                  <c:v>5316.3587904220476</c:v>
                </c:pt>
                <c:pt idx="1">
                  <c:v>11098.336255943175</c:v>
                </c:pt>
                <c:pt idx="2">
                  <c:v>1932.5135743336609</c:v>
                </c:pt>
                <c:pt idx="3">
                  <c:v>467.83957355714023</c:v>
                </c:pt>
                <c:pt idx="4">
                  <c:v>2488.0559139175184</c:v>
                </c:pt>
                <c:pt idx="5" formatCode="General">
                  <c:v>674438.72955564666</c:v>
                </c:pt>
                <c:pt idx="6" formatCode="General">
                  <c:v>2.1265435161688191</c:v>
                </c:pt>
                <c:pt idx="7" formatCode="General">
                  <c:v>30.231746043881927</c:v>
                </c:pt>
                <c:pt idx="8" formatCode="General">
                  <c:v>4.2530870323376382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18-4B1E-8DFE-8778AB321D9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ZA" b="1">
                <a:solidFill>
                  <a:sysClr val="windowText" lastClr="000000"/>
                </a:solidFill>
              </a:rPr>
              <a:t>Fixed Clinic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DBC-465A-BF00-FCC4D2D5D0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BC-465A-BF00-FCC4D2D5D0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CE7-4DDE-9EAE-B678BEB7F5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DBC-465A-BF00-FCC4D2D5D0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DBC-465A-BF00-FCC4D2D5D08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DBC-465A-BF00-FCC4D2D5D08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CE7-4DDE-9EAE-B678BEB7F54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DBC-465A-BF00-FCC4D2D5D087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E7-4DDE-9EAE-B678BEB7F54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E7-4DDE-9EAE-B678BEB7F5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'Cost Ratios'!$R$3:$R$10</c:f>
              <c:strCache>
                <c:ptCount val="8"/>
                <c:pt idx="0">
                  <c:v>Computers</c:v>
                </c:pt>
                <c:pt idx="1">
                  <c:v>Labour</c:v>
                </c:pt>
                <c:pt idx="2">
                  <c:v>Pestle and Mortar</c:v>
                </c:pt>
                <c:pt idx="3">
                  <c:v>Weight scales</c:v>
                </c:pt>
                <c:pt idx="4">
                  <c:v>Praziquantel </c:v>
                </c:pt>
                <c:pt idx="5">
                  <c:v>Food</c:v>
                </c:pt>
                <c:pt idx="6">
                  <c:v>Office supplies </c:v>
                </c:pt>
                <c:pt idx="7">
                  <c:v>Dose syringe</c:v>
                </c:pt>
              </c:strCache>
            </c:strRef>
          </c:cat>
          <c:val>
            <c:numRef>
              <c:f>'Cost Ratios'!$S$3:$S$10</c:f>
              <c:numCache>
                <c:formatCode>_(* #,##0.00_);_(* \(#,##0.00\);_(* "-"??_);_(@_)</c:formatCode>
                <c:ptCount val="8"/>
                <c:pt idx="0">
                  <c:v>5316.3587904220476</c:v>
                </c:pt>
                <c:pt idx="1">
                  <c:v>11098.336255943175</c:v>
                </c:pt>
                <c:pt idx="2">
                  <c:v>2432.7657824971293</c:v>
                </c:pt>
                <c:pt idx="3">
                  <c:v>0</c:v>
                </c:pt>
                <c:pt idx="4" formatCode="General">
                  <c:v>674438.72955564666</c:v>
                </c:pt>
                <c:pt idx="5" formatCode="General">
                  <c:v>2.1265435161688191</c:v>
                </c:pt>
                <c:pt idx="6" formatCode="General">
                  <c:v>30.231746043881927</c:v>
                </c:pt>
                <c:pt idx="7" formatCode="General">
                  <c:v>4.2530870323376382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7-4DDE-9EAE-B678BEB7F54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Pediatrician!$G$21</c:f>
              <c:strCache>
                <c:ptCount val="1"/>
                <c:pt idx="0">
                  <c:v>Average Cost/Child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forward val="10"/>
            <c:dispRSqr val="1"/>
            <c:dispEq val="1"/>
            <c:trendlineLbl>
              <c:layout>
                <c:manualLayout>
                  <c:x val="-8.3242125984251972E-2"/>
                  <c:y val="0.113495552639253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Pediatrician!$F$22:$F$35</c:f>
              <c:numCache>
                <c:formatCode>General</c:formatCode>
                <c:ptCount val="14"/>
                <c:pt idx="0">
                  <c:v>5000</c:v>
                </c:pt>
                <c:pt idx="1">
                  <c:v>10000</c:v>
                </c:pt>
                <c:pt idx="2">
                  <c:v>15000</c:v>
                </c:pt>
                <c:pt idx="3">
                  <c:v>20000</c:v>
                </c:pt>
                <c:pt idx="4">
                  <c:v>25000</c:v>
                </c:pt>
                <c:pt idx="5">
                  <c:v>30000</c:v>
                </c:pt>
                <c:pt idx="6">
                  <c:v>35000</c:v>
                </c:pt>
                <c:pt idx="7">
                  <c:v>40000</c:v>
                </c:pt>
                <c:pt idx="8">
                  <c:v>45000</c:v>
                </c:pt>
                <c:pt idx="9">
                  <c:v>50000</c:v>
                </c:pt>
                <c:pt idx="10">
                  <c:v>55000</c:v>
                </c:pt>
                <c:pt idx="11">
                  <c:v>60000</c:v>
                </c:pt>
                <c:pt idx="12">
                  <c:v>65000</c:v>
                </c:pt>
                <c:pt idx="13">
                  <c:v>70000</c:v>
                </c:pt>
              </c:numCache>
            </c:numRef>
          </c:xVal>
          <c:yVal>
            <c:numRef>
              <c:f>Pediatrician!$G$22:$G$35</c:f>
              <c:numCache>
                <c:formatCode>_-* #\ ##0_-;\-* #\ ##0_-;_-* "-"??_-;_-@_-</c:formatCode>
                <c:ptCount val="14"/>
                <c:pt idx="0">
                  <c:v>555.10643886685</c:v>
                </c:pt>
                <c:pt idx="1">
                  <c:v>500.07655276675831</c:v>
                </c:pt>
                <c:pt idx="2">
                  <c:v>481.73325740006106</c:v>
                </c:pt>
                <c:pt idx="3">
                  <c:v>472.56160971671238</c:v>
                </c:pt>
                <c:pt idx="4">
                  <c:v>467.0586211067033</c:v>
                </c:pt>
                <c:pt idx="5">
                  <c:v>463.38996203336382</c:v>
                </c:pt>
                <c:pt idx="6">
                  <c:v>460.7694912666928</c:v>
                </c:pt>
                <c:pt idx="7">
                  <c:v>458.80413819168956</c:v>
                </c:pt>
                <c:pt idx="8">
                  <c:v>457.27553024446473</c:v>
                </c:pt>
                <c:pt idx="9">
                  <c:v>456.05264388668502</c:v>
                </c:pt>
                <c:pt idx="10">
                  <c:v>455.05210050304697</c:v>
                </c:pt>
                <c:pt idx="11">
                  <c:v>454.21831435001525</c:v>
                </c:pt>
                <c:pt idx="12">
                  <c:v>453.51280298975769</c:v>
                </c:pt>
                <c:pt idx="13">
                  <c:v>452.90807896667974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39-4C61-B2BB-52E34941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0124656"/>
        <c:axId val="510125904"/>
      </c:scatterChart>
      <c:valAx>
        <c:axId val="51012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125904"/>
        <c:crosses val="autoZero"/>
        <c:crossBetween val="midCat"/>
      </c:valAx>
      <c:valAx>
        <c:axId val="51012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124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97553581203419"/>
          <c:y val="0.13467592592592595"/>
          <c:w val="0.69500400016842812"/>
          <c:h val="0.54380322251385238"/>
        </c:manualLayout>
      </c:layout>
      <c:scatterChart>
        <c:scatterStyle val="lineMarker"/>
        <c:varyColors val="0"/>
        <c:ser>
          <c:idx val="0"/>
          <c:order val="0"/>
          <c:tx>
            <c:strRef>
              <c:f>Pediatrician!$G$21</c:f>
              <c:strCache>
                <c:ptCount val="1"/>
                <c:pt idx="0">
                  <c:v>Average Cost/Child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forward val="10"/>
            <c:dispRSqr val="1"/>
            <c:dispEq val="1"/>
            <c:trendlineLbl>
              <c:layout>
                <c:manualLayout>
                  <c:x val="-8.3242125984251972E-2"/>
                  <c:y val="0.113495552639253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Pediatrician!$F$22:$F$35</c:f>
              <c:numCache>
                <c:formatCode>General</c:formatCode>
                <c:ptCount val="14"/>
                <c:pt idx="0">
                  <c:v>5000</c:v>
                </c:pt>
                <c:pt idx="1">
                  <c:v>10000</c:v>
                </c:pt>
                <c:pt idx="2">
                  <c:v>15000</c:v>
                </c:pt>
                <c:pt idx="3">
                  <c:v>20000</c:v>
                </c:pt>
                <c:pt idx="4">
                  <c:v>25000</c:v>
                </c:pt>
                <c:pt idx="5">
                  <c:v>30000</c:v>
                </c:pt>
                <c:pt idx="6">
                  <c:v>35000</c:v>
                </c:pt>
                <c:pt idx="7">
                  <c:v>40000</c:v>
                </c:pt>
                <c:pt idx="8">
                  <c:v>45000</c:v>
                </c:pt>
                <c:pt idx="9">
                  <c:v>50000</c:v>
                </c:pt>
                <c:pt idx="10">
                  <c:v>55000</c:v>
                </c:pt>
                <c:pt idx="11">
                  <c:v>60000</c:v>
                </c:pt>
                <c:pt idx="12">
                  <c:v>65000</c:v>
                </c:pt>
                <c:pt idx="13">
                  <c:v>70000</c:v>
                </c:pt>
              </c:numCache>
            </c:numRef>
          </c:xVal>
          <c:yVal>
            <c:numRef>
              <c:f>Pediatrician!$G$22:$G$35</c:f>
              <c:numCache>
                <c:formatCode>_-* #\ ##0_-;\-* #\ ##0_-;_-* "-"??_-;_-@_-</c:formatCode>
                <c:ptCount val="14"/>
                <c:pt idx="0">
                  <c:v>555.10643886685</c:v>
                </c:pt>
                <c:pt idx="1">
                  <c:v>500.07655276675831</c:v>
                </c:pt>
                <c:pt idx="2">
                  <c:v>481.73325740006106</c:v>
                </c:pt>
                <c:pt idx="3">
                  <c:v>472.56160971671238</c:v>
                </c:pt>
                <c:pt idx="4">
                  <c:v>467.0586211067033</c:v>
                </c:pt>
                <c:pt idx="5">
                  <c:v>463.38996203336382</c:v>
                </c:pt>
                <c:pt idx="6">
                  <c:v>460.7694912666928</c:v>
                </c:pt>
                <c:pt idx="7">
                  <c:v>458.80413819168956</c:v>
                </c:pt>
                <c:pt idx="8">
                  <c:v>457.27553024446473</c:v>
                </c:pt>
                <c:pt idx="9">
                  <c:v>456.05264388668502</c:v>
                </c:pt>
                <c:pt idx="10">
                  <c:v>455.05210050304697</c:v>
                </c:pt>
                <c:pt idx="11">
                  <c:v>454.21831435001525</c:v>
                </c:pt>
                <c:pt idx="12">
                  <c:v>453.51280298975769</c:v>
                </c:pt>
                <c:pt idx="13">
                  <c:v>452.90807896667974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F5-4ADB-912D-DB1648F50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0124656"/>
        <c:axId val="510125904"/>
      </c:scatterChart>
      <c:valAx>
        <c:axId val="51012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125904"/>
        <c:crosses val="autoZero"/>
        <c:crossBetween val="midCat"/>
      </c:valAx>
      <c:valAx>
        <c:axId val="51012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0124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ZA" b="1">
                <a:solidFill>
                  <a:sysClr val="windowText" lastClr="000000"/>
                </a:solidFill>
              </a:rPr>
              <a:t>Differential costing of labour and diagnosis</a:t>
            </a:r>
            <a:r>
              <a:rPr lang="en-ZA" b="1" baseline="0">
                <a:solidFill>
                  <a:sysClr val="windowText" lastClr="000000"/>
                </a:solidFill>
              </a:rPr>
              <a:t> scenarios.</a:t>
            </a:r>
            <a:endParaRPr lang="en-ZA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617354904591909"/>
          <c:y val="1.59744408945686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'Economies of Scale'!$F$2</c:f>
              <c:strCache>
                <c:ptCount val="1"/>
                <c:pt idx="0">
                  <c:v>Paediatrican present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Scale'!$B$3:$B$41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Scale'!$F$3:$F$41</c:f>
              <c:numCache>
                <c:formatCode>_-* #\ ##0_-;\-* #\ ##0_-;_-* "-"??_-;_-@_-</c:formatCode>
                <c:ptCount val="39"/>
                <c:pt idx="0">
                  <c:v>60.053094593363127</c:v>
                </c:pt>
                <c:pt idx="1">
                  <c:v>41.026587341870226</c:v>
                </c:pt>
                <c:pt idx="2">
                  <c:v>34.684418258039258</c:v>
                </c:pt>
                <c:pt idx="3">
                  <c:v>31.513333716123778</c:v>
                </c:pt>
                <c:pt idx="4">
                  <c:v>29.610682990974489</c:v>
                </c:pt>
                <c:pt idx="5">
                  <c:v>28.342249174208298</c:v>
                </c:pt>
                <c:pt idx="6">
                  <c:v>27.4362250193753</c:v>
                </c:pt>
                <c:pt idx="7">
                  <c:v>26.756706903250553</c:v>
                </c:pt>
                <c:pt idx="8">
                  <c:v>26.228192812931308</c:v>
                </c:pt>
                <c:pt idx="9">
                  <c:v>25.80538154067591</c:v>
                </c:pt>
                <c:pt idx="10">
                  <c:v>25.459445045194219</c:v>
                </c:pt>
                <c:pt idx="11">
                  <c:v>25.171164632292815</c:v>
                </c:pt>
                <c:pt idx="12">
                  <c:v>24.927235052145466</c:v>
                </c:pt>
                <c:pt idx="13">
                  <c:v>24.718152554876312</c:v>
                </c:pt>
                <c:pt idx="14">
                  <c:v>24.536947723909716</c:v>
                </c:pt>
                <c:pt idx="15">
                  <c:v>24.378393496813938</c:v>
                </c:pt>
                <c:pt idx="16">
                  <c:v>24.238492708200024</c:v>
                </c:pt>
                <c:pt idx="17">
                  <c:v>24.114136451654318</c:v>
                </c:pt>
                <c:pt idx="18">
                  <c:v>24.002870327376581</c:v>
                </c:pt>
                <c:pt idx="19">
                  <c:v>23.90273081552662</c:v>
                </c:pt>
                <c:pt idx="20">
                  <c:v>23.812128400043317</c:v>
                </c:pt>
                <c:pt idx="21">
                  <c:v>23.729762567785773</c:v>
                </c:pt>
                <c:pt idx="22">
                  <c:v>23.654558981811491</c:v>
                </c:pt>
                <c:pt idx="23">
                  <c:v>23.585622361335069</c:v>
                </c:pt>
                <c:pt idx="24">
                  <c:v>23.522200670496755</c:v>
                </c:pt>
                <c:pt idx="25">
                  <c:v>23.463657571261393</c:v>
                </c:pt>
                <c:pt idx="26">
                  <c:v>23.40945099789532</c:v>
                </c:pt>
                <c:pt idx="27">
                  <c:v>23.359116322626818</c:v>
                </c:pt>
                <c:pt idx="28">
                  <c:v>23.312253004273387</c:v>
                </c:pt>
                <c:pt idx="29">
                  <c:v>23.268513907143522</c:v>
                </c:pt>
                <c:pt idx="30">
                  <c:v>23.227596687247836</c:v>
                </c:pt>
                <c:pt idx="31">
                  <c:v>23.189236793595633</c:v>
                </c:pt>
                <c:pt idx="32">
                  <c:v>23.153201741982958</c:v>
                </c:pt>
                <c:pt idx="33">
                  <c:v>23.119286399288676</c:v>
                </c:pt>
                <c:pt idx="34">
                  <c:v>23.087309076176918</c:v>
                </c:pt>
                <c:pt idx="35">
                  <c:v>23.057108271015821</c:v>
                </c:pt>
                <c:pt idx="36">
                  <c:v>23.028539941809377</c:v>
                </c:pt>
                <c:pt idx="37">
                  <c:v>23.001475208876951</c:v>
                </c:pt>
                <c:pt idx="38">
                  <c:v>22.975798410966707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FF-48B4-A43E-68DAB9183874}"/>
            </c:ext>
          </c:extLst>
        </c:ser>
        <c:ser>
          <c:idx val="1"/>
          <c:order val="1"/>
          <c:tx>
            <c:strRef>
              <c:f>'Economies of Scale'!$J$2</c:f>
              <c:strCache>
                <c:ptCount val="1"/>
                <c:pt idx="0">
                  <c:v>Medical Officer Present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'Economies of Scale'!$B$3:$B$41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Scale'!$J$3:$J$41</c:f>
              <c:numCache>
                <c:formatCode>_-* #\ ##0_-;\-* #\ ##0_-;_-* "-"??_-;_-@_-</c:formatCode>
                <c:ptCount val="39"/>
                <c:pt idx="0">
                  <c:v>57.014051254406276</c:v>
                </c:pt>
                <c:pt idx="1">
                  <c:v>39.507065672391803</c:v>
                </c:pt>
                <c:pt idx="2">
                  <c:v>33.67140381172031</c:v>
                </c:pt>
                <c:pt idx="3">
                  <c:v>30.753572881384564</c:v>
                </c:pt>
                <c:pt idx="4">
                  <c:v>29.002874323183118</c:v>
                </c:pt>
                <c:pt idx="5">
                  <c:v>27.835741951048821</c:v>
                </c:pt>
                <c:pt idx="6">
                  <c:v>27.002075970952891</c:v>
                </c:pt>
                <c:pt idx="7">
                  <c:v>26.376826485880944</c:v>
                </c:pt>
                <c:pt idx="8">
                  <c:v>25.890521330824988</c:v>
                </c:pt>
                <c:pt idx="9">
                  <c:v>25.501477206780223</c:v>
                </c:pt>
                <c:pt idx="10">
                  <c:v>25.183168378016319</c:v>
                </c:pt>
                <c:pt idx="11">
                  <c:v>24.917911020713074</c:v>
                </c:pt>
                <c:pt idx="12">
                  <c:v>24.693462487610326</c:v>
                </c:pt>
                <c:pt idx="13">
                  <c:v>24.501078030665106</c:v>
                </c:pt>
                <c:pt idx="14">
                  <c:v>24.334344834645922</c:v>
                </c:pt>
                <c:pt idx="15">
                  <c:v>24.188453288129139</c:v>
                </c:pt>
                <c:pt idx="16">
                  <c:v>24.059725452967268</c:v>
                </c:pt>
                <c:pt idx="17">
                  <c:v>23.945300710601156</c:v>
                </c:pt>
                <c:pt idx="18">
                  <c:v>23.8429206779578</c:v>
                </c:pt>
                <c:pt idx="19">
                  <c:v>23.750778648578777</c:v>
                </c:pt>
                <c:pt idx="20">
                  <c:v>23.66741205056918</c:v>
                </c:pt>
                <c:pt idx="21">
                  <c:v>23.591624234196825</c:v>
                </c:pt>
                <c:pt idx="22">
                  <c:v>23.522426662726414</c:v>
                </c:pt>
                <c:pt idx="23">
                  <c:v>23.458995555545204</c:v>
                </c:pt>
                <c:pt idx="24">
                  <c:v>23.400638936938485</c:v>
                </c:pt>
                <c:pt idx="25">
                  <c:v>23.346771288993828</c:v>
                </c:pt>
                <c:pt idx="26">
                  <c:v>23.296893837193217</c:v>
                </c:pt>
                <c:pt idx="27">
                  <c:v>23.250579060521218</c:v>
                </c:pt>
                <c:pt idx="28">
                  <c:v>23.207458406378326</c:v>
                </c:pt>
                <c:pt idx="29">
                  <c:v>23.167212462511628</c:v>
                </c:pt>
                <c:pt idx="30">
                  <c:v>23.129563031152454</c:v>
                </c:pt>
                <c:pt idx="31">
                  <c:v>23.094266689253232</c:v>
                </c:pt>
                <c:pt idx="32">
                  <c:v>23.061109519590328</c:v>
                </c:pt>
                <c:pt idx="33">
                  <c:v>23.029902771672297</c:v>
                </c:pt>
                <c:pt idx="34">
                  <c:v>23.000479266492441</c:v>
                </c:pt>
                <c:pt idx="35">
                  <c:v>22.972690400489245</c:v>
                </c:pt>
                <c:pt idx="36">
                  <c:v>22.946403635351086</c:v>
                </c:pt>
                <c:pt idx="37">
                  <c:v>22.921500384167562</c:v>
                </c:pt>
                <c:pt idx="38">
                  <c:v>22.897874222788328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FF-48B4-A43E-68DAB9183874}"/>
            </c:ext>
          </c:extLst>
        </c:ser>
        <c:ser>
          <c:idx val="2"/>
          <c:order val="2"/>
          <c:tx>
            <c:strRef>
              <c:f>'Economies of Scale'!$N$2</c:f>
              <c:strCache>
                <c:ptCount val="1"/>
                <c:pt idx="0">
                  <c:v>WBOT only present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Scale'!$B$3:$B$41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Scale'!$N$3:$N$41</c:f>
              <c:numCache>
                <c:formatCode>_-* #\ ##0_-;\-* #\ ##0_-;_-* "-"??_-;_-@_-</c:formatCode>
                <c:ptCount val="39"/>
                <c:pt idx="0">
                  <c:v>48.185091828444392</c:v>
                </c:pt>
                <c:pt idx="1">
                  <c:v>35.092585959410862</c:v>
                </c:pt>
                <c:pt idx="2">
                  <c:v>30.728417336399687</c:v>
                </c:pt>
                <c:pt idx="3">
                  <c:v>28.546333024894096</c:v>
                </c:pt>
                <c:pt idx="4">
                  <c:v>27.23708243799074</c:v>
                </c:pt>
                <c:pt idx="5">
                  <c:v>26.364248713388506</c:v>
                </c:pt>
                <c:pt idx="6">
                  <c:v>25.740796052958334</c:v>
                </c:pt>
                <c:pt idx="7">
                  <c:v>25.27320655763571</c:v>
                </c:pt>
                <c:pt idx="8">
                  <c:v>24.909525839051444</c:v>
                </c:pt>
                <c:pt idx="9">
                  <c:v>24.618581264184034</c:v>
                </c:pt>
                <c:pt idx="10">
                  <c:v>24.380535702928878</c:v>
                </c:pt>
                <c:pt idx="11">
                  <c:v>24.182164401882918</c:v>
                </c:pt>
                <c:pt idx="12">
                  <c:v>24.014311762536334</c:v>
                </c:pt>
                <c:pt idx="13">
                  <c:v>23.870438071667831</c:v>
                </c:pt>
                <c:pt idx="14">
                  <c:v>23.745747539581799</c:v>
                </c:pt>
                <c:pt idx="15">
                  <c:v>23.636643324006521</c:v>
                </c:pt>
                <c:pt idx="16">
                  <c:v>23.540374898498921</c:v>
                </c:pt>
                <c:pt idx="17">
                  <c:v>23.454802964714389</c:v>
                </c:pt>
                <c:pt idx="18">
                  <c:v>23.378238602907174</c:v>
                </c:pt>
                <c:pt idx="19">
                  <c:v>23.309330677280684</c:v>
                </c:pt>
                <c:pt idx="20">
                  <c:v>23.246985411237663</c:v>
                </c:pt>
                <c:pt idx="21">
                  <c:v>23.190307896653103</c:v>
                </c:pt>
                <c:pt idx="22">
                  <c:v>23.138558861597634</c:v>
                </c:pt>
                <c:pt idx="23">
                  <c:v>23.091122246130123</c:v>
                </c:pt>
                <c:pt idx="24">
                  <c:v>23.047480559900006</c:v>
                </c:pt>
                <c:pt idx="25">
                  <c:v>23.007195926456827</c:v>
                </c:pt>
                <c:pt idx="26">
                  <c:v>22.969895339935366</c:v>
                </c:pt>
                <c:pt idx="27">
                  <c:v>22.935259081022576</c:v>
                </c:pt>
                <c:pt idx="28">
                  <c:v>22.903011529621018</c:v>
                </c:pt>
                <c:pt idx="29">
                  <c:v>22.872913814979562</c:v>
                </c:pt>
                <c:pt idx="30">
                  <c:v>22.844757888379487</c:v>
                </c:pt>
                <c:pt idx="31">
                  <c:v>22.818361707191922</c:v>
                </c:pt>
                <c:pt idx="32">
                  <c:v>22.793565294561176</c:v>
                </c:pt>
                <c:pt idx="33">
                  <c:v>22.770227494438124</c:v>
                </c:pt>
                <c:pt idx="34">
                  <c:v>22.748223282893527</c:v>
                </c:pt>
                <c:pt idx="35">
                  <c:v>22.727441527545857</c:v>
                </c:pt>
                <c:pt idx="36">
                  <c:v>22.707783110325085</c:v>
                </c:pt>
                <c:pt idx="37">
                  <c:v>22.689159346642249</c:v>
                </c:pt>
                <c:pt idx="38">
                  <c:v>22.671490647763662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FF-48B4-A43E-68DAB9183874}"/>
            </c:ext>
          </c:extLst>
        </c:ser>
        <c:ser>
          <c:idx val="3"/>
          <c:order val="3"/>
          <c:tx>
            <c:strRef>
              <c:f>'Economies of Scale'!$R$2</c:f>
              <c:strCache>
                <c:ptCount val="1"/>
                <c:pt idx="0">
                  <c:v>WBOT only present and only a sample of 500 children screened for schistosmiasis.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Scale'!$B$3:$B$41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Scale'!$R$3:$R$41</c:f>
              <c:numCache>
                <c:formatCode>_-* #\ ##0_-;\-* #\ ##0_-;_-* "-"??_-;_-@_-</c:formatCode>
                <c:ptCount val="39"/>
                <c:pt idx="0">
                  <c:v>48.185091828444392</c:v>
                </c:pt>
                <c:pt idx="1">
                  <c:v>32.067932231580073</c:v>
                </c:pt>
                <c:pt idx="2">
                  <c:v>26.695545699291969</c:v>
                </c:pt>
                <c:pt idx="3">
                  <c:v>24.009352433147917</c:v>
                </c:pt>
                <c:pt idx="4">
                  <c:v>22.397636473461485</c:v>
                </c:pt>
                <c:pt idx="5">
                  <c:v>21.323159167003865</c:v>
                </c:pt>
                <c:pt idx="6">
                  <c:v>20.555675376676991</c:v>
                </c:pt>
                <c:pt idx="7">
                  <c:v>19.980062533931839</c:v>
                </c:pt>
                <c:pt idx="8">
                  <c:v>19.532363656241163</c:v>
                </c:pt>
                <c:pt idx="9">
                  <c:v>19.174204554088622</c:v>
                </c:pt>
                <c:pt idx="10">
                  <c:v>18.88116528869109</c:v>
                </c:pt>
                <c:pt idx="11">
                  <c:v>18.636965900859813</c:v>
                </c:pt>
                <c:pt idx="12">
                  <c:v>18.430335649617962</c:v>
                </c:pt>
                <c:pt idx="13">
                  <c:v>18.253224005696378</c:v>
                </c:pt>
                <c:pt idx="14">
                  <c:v>18.099727247630998</c:v>
                </c:pt>
                <c:pt idx="15">
                  <c:v>17.965417584323799</c:v>
                </c:pt>
                <c:pt idx="16">
                  <c:v>17.846909057876267</c:v>
                </c:pt>
                <c:pt idx="17">
                  <c:v>17.741568145478457</c:v>
                </c:pt>
                <c:pt idx="18">
                  <c:v>17.64731575017516</c:v>
                </c:pt>
                <c:pt idx="19">
                  <c:v>17.56248859440219</c:v>
                </c:pt>
                <c:pt idx="20">
                  <c:v>17.4857402153695</c:v>
                </c:pt>
                <c:pt idx="21">
                  <c:v>17.41596896170342</c:v>
                </c:pt>
                <c:pt idx="22">
                  <c:v>17.352264773573523</c:v>
                </c:pt>
                <c:pt idx="23">
                  <c:v>17.293869267787784</c:v>
                </c:pt>
                <c:pt idx="24">
                  <c:v>17.240145402464901</c:v>
                </c:pt>
                <c:pt idx="25">
                  <c:v>17.190554142166857</c:v>
                </c:pt>
                <c:pt idx="26">
                  <c:v>17.144636308557558</c:v>
                </c:pt>
                <c:pt idx="27">
                  <c:v>17.101998320206068</c:v>
                </c:pt>
                <c:pt idx="28">
                  <c:v>17.062300882775364</c:v>
                </c:pt>
                <c:pt idx="29">
                  <c:v>17.025249941173378</c:v>
                </c:pt>
                <c:pt idx="30">
                  <c:v>16.990589382900552</c:v>
                </c:pt>
                <c:pt idx="31">
                  <c:v>16.958095109519778</c:v>
                </c:pt>
                <c:pt idx="32">
                  <c:v>16.927570186040867</c:v>
                </c:pt>
                <c:pt idx="33">
                  <c:v>16.898840846296014</c:v>
                </c:pt>
                <c:pt idx="34">
                  <c:v>16.871753183108002</c:v>
                </c:pt>
                <c:pt idx="35">
                  <c:v>16.846170390097107</c:v>
                </c:pt>
                <c:pt idx="36">
                  <c:v>16.821970450762478</c:v>
                </c:pt>
                <c:pt idx="37">
                  <c:v>16.799044192445457</c:v>
                </c:pt>
                <c:pt idx="38">
                  <c:v>16.777293639683158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FF-48B4-A43E-68DAB9183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720239"/>
        <c:axId val="927721071"/>
      </c:lineChart>
      <c:lineChart>
        <c:grouping val="standard"/>
        <c:varyColors val="0"/>
        <c:ser>
          <c:idx val="4"/>
          <c:order val="4"/>
          <c:tx>
            <c:strRef>
              <c:f>'Economies of Scale'!$T$2</c:f>
              <c:strCache>
                <c:ptCount val="1"/>
                <c:pt idx="0">
                  <c:v>Overall Price Range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Scale'!$B$3:$B$41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Scale'!$T$3:$T$41</c:f>
              <c:numCache>
                <c:formatCode>_-* #\ ##0_-;\-* #\ ##0_-;_-* "-"??_-;_-@_-</c:formatCode>
                <c:ptCount val="39"/>
                <c:pt idx="0">
                  <c:v>11.868002764918735</c:v>
                </c:pt>
                <c:pt idx="1">
                  <c:v>8.9586551102901524</c:v>
                </c:pt>
                <c:pt idx="2">
                  <c:v>7.9888725587472891</c:v>
                </c:pt>
                <c:pt idx="3">
                  <c:v>7.503981282975861</c:v>
                </c:pt>
                <c:pt idx="4">
                  <c:v>7.2130465175130034</c:v>
                </c:pt>
                <c:pt idx="5">
                  <c:v>7.0190900072044329</c:v>
                </c:pt>
                <c:pt idx="6">
                  <c:v>6.880549642698309</c:v>
                </c:pt>
                <c:pt idx="7">
                  <c:v>6.7766443693187135</c:v>
                </c:pt>
                <c:pt idx="8">
                  <c:v>6.6958291566901451</c:v>
                </c:pt>
                <c:pt idx="9">
                  <c:v>6.6311769865872883</c:v>
                </c:pt>
                <c:pt idx="10">
                  <c:v>6.5782797565031288</c:v>
                </c:pt>
                <c:pt idx="11">
                  <c:v>6.5341987314330012</c:v>
                </c:pt>
                <c:pt idx="12">
                  <c:v>6.4968994025275038</c:v>
                </c:pt>
                <c:pt idx="13">
                  <c:v>6.464928549179934</c:v>
                </c:pt>
                <c:pt idx="14">
                  <c:v>6.4372204762787177</c:v>
                </c:pt>
                <c:pt idx="15">
                  <c:v>6.4129759124901398</c:v>
                </c:pt>
                <c:pt idx="16">
                  <c:v>6.3915836503237564</c:v>
                </c:pt>
                <c:pt idx="17">
                  <c:v>6.3725683061758609</c:v>
                </c:pt>
                <c:pt idx="18">
                  <c:v>6.3555545772014206</c:v>
                </c:pt>
                <c:pt idx="19">
                  <c:v>6.3402422211244307</c:v>
                </c:pt>
                <c:pt idx="20">
                  <c:v>6.3263881846738172</c:v>
                </c:pt>
                <c:pt idx="21">
                  <c:v>6.3137936060823527</c:v>
                </c:pt>
                <c:pt idx="22">
                  <c:v>6.3022942082379672</c:v>
                </c:pt>
                <c:pt idx="23">
                  <c:v>6.2917530935472854</c:v>
                </c:pt>
                <c:pt idx="24">
                  <c:v>6.2820552680318542</c:v>
                </c:pt>
                <c:pt idx="25">
                  <c:v>6.2731034290945367</c:v>
                </c:pt>
                <c:pt idx="26">
                  <c:v>6.2648146893377614</c:v>
                </c:pt>
                <c:pt idx="27">
                  <c:v>6.25711800242075</c:v>
                </c:pt>
                <c:pt idx="28">
                  <c:v>6.2499521214980227</c:v>
                </c:pt>
                <c:pt idx="29">
                  <c:v>6.2432639659701437</c:v>
                </c:pt>
                <c:pt idx="30">
                  <c:v>6.2370073043472836</c:v>
                </c:pt>
                <c:pt idx="31">
                  <c:v>6.2311416840758547</c:v>
                </c:pt>
                <c:pt idx="32">
                  <c:v>6.2256315559420905</c:v>
                </c:pt>
                <c:pt idx="33">
                  <c:v>6.2204455529926612</c:v>
                </c:pt>
                <c:pt idx="34">
                  <c:v>6.2155558930689168</c:v>
                </c:pt>
                <c:pt idx="35">
                  <c:v>6.2109378809187135</c:v>
                </c:pt>
                <c:pt idx="36">
                  <c:v>6.2065694910468991</c:v>
                </c:pt>
                <c:pt idx="37">
                  <c:v>6.2024310164314933</c:v>
                </c:pt>
                <c:pt idx="38">
                  <c:v>6.1985047712835488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FF-48B4-A43E-68DAB9183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715247"/>
        <c:axId val="927711503"/>
      </c:lineChart>
      <c:catAx>
        <c:axId val="9277202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Number of Children Treated in MDA program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721071"/>
        <c:crosses val="autoZero"/>
        <c:auto val="1"/>
        <c:lblAlgn val="ctr"/>
        <c:lblOffset val="100"/>
        <c:noMultiLvlLbl val="0"/>
      </c:catAx>
      <c:valAx>
        <c:axId val="9277210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Cost in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US$</a:t>
                </a:r>
                <a:r>
                  <a:rPr lang="en-US" b="1">
                    <a:solidFill>
                      <a:sysClr val="windowText" lastClr="000000"/>
                    </a:solidFill>
                  </a:rPr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720239"/>
        <c:crosses val="autoZero"/>
        <c:crossBetween val="between"/>
      </c:valAx>
      <c:valAx>
        <c:axId val="92771150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 Cost difference per child treated in US$</a:t>
                </a:r>
              </a:p>
            </c:rich>
          </c:tx>
          <c:layout>
            <c:manualLayout>
              <c:xMode val="edge"/>
              <c:yMode val="edge"/>
              <c:x val="0.94656724200865616"/>
              <c:y val="4.84170057601860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\ ##0_-;\-* #\ ##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715247"/>
        <c:crosses val="max"/>
        <c:crossBetween val="between"/>
      </c:valAx>
      <c:catAx>
        <c:axId val="9277152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77115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002589908049576"/>
          <c:y val="0.70847117264704329"/>
          <c:w val="0.71553301698214877"/>
          <c:h val="0.27810600856101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 b="1">
                <a:solidFill>
                  <a:sysClr val="windowText" lastClr="000000"/>
                </a:solidFill>
              </a:rPr>
              <a:t>Differential costing of Labour and</a:t>
            </a:r>
            <a:r>
              <a:rPr lang="en-ZA" b="1" baseline="0">
                <a:solidFill>
                  <a:sysClr val="windowText" lastClr="000000"/>
                </a:solidFill>
              </a:rPr>
              <a:t> diagnosis scenarios</a:t>
            </a:r>
            <a:endParaRPr lang="en-ZA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131726839889904E-2"/>
          <c:y val="0.11247607259180169"/>
          <c:w val="0.89137594369428608"/>
          <c:h val="0.53538130025355601"/>
        </c:manualLayout>
      </c:layout>
      <c:lineChart>
        <c:grouping val="standard"/>
        <c:varyColors val="0"/>
        <c:ser>
          <c:idx val="0"/>
          <c:order val="0"/>
          <c:tx>
            <c:strRef>
              <c:f>'Economies of Scale (2)'!$F$2</c:f>
              <c:strCache>
                <c:ptCount val="1"/>
                <c:pt idx="0">
                  <c:v>Paediatrican present</c:v>
                </c:pt>
              </c:strCache>
            </c:strRef>
          </c:tx>
          <c:spPr>
            <a:ln w="952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'Economies of Scale (2)'!$B$3:$B$41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Scale (2)'!$F$3:$F$41</c:f>
              <c:numCache>
                <c:formatCode>_-* #\ ##0_-;\-* #\ ##0_-;_-* "-"??_-;_-@_-</c:formatCode>
                <c:ptCount val="39"/>
                <c:pt idx="0">
                  <c:v>402.53022512023534</c:v>
                </c:pt>
                <c:pt idx="1">
                  <c:v>212.26515260530635</c:v>
                </c:pt>
                <c:pt idx="2">
                  <c:v>148.84346176699668</c:v>
                </c:pt>
                <c:pt idx="3">
                  <c:v>117.13261634784183</c:v>
                </c:pt>
                <c:pt idx="4">
                  <c:v>98.106109096348931</c:v>
                </c:pt>
                <c:pt idx="5">
                  <c:v>85.421770928686996</c:v>
                </c:pt>
                <c:pt idx="6">
                  <c:v>76.361529380357041</c:v>
                </c:pt>
                <c:pt idx="7">
                  <c:v>69.566348219109585</c:v>
                </c:pt>
                <c:pt idx="8">
                  <c:v>64.281207315917115</c:v>
                </c:pt>
                <c:pt idx="9">
                  <c:v>60.053094593363127</c:v>
                </c:pt>
                <c:pt idx="10">
                  <c:v>56.593729638546236</c:v>
                </c:pt>
                <c:pt idx="11">
                  <c:v>53.71092550953216</c:v>
                </c:pt>
                <c:pt idx="12">
                  <c:v>51.271629708058718</c:v>
                </c:pt>
                <c:pt idx="13">
                  <c:v>49.18080473536719</c:v>
                </c:pt>
                <c:pt idx="14">
                  <c:v>47.3687564257012</c:v>
                </c:pt>
                <c:pt idx="15">
                  <c:v>45.783214154743455</c:v>
                </c:pt>
                <c:pt idx="16">
                  <c:v>44.384206268604267</c:v>
                </c:pt>
                <c:pt idx="17">
                  <c:v>43.140643703147219</c:v>
                </c:pt>
                <c:pt idx="18">
                  <c:v>42.027982460369856</c:v>
                </c:pt>
                <c:pt idx="19">
                  <c:v>41.026587341870226</c:v>
                </c:pt>
                <c:pt idx="20">
                  <c:v>40.120563187037227</c:v>
                </c:pt>
                <c:pt idx="21">
                  <c:v>39.296904864461787</c:v>
                </c:pt>
                <c:pt idx="22">
                  <c:v>38.544869004718983</c:v>
                </c:pt>
                <c:pt idx="23">
                  <c:v>37.855502799954742</c:v>
                </c:pt>
                <c:pt idx="24">
                  <c:v>37.221285891571654</c:v>
                </c:pt>
                <c:pt idx="25">
                  <c:v>36.635854899218025</c:v>
                </c:pt>
                <c:pt idx="26">
                  <c:v>36.093789165557254</c:v>
                </c:pt>
                <c:pt idx="27">
                  <c:v>35.590442412872257</c:v>
                </c:pt>
                <c:pt idx="28">
                  <c:v>35.121809229337948</c:v>
                </c:pt>
                <c:pt idx="29">
                  <c:v>34.684418258039258</c:v>
                </c:pt>
                <c:pt idx="30">
                  <c:v>34.275246059082427</c:v>
                </c:pt>
                <c:pt idx="31">
                  <c:v>33.891647122560386</c:v>
                </c:pt>
                <c:pt idx="32">
                  <c:v>33.531296606433628</c:v>
                </c:pt>
                <c:pt idx="33">
                  <c:v>33.192143179490799</c:v>
                </c:pt>
                <c:pt idx="34">
                  <c:v>32.872369948373269</c:v>
                </c:pt>
                <c:pt idx="35">
                  <c:v>32.570361896762279</c:v>
                </c:pt>
                <c:pt idx="36">
                  <c:v>32.284678604697817</c:v>
                </c:pt>
                <c:pt idx="37">
                  <c:v>32.014031275373597</c:v>
                </c:pt>
                <c:pt idx="38">
                  <c:v>31.757263296271127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07-463E-BD06-D9B21089B772}"/>
            </c:ext>
          </c:extLst>
        </c:ser>
        <c:ser>
          <c:idx val="1"/>
          <c:order val="1"/>
          <c:tx>
            <c:strRef>
              <c:f>'Economies of Scale (2)'!$J$2</c:f>
              <c:strCache>
                <c:ptCount val="1"/>
                <c:pt idx="0">
                  <c:v>Medical Officer Present</c:v>
                </c:pt>
              </c:strCache>
            </c:strRef>
          </c:tx>
          <c:spPr>
            <a:ln w="9525" cap="rnd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dPt>
            <c:idx val="2"/>
            <c:marker>
              <c:symbol val="none"/>
            </c:marker>
            <c:bubble3D val="0"/>
            <c:spPr>
              <a:ln w="9525" cap="rnd">
                <a:solidFill>
                  <a:srgbClr val="FF000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0407-463E-BD06-D9B21089B772}"/>
              </c:ext>
            </c:extLst>
          </c:dPt>
          <c:cat>
            <c:numRef>
              <c:f>'Economies of Scale (2)'!$B$3:$B$41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Scale (2)'!$J$3:$J$41</c:f>
              <c:numCache>
                <c:formatCode>_-* #\ ##0_-;\-* #\ ##0_-;_-* "-"??_-;_-@_-</c:formatCode>
                <c:ptCount val="39"/>
                <c:pt idx="0">
                  <c:v>372.13979173066679</c:v>
                </c:pt>
                <c:pt idx="1">
                  <c:v>197.06993591052208</c:v>
                </c:pt>
                <c:pt idx="2">
                  <c:v>138.71331730380714</c:v>
                </c:pt>
                <c:pt idx="3">
                  <c:v>109.53500800044969</c:v>
                </c:pt>
                <c:pt idx="4">
                  <c:v>92.028022418435228</c:v>
                </c:pt>
                <c:pt idx="5">
                  <c:v>80.356698697092241</c:v>
                </c:pt>
                <c:pt idx="6">
                  <c:v>72.020038896132959</c:v>
                </c:pt>
                <c:pt idx="7">
                  <c:v>65.767544045413501</c:v>
                </c:pt>
                <c:pt idx="8">
                  <c:v>60.904492494853933</c:v>
                </c:pt>
                <c:pt idx="9">
                  <c:v>57.014051254406276</c:v>
                </c:pt>
                <c:pt idx="10">
                  <c:v>53.830962966767281</c:v>
                </c:pt>
                <c:pt idx="11">
                  <c:v>51.178389393734783</c:v>
                </c:pt>
                <c:pt idx="12">
                  <c:v>48.933904062707285</c:v>
                </c:pt>
                <c:pt idx="13">
                  <c:v>47.010059493255142</c:v>
                </c:pt>
                <c:pt idx="14">
                  <c:v>45.34272753306329</c:v>
                </c:pt>
                <c:pt idx="15">
                  <c:v>43.883812067895413</c:v>
                </c:pt>
                <c:pt idx="16">
                  <c:v>42.596533716276703</c:v>
                </c:pt>
                <c:pt idx="17">
                  <c:v>41.452286292615632</c:v>
                </c:pt>
                <c:pt idx="18">
                  <c:v>40.428485966182038</c:v>
                </c:pt>
                <c:pt idx="19">
                  <c:v>39.507065672391803</c:v>
                </c:pt>
                <c:pt idx="20">
                  <c:v>38.673399692295874</c:v>
                </c:pt>
                <c:pt idx="21">
                  <c:v>37.915521528572306</c:v>
                </c:pt>
                <c:pt idx="22">
                  <c:v>37.223545813868178</c:v>
                </c:pt>
                <c:pt idx="23">
                  <c:v>36.589234742056057</c:v>
                </c:pt>
                <c:pt idx="24">
                  <c:v>36.005668555988905</c:v>
                </c:pt>
                <c:pt idx="25">
                  <c:v>35.466992076542304</c:v>
                </c:pt>
                <c:pt idx="26">
                  <c:v>34.968217558536196</c:v>
                </c:pt>
                <c:pt idx="27">
                  <c:v>34.505069791816233</c:v>
                </c:pt>
                <c:pt idx="28">
                  <c:v>34.073863250387305</c:v>
                </c:pt>
                <c:pt idx="29">
                  <c:v>33.67140381172031</c:v>
                </c:pt>
                <c:pt idx="30">
                  <c:v>33.294909498128604</c:v>
                </c:pt>
                <c:pt idx="31">
                  <c:v>32.941946079136372</c:v>
                </c:pt>
                <c:pt idx="32">
                  <c:v>32.61037438250731</c:v>
                </c:pt>
                <c:pt idx="33">
                  <c:v>32.298306903327017</c:v>
                </c:pt>
                <c:pt idx="34">
                  <c:v>32.004071851528451</c:v>
                </c:pt>
                <c:pt idx="35">
                  <c:v>31.726183191496482</c:v>
                </c:pt>
                <c:pt idx="36">
                  <c:v>31.463315540114881</c:v>
                </c:pt>
                <c:pt idx="37">
                  <c:v>31.214283028279681</c:v>
                </c:pt>
                <c:pt idx="38">
                  <c:v>30.978021414487312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07-463E-BD06-D9B21089B772}"/>
            </c:ext>
          </c:extLst>
        </c:ser>
        <c:ser>
          <c:idx val="2"/>
          <c:order val="2"/>
          <c:tx>
            <c:strRef>
              <c:f>'Economies of Scale (2)'!$N$2</c:f>
              <c:strCache>
                <c:ptCount val="1"/>
                <c:pt idx="0">
                  <c:v>WBOT only present</c:v>
                </c:pt>
              </c:strCache>
            </c:strRef>
          </c:tx>
          <c:spPr>
            <a:ln w="95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'Economies of Scale (2)'!$B$3:$B$41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Scale (2)'!$N$3:$N$41</c:f>
              <c:numCache>
                <c:formatCode>_-* #\ ##0_-;\-* #\ ##0_-;_-* "-"??_-;_-@_-</c:formatCode>
                <c:ptCount val="39"/>
                <c:pt idx="0">
                  <c:v>283.85019747104803</c:v>
                </c:pt>
                <c:pt idx="1">
                  <c:v>152.92513878071267</c:v>
                </c:pt>
                <c:pt idx="2">
                  <c:v>109.28345255060087</c:v>
                </c:pt>
                <c:pt idx="3">
                  <c:v>87.462609435545005</c:v>
                </c:pt>
                <c:pt idx="4">
                  <c:v>74.37010356651146</c:v>
                </c:pt>
                <c:pt idx="5">
                  <c:v>65.641766320489097</c:v>
                </c:pt>
                <c:pt idx="6">
                  <c:v>59.407239716187426</c:v>
                </c:pt>
                <c:pt idx="7">
                  <c:v>54.731344762961164</c:v>
                </c:pt>
                <c:pt idx="8">
                  <c:v>51.094537577118508</c:v>
                </c:pt>
                <c:pt idx="9">
                  <c:v>48.185091828444392</c:v>
                </c:pt>
                <c:pt idx="10">
                  <c:v>45.804636215892842</c:v>
                </c:pt>
                <c:pt idx="11">
                  <c:v>43.820923205433218</c:v>
                </c:pt>
                <c:pt idx="12">
                  <c:v>42.14239681196738</c:v>
                </c:pt>
                <c:pt idx="13">
                  <c:v>40.703659903282379</c:v>
                </c:pt>
                <c:pt idx="14">
                  <c:v>39.456754582422036</c:v>
                </c:pt>
                <c:pt idx="15">
                  <c:v>38.365712426669241</c:v>
                </c:pt>
                <c:pt idx="16">
                  <c:v>37.403028171593249</c:v>
                </c:pt>
                <c:pt idx="17">
                  <c:v>36.547308833747927</c:v>
                </c:pt>
                <c:pt idx="18">
                  <c:v>35.781665215675787</c:v>
                </c:pt>
                <c:pt idx="19">
                  <c:v>35.092585959410862</c:v>
                </c:pt>
                <c:pt idx="20">
                  <c:v>34.469133298980694</c:v>
                </c:pt>
                <c:pt idx="21">
                  <c:v>33.902358153135083</c:v>
                </c:pt>
                <c:pt idx="22">
                  <c:v>33.384867802580395</c:v>
                </c:pt>
                <c:pt idx="23">
                  <c:v>32.910501647905271</c:v>
                </c:pt>
                <c:pt idx="24">
                  <c:v>32.474084785604155</c:v>
                </c:pt>
                <c:pt idx="25">
                  <c:v>32.071238451172356</c:v>
                </c:pt>
                <c:pt idx="26">
                  <c:v>31.698232585957722</c:v>
                </c:pt>
                <c:pt idx="27">
                  <c:v>31.351869996829851</c:v>
                </c:pt>
                <c:pt idx="28">
                  <c:v>31.029394482814247</c:v>
                </c:pt>
                <c:pt idx="29">
                  <c:v>30.728417336399687</c:v>
                </c:pt>
                <c:pt idx="30">
                  <c:v>30.446858070398964</c:v>
                </c:pt>
                <c:pt idx="31">
                  <c:v>30.182896258523286</c:v>
                </c:pt>
                <c:pt idx="32">
                  <c:v>29.934932132215835</c:v>
                </c:pt>
                <c:pt idx="33">
                  <c:v>29.70155413098529</c:v>
                </c:pt>
                <c:pt idx="34">
                  <c:v>29.481512015539348</c:v>
                </c:pt>
                <c:pt idx="35">
                  <c:v>29.273694462062625</c:v>
                </c:pt>
                <c:pt idx="36">
                  <c:v>29.077110289854915</c:v>
                </c:pt>
                <c:pt idx="37">
                  <c:v>28.890872653026559</c:v>
                </c:pt>
                <c:pt idx="38">
                  <c:v>28.714185664240681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07-463E-BD06-D9B21089B772}"/>
            </c:ext>
          </c:extLst>
        </c:ser>
        <c:ser>
          <c:idx val="3"/>
          <c:order val="3"/>
          <c:tx>
            <c:strRef>
              <c:f>'Economies of Scale (2)'!$R$2</c:f>
              <c:strCache>
                <c:ptCount val="1"/>
                <c:pt idx="0">
                  <c:v>WBOT only present and only a sample of 500 children screened for schistosmiasis.</c:v>
                </c:pt>
              </c:strCache>
            </c:strRef>
          </c:tx>
          <c:spPr>
            <a:ln w="95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'Economies of Scale (2)'!$B$3:$B$41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Scale (2)'!$R$3:$R$41</c:f>
              <c:numCache>
                <c:formatCode>_-* #\ ##0_-;\-* #\ ##0_-;_-* "-"??_-;_-@_-</c:formatCode>
                <c:ptCount val="39"/>
                <c:pt idx="0">
                  <c:v>338.29396457200215</c:v>
                </c:pt>
                <c:pt idx="1">
                  <c:v>177.12236860335892</c:v>
                </c:pt>
                <c:pt idx="2">
                  <c:v>123.39850328047788</c:v>
                </c:pt>
                <c:pt idx="3">
                  <c:v>96.536570619037334</c:v>
                </c:pt>
                <c:pt idx="4">
                  <c:v>80.419411022173037</c:v>
                </c:pt>
                <c:pt idx="5">
                  <c:v>69.674637957596815</c:v>
                </c:pt>
                <c:pt idx="6">
                  <c:v>61.999800054328098</c:v>
                </c:pt>
                <c:pt idx="7">
                  <c:v>56.243671626876548</c:v>
                </c:pt>
                <c:pt idx="8">
                  <c:v>51.766682849969804</c:v>
                </c:pt>
                <c:pt idx="9">
                  <c:v>48.185091828444392</c:v>
                </c:pt>
                <c:pt idx="10">
                  <c:v>45.254699174469067</c:v>
                </c:pt>
                <c:pt idx="11">
                  <c:v>42.812705296156288</c:v>
                </c:pt>
                <c:pt idx="12">
                  <c:v>40.746402783737786</c:v>
                </c:pt>
                <c:pt idx="13">
                  <c:v>38.975286344521926</c:v>
                </c:pt>
                <c:pt idx="14">
                  <c:v>37.440318763868184</c:v>
                </c:pt>
                <c:pt idx="15">
                  <c:v>36.097222130796155</c:v>
                </c:pt>
                <c:pt idx="16">
                  <c:v>34.912136866320843</c:v>
                </c:pt>
                <c:pt idx="17">
                  <c:v>33.858727742342779</c:v>
                </c:pt>
                <c:pt idx="18">
                  <c:v>32.916203789309776</c:v>
                </c:pt>
                <c:pt idx="19">
                  <c:v>32.067932231580073</c:v>
                </c:pt>
                <c:pt idx="20">
                  <c:v>31.300448441253206</c:v>
                </c:pt>
                <c:pt idx="21">
                  <c:v>30.602735904592411</c:v>
                </c:pt>
                <c:pt idx="22">
                  <c:v>29.965694023293427</c:v>
                </c:pt>
                <c:pt idx="23">
                  <c:v>29.381738965436021</c:v>
                </c:pt>
                <c:pt idx="24">
                  <c:v>28.844500312207213</c:v>
                </c:pt>
                <c:pt idx="25">
                  <c:v>28.34858770922677</c:v>
                </c:pt>
                <c:pt idx="26">
                  <c:v>27.889409373133773</c:v>
                </c:pt>
                <c:pt idx="27">
                  <c:v>27.46302948961884</c:v>
                </c:pt>
                <c:pt idx="28">
                  <c:v>27.06605511531184</c:v>
                </c:pt>
                <c:pt idx="29">
                  <c:v>26.695545699291969</c:v>
                </c:pt>
                <c:pt idx="30">
                  <c:v>26.348940116563707</c:v>
                </c:pt>
                <c:pt idx="31">
                  <c:v>26.023997382755955</c:v>
                </c:pt>
                <c:pt idx="32">
                  <c:v>25.71874814796686</c:v>
                </c:pt>
                <c:pt idx="33">
                  <c:v>25.431454750518299</c:v>
                </c:pt>
                <c:pt idx="34">
                  <c:v>25.160578118638227</c:v>
                </c:pt>
                <c:pt idx="35">
                  <c:v>24.904750188529267</c:v>
                </c:pt>
                <c:pt idx="36">
                  <c:v>24.662750795182959</c:v>
                </c:pt>
                <c:pt idx="37">
                  <c:v>24.433488212012769</c:v>
                </c:pt>
                <c:pt idx="38">
                  <c:v>24.215982684389768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07-463E-BD06-D9B21089B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5200432"/>
        <c:axId val="815207920"/>
      </c:lineChart>
      <c:catAx>
        <c:axId val="815200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Number of children treaten in Schistosomiasis</a:t>
                </a:r>
                <a:r>
                  <a:rPr lang="en-ZA" b="1" baseline="0">
                    <a:solidFill>
                      <a:sysClr val="windowText" lastClr="000000"/>
                    </a:solidFill>
                  </a:rPr>
                  <a:t> Control MDA Program</a:t>
                </a:r>
                <a:endParaRPr lang="en-ZA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5207920"/>
        <c:crosses val="autoZero"/>
        <c:auto val="1"/>
        <c:lblAlgn val="ctr"/>
        <c:lblOffset val="100"/>
        <c:noMultiLvlLbl val="0"/>
      </c:catAx>
      <c:valAx>
        <c:axId val="815207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Cost</a:t>
                </a:r>
                <a:r>
                  <a:rPr lang="en-ZA" b="1" baseline="0">
                    <a:solidFill>
                      <a:sysClr val="windowText" lastClr="000000"/>
                    </a:solidFill>
                  </a:rPr>
                  <a:t> in Rands</a:t>
                </a:r>
                <a:endParaRPr lang="en-ZA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520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ZA" b="1">
                <a:solidFill>
                  <a:sysClr val="windowText" lastClr="000000"/>
                </a:solidFill>
              </a:rPr>
              <a:t>Differential costing of labour and diagnosis</a:t>
            </a:r>
            <a:r>
              <a:rPr lang="en-ZA" b="1" baseline="0">
                <a:solidFill>
                  <a:sysClr val="windowText" lastClr="000000"/>
                </a:solidFill>
              </a:rPr>
              <a:t> scenarios.</a:t>
            </a:r>
            <a:endParaRPr lang="en-ZA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617354904591909"/>
          <c:y val="1.59744408945686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'Economies of Scale (2)'!$F$2</c:f>
              <c:strCache>
                <c:ptCount val="1"/>
                <c:pt idx="0">
                  <c:v>Paediatrican present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Scale (2)'!$B$3:$B$41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Scale (2)'!$F$3:$F$41</c:f>
              <c:numCache>
                <c:formatCode>_-* #\ ##0_-;\-* #\ ##0_-;_-* "-"??_-;_-@_-</c:formatCode>
                <c:ptCount val="39"/>
                <c:pt idx="0">
                  <c:v>402.53022512023534</c:v>
                </c:pt>
                <c:pt idx="1">
                  <c:v>212.26515260530635</c:v>
                </c:pt>
                <c:pt idx="2">
                  <c:v>148.84346176699668</c:v>
                </c:pt>
                <c:pt idx="3">
                  <c:v>117.13261634784183</c:v>
                </c:pt>
                <c:pt idx="4">
                  <c:v>98.106109096348931</c:v>
                </c:pt>
                <c:pt idx="5">
                  <c:v>85.421770928686996</c:v>
                </c:pt>
                <c:pt idx="6">
                  <c:v>76.361529380357041</c:v>
                </c:pt>
                <c:pt idx="7">
                  <c:v>69.566348219109585</c:v>
                </c:pt>
                <c:pt idx="8">
                  <c:v>64.281207315917115</c:v>
                </c:pt>
                <c:pt idx="9">
                  <c:v>60.053094593363127</c:v>
                </c:pt>
                <c:pt idx="10">
                  <c:v>56.593729638546236</c:v>
                </c:pt>
                <c:pt idx="11">
                  <c:v>53.71092550953216</c:v>
                </c:pt>
                <c:pt idx="12">
                  <c:v>51.271629708058718</c:v>
                </c:pt>
                <c:pt idx="13">
                  <c:v>49.18080473536719</c:v>
                </c:pt>
                <c:pt idx="14">
                  <c:v>47.3687564257012</c:v>
                </c:pt>
                <c:pt idx="15">
                  <c:v>45.783214154743455</c:v>
                </c:pt>
                <c:pt idx="16">
                  <c:v>44.384206268604267</c:v>
                </c:pt>
                <c:pt idx="17">
                  <c:v>43.140643703147219</c:v>
                </c:pt>
                <c:pt idx="18">
                  <c:v>42.027982460369856</c:v>
                </c:pt>
                <c:pt idx="19">
                  <c:v>41.026587341870226</c:v>
                </c:pt>
                <c:pt idx="20">
                  <c:v>40.120563187037227</c:v>
                </c:pt>
                <c:pt idx="21">
                  <c:v>39.296904864461787</c:v>
                </c:pt>
                <c:pt idx="22">
                  <c:v>38.544869004718983</c:v>
                </c:pt>
                <c:pt idx="23">
                  <c:v>37.855502799954742</c:v>
                </c:pt>
                <c:pt idx="24">
                  <c:v>37.221285891571654</c:v>
                </c:pt>
                <c:pt idx="25">
                  <c:v>36.635854899218025</c:v>
                </c:pt>
                <c:pt idx="26">
                  <c:v>36.093789165557254</c:v>
                </c:pt>
                <c:pt idx="27">
                  <c:v>35.590442412872257</c:v>
                </c:pt>
                <c:pt idx="28">
                  <c:v>35.121809229337948</c:v>
                </c:pt>
                <c:pt idx="29">
                  <c:v>34.684418258039258</c:v>
                </c:pt>
                <c:pt idx="30">
                  <c:v>34.275246059082427</c:v>
                </c:pt>
                <c:pt idx="31">
                  <c:v>33.891647122560386</c:v>
                </c:pt>
                <c:pt idx="32">
                  <c:v>33.531296606433628</c:v>
                </c:pt>
                <c:pt idx="33">
                  <c:v>33.192143179490799</c:v>
                </c:pt>
                <c:pt idx="34">
                  <c:v>32.872369948373269</c:v>
                </c:pt>
                <c:pt idx="35">
                  <c:v>32.570361896762279</c:v>
                </c:pt>
                <c:pt idx="36">
                  <c:v>32.284678604697817</c:v>
                </c:pt>
                <c:pt idx="37">
                  <c:v>32.014031275373597</c:v>
                </c:pt>
                <c:pt idx="38">
                  <c:v>31.757263296271127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1D-40E9-93B0-89C26A69E9AF}"/>
            </c:ext>
          </c:extLst>
        </c:ser>
        <c:ser>
          <c:idx val="1"/>
          <c:order val="1"/>
          <c:tx>
            <c:strRef>
              <c:f>'Economies of Scale (2)'!$J$2</c:f>
              <c:strCache>
                <c:ptCount val="1"/>
                <c:pt idx="0">
                  <c:v>Medical Officer Present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'Economies of Scale (2)'!$B$3:$B$41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Scale (2)'!$J$3:$J$41</c:f>
              <c:numCache>
                <c:formatCode>_-* #\ ##0_-;\-* #\ ##0_-;_-* "-"??_-;_-@_-</c:formatCode>
                <c:ptCount val="39"/>
                <c:pt idx="0">
                  <c:v>372.13979173066679</c:v>
                </c:pt>
                <c:pt idx="1">
                  <c:v>197.06993591052208</c:v>
                </c:pt>
                <c:pt idx="2">
                  <c:v>138.71331730380714</c:v>
                </c:pt>
                <c:pt idx="3">
                  <c:v>109.53500800044969</c:v>
                </c:pt>
                <c:pt idx="4">
                  <c:v>92.028022418435228</c:v>
                </c:pt>
                <c:pt idx="5">
                  <c:v>80.356698697092241</c:v>
                </c:pt>
                <c:pt idx="6">
                  <c:v>72.020038896132959</c:v>
                </c:pt>
                <c:pt idx="7">
                  <c:v>65.767544045413501</c:v>
                </c:pt>
                <c:pt idx="8">
                  <c:v>60.904492494853933</c:v>
                </c:pt>
                <c:pt idx="9">
                  <c:v>57.014051254406276</c:v>
                </c:pt>
                <c:pt idx="10">
                  <c:v>53.830962966767281</c:v>
                </c:pt>
                <c:pt idx="11">
                  <c:v>51.178389393734783</c:v>
                </c:pt>
                <c:pt idx="12">
                  <c:v>48.933904062707285</c:v>
                </c:pt>
                <c:pt idx="13">
                  <c:v>47.010059493255142</c:v>
                </c:pt>
                <c:pt idx="14">
                  <c:v>45.34272753306329</c:v>
                </c:pt>
                <c:pt idx="15">
                  <c:v>43.883812067895413</c:v>
                </c:pt>
                <c:pt idx="16">
                  <c:v>42.596533716276703</c:v>
                </c:pt>
                <c:pt idx="17">
                  <c:v>41.452286292615632</c:v>
                </c:pt>
                <c:pt idx="18">
                  <c:v>40.428485966182038</c:v>
                </c:pt>
                <c:pt idx="19">
                  <c:v>39.507065672391803</c:v>
                </c:pt>
                <c:pt idx="20">
                  <c:v>38.673399692295874</c:v>
                </c:pt>
                <c:pt idx="21">
                  <c:v>37.915521528572306</c:v>
                </c:pt>
                <c:pt idx="22">
                  <c:v>37.223545813868178</c:v>
                </c:pt>
                <c:pt idx="23">
                  <c:v>36.589234742056057</c:v>
                </c:pt>
                <c:pt idx="24">
                  <c:v>36.005668555988905</c:v>
                </c:pt>
                <c:pt idx="25">
                  <c:v>35.466992076542304</c:v>
                </c:pt>
                <c:pt idx="26">
                  <c:v>34.968217558536196</c:v>
                </c:pt>
                <c:pt idx="27">
                  <c:v>34.505069791816233</c:v>
                </c:pt>
                <c:pt idx="28">
                  <c:v>34.073863250387305</c:v>
                </c:pt>
                <c:pt idx="29">
                  <c:v>33.67140381172031</c:v>
                </c:pt>
                <c:pt idx="30">
                  <c:v>33.294909498128604</c:v>
                </c:pt>
                <c:pt idx="31">
                  <c:v>32.941946079136372</c:v>
                </c:pt>
                <c:pt idx="32">
                  <c:v>32.61037438250731</c:v>
                </c:pt>
                <c:pt idx="33">
                  <c:v>32.298306903327017</c:v>
                </c:pt>
                <c:pt idx="34">
                  <c:v>32.004071851528451</c:v>
                </c:pt>
                <c:pt idx="35">
                  <c:v>31.726183191496482</c:v>
                </c:pt>
                <c:pt idx="36">
                  <c:v>31.463315540114881</c:v>
                </c:pt>
                <c:pt idx="37">
                  <c:v>31.214283028279681</c:v>
                </c:pt>
                <c:pt idx="38">
                  <c:v>30.978021414487312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1D-40E9-93B0-89C26A69E9AF}"/>
            </c:ext>
          </c:extLst>
        </c:ser>
        <c:ser>
          <c:idx val="2"/>
          <c:order val="2"/>
          <c:tx>
            <c:strRef>
              <c:f>'Economies of Scale (2)'!$N$2</c:f>
              <c:strCache>
                <c:ptCount val="1"/>
                <c:pt idx="0">
                  <c:v>WBOT only present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Scale (2)'!$B$3:$B$41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Scale (2)'!$N$3:$N$41</c:f>
              <c:numCache>
                <c:formatCode>_-* #\ ##0_-;\-* #\ ##0_-;_-* "-"??_-;_-@_-</c:formatCode>
                <c:ptCount val="39"/>
                <c:pt idx="0">
                  <c:v>283.85019747104803</c:v>
                </c:pt>
                <c:pt idx="1">
                  <c:v>152.92513878071267</c:v>
                </c:pt>
                <c:pt idx="2">
                  <c:v>109.28345255060087</c:v>
                </c:pt>
                <c:pt idx="3">
                  <c:v>87.462609435545005</c:v>
                </c:pt>
                <c:pt idx="4">
                  <c:v>74.37010356651146</c:v>
                </c:pt>
                <c:pt idx="5">
                  <c:v>65.641766320489097</c:v>
                </c:pt>
                <c:pt idx="6">
                  <c:v>59.407239716187426</c:v>
                </c:pt>
                <c:pt idx="7">
                  <c:v>54.731344762961164</c:v>
                </c:pt>
                <c:pt idx="8">
                  <c:v>51.094537577118508</c:v>
                </c:pt>
                <c:pt idx="9">
                  <c:v>48.185091828444392</c:v>
                </c:pt>
                <c:pt idx="10">
                  <c:v>45.804636215892842</c:v>
                </c:pt>
                <c:pt idx="11">
                  <c:v>43.820923205433218</c:v>
                </c:pt>
                <c:pt idx="12">
                  <c:v>42.14239681196738</c:v>
                </c:pt>
                <c:pt idx="13">
                  <c:v>40.703659903282379</c:v>
                </c:pt>
                <c:pt idx="14">
                  <c:v>39.456754582422036</c:v>
                </c:pt>
                <c:pt idx="15">
                  <c:v>38.365712426669241</c:v>
                </c:pt>
                <c:pt idx="16">
                  <c:v>37.403028171593249</c:v>
                </c:pt>
                <c:pt idx="17">
                  <c:v>36.547308833747927</c:v>
                </c:pt>
                <c:pt idx="18">
                  <c:v>35.781665215675787</c:v>
                </c:pt>
                <c:pt idx="19">
                  <c:v>35.092585959410862</c:v>
                </c:pt>
                <c:pt idx="20">
                  <c:v>34.469133298980694</c:v>
                </c:pt>
                <c:pt idx="21">
                  <c:v>33.902358153135083</c:v>
                </c:pt>
                <c:pt idx="22">
                  <c:v>33.384867802580395</c:v>
                </c:pt>
                <c:pt idx="23">
                  <c:v>32.910501647905271</c:v>
                </c:pt>
                <c:pt idx="24">
                  <c:v>32.474084785604155</c:v>
                </c:pt>
                <c:pt idx="25">
                  <c:v>32.071238451172356</c:v>
                </c:pt>
                <c:pt idx="26">
                  <c:v>31.698232585957722</c:v>
                </c:pt>
                <c:pt idx="27">
                  <c:v>31.351869996829851</c:v>
                </c:pt>
                <c:pt idx="28">
                  <c:v>31.029394482814247</c:v>
                </c:pt>
                <c:pt idx="29">
                  <c:v>30.728417336399687</c:v>
                </c:pt>
                <c:pt idx="30">
                  <c:v>30.446858070398964</c:v>
                </c:pt>
                <c:pt idx="31">
                  <c:v>30.182896258523286</c:v>
                </c:pt>
                <c:pt idx="32">
                  <c:v>29.934932132215835</c:v>
                </c:pt>
                <c:pt idx="33">
                  <c:v>29.70155413098529</c:v>
                </c:pt>
                <c:pt idx="34">
                  <c:v>29.481512015539348</c:v>
                </c:pt>
                <c:pt idx="35">
                  <c:v>29.273694462062625</c:v>
                </c:pt>
                <c:pt idx="36">
                  <c:v>29.077110289854915</c:v>
                </c:pt>
                <c:pt idx="37">
                  <c:v>28.890872653026559</c:v>
                </c:pt>
                <c:pt idx="38">
                  <c:v>28.714185664240681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1D-40E9-93B0-89C26A69E9AF}"/>
            </c:ext>
          </c:extLst>
        </c:ser>
        <c:ser>
          <c:idx val="3"/>
          <c:order val="3"/>
          <c:tx>
            <c:strRef>
              <c:f>'Economies of Scale (2)'!$R$2</c:f>
              <c:strCache>
                <c:ptCount val="1"/>
                <c:pt idx="0">
                  <c:v>WBOT only present and only a sample of 500 children screened for schistosmiasis.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Scale (2)'!$B$3:$B$41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Scale (2)'!$R$3:$R$41</c:f>
              <c:numCache>
                <c:formatCode>_-* #\ ##0_-;\-* #\ ##0_-;_-* "-"??_-;_-@_-</c:formatCode>
                <c:ptCount val="39"/>
                <c:pt idx="0">
                  <c:v>338.29396457200215</c:v>
                </c:pt>
                <c:pt idx="1">
                  <c:v>177.12236860335892</c:v>
                </c:pt>
                <c:pt idx="2">
                  <c:v>123.39850328047788</c:v>
                </c:pt>
                <c:pt idx="3">
                  <c:v>96.536570619037334</c:v>
                </c:pt>
                <c:pt idx="4">
                  <c:v>80.419411022173037</c:v>
                </c:pt>
                <c:pt idx="5">
                  <c:v>69.674637957596815</c:v>
                </c:pt>
                <c:pt idx="6">
                  <c:v>61.999800054328098</c:v>
                </c:pt>
                <c:pt idx="7">
                  <c:v>56.243671626876548</c:v>
                </c:pt>
                <c:pt idx="8">
                  <c:v>51.766682849969804</c:v>
                </c:pt>
                <c:pt idx="9">
                  <c:v>48.185091828444392</c:v>
                </c:pt>
                <c:pt idx="10">
                  <c:v>45.254699174469067</c:v>
                </c:pt>
                <c:pt idx="11">
                  <c:v>42.812705296156288</c:v>
                </c:pt>
                <c:pt idx="12">
                  <c:v>40.746402783737786</c:v>
                </c:pt>
                <c:pt idx="13">
                  <c:v>38.975286344521926</c:v>
                </c:pt>
                <c:pt idx="14">
                  <c:v>37.440318763868184</c:v>
                </c:pt>
                <c:pt idx="15">
                  <c:v>36.097222130796155</c:v>
                </c:pt>
                <c:pt idx="16">
                  <c:v>34.912136866320843</c:v>
                </c:pt>
                <c:pt idx="17">
                  <c:v>33.858727742342779</c:v>
                </c:pt>
                <c:pt idx="18">
                  <c:v>32.916203789309776</c:v>
                </c:pt>
                <c:pt idx="19">
                  <c:v>32.067932231580073</c:v>
                </c:pt>
                <c:pt idx="20">
                  <c:v>31.300448441253206</c:v>
                </c:pt>
                <c:pt idx="21">
                  <c:v>30.602735904592411</c:v>
                </c:pt>
                <c:pt idx="22">
                  <c:v>29.965694023293427</c:v>
                </c:pt>
                <c:pt idx="23">
                  <c:v>29.381738965436021</c:v>
                </c:pt>
                <c:pt idx="24">
                  <c:v>28.844500312207213</c:v>
                </c:pt>
                <c:pt idx="25">
                  <c:v>28.34858770922677</c:v>
                </c:pt>
                <c:pt idx="26">
                  <c:v>27.889409373133773</c:v>
                </c:pt>
                <c:pt idx="27">
                  <c:v>27.46302948961884</c:v>
                </c:pt>
                <c:pt idx="28">
                  <c:v>27.06605511531184</c:v>
                </c:pt>
                <c:pt idx="29">
                  <c:v>26.695545699291969</c:v>
                </c:pt>
                <c:pt idx="30">
                  <c:v>26.348940116563707</c:v>
                </c:pt>
                <c:pt idx="31">
                  <c:v>26.023997382755955</c:v>
                </c:pt>
                <c:pt idx="32">
                  <c:v>25.71874814796686</c:v>
                </c:pt>
                <c:pt idx="33">
                  <c:v>25.431454750518299</c:v>
                </c:pt>
                <c:pt idx="34">
                  <c:v>25.160578118638227</c:v>
                </c:pt>
                <c:pt idx="35">
                  <c:v>24.904750188529267</c:v>
                </c:pt>
                <c:pt idx="36">
                  <c:v>24.662750795182959</c:v>
                </c:pt>
                <c:pt idx="37">
                  <c:v>24.433488212012769</c:v>
                </c:pt>
                <c:pt idx="38">
                  <c:v>24.215982684389768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1D-40E9-93B0-89C26A69E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720239"/>
        <c:axId val="927721071"/>
      </c:lineChart>
      <c:lineChart>
        <c:grouping val="standard"/>
        <c:varyColors val="0"/>
        <c:ser>
          <c:idx val="4"/>
          <c:order val="4"/>
          <c:tx>
            <c:strRef>
              <c:f>'Economies of Scale (2)'!$T$2</c:f>
              <c:strCache>
                <c:ptCount val="1"/>
                <c:pt idx="0">
                  <c:v>Overall Price Range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Scale (2)'!$B$3:$B$41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Scale (2)'!$T$3:$T$41</c:f>
              <c:numCache>
                <c:formatCode>_-* #\ ##0_-;\-* #\ ##0_-;_-* "-"??_-;_-@_-</c:formatCode>
                <c:ptCount val="39"/>
                <c:pt idx="0">
                  <c:v>64.23626054823319</c:v>
                </c:pt>
                <c:pt idx="1">
                  <c:v>35.142784001947433</c:v>
                </c:pt>
                <c:pt idx="2">
                  <c:v>25.4449584865188</c:v>
                </c:pt>
                <c:pt idx="3">
                  <c:v>20.596045728804498</c:v>
                </c:pt>
                <c:pt idx="4">
                  <c:v>17.686698074175894</c:v>
                </c:pt>
                <c:pt idx="5">
                  <c:v>15.747132971090181</c:v>
                </c:pt>
                <c:pt idx="6">
                  <c:v>14.361729326028943</c:v>
                </c:pt>
                <c:pt idx="7">
                  <c:v>13.322676592233037</c:v>
                </c:pt>
                <c:pt idx="8">
                  <c:v>12.514524465947311</c:v>
                </c:pt>
                <c:pt idx="9">
                  <c:v>11.868002764918735</c:v>
                </c:pt>
                <c:pt idx="10">
                  <c:v>11.339030464077169</c:v>
                </c:pt>
                <c:pt idx="11">
                  <c:v>10.898220213375872</c:v>
                </c:pt>
                <c:pt idx="12">
                  <c:v>10.525226924320933</c:v>
                </c:pt>
                <c:pt idx="13">
                  <c:v>10.205518390845263</c:v>
                </c:pt>
                <c:pt idx="14">
                  <c:v>9.9284376618330157</c:v>
                </c:pt>
                <c:pt idx="15">
                  <c:v>9.6859920239472999</c:v>
                </c:pt>
                <c:pt idx="16">
                  <c:v>9.4720694022834238</c:v>
                </c:pt>
                <c:pt idx="17">
                  <c:v>9.2819159608044401</c:v>
                </c:pt>
                <c:pt idx="18">
                  <c:v>9.1117786710600797</c:v>
                </c:pt>
                <c:pt idx="19">
                  <c:v>8.9586551102901524</c:v>
                </c:pt>
                <c:pt idx="20">
                  <c:v>8.8201147457840214</c:v>
                </c:pt>
                <c:pt idx="21">
                  <c:v>8.6941689598693763</c:v>
                </c:pt>
                <c:pt idx="22">
                  <c:v>8.579174981425556</c:v>
                </c:pt>
                <c:pt idx="23">
                  <c:v>8.4737638345187207</c:v>
                </c:pt>
                <c:pt idx="24">
                  <c:v>8.3767855793644408</c:v>
                </c:pt>
                <c:pt idx="25">
                  <c:v>8.2872671899912547</c:v>
                </c:pt>
                <c:pt idx="26">
                  <c:v>8.2043797924234809</c:v>
                </c:pt>
                <c:pt idx="27">
                  <c:v>8.1274129232534165</c:v>
                </c:pt>
                <c:pt idx="28">
                  <c:v>8.055754114026108</c:v>
                </c:pt>
                <c:pt idx="29">
                  <c:v>7.9888725587472891</c:v>
                </c:pt>
                <c:pt idx="30">
                  <c:v>7.9263059425187201</c:v>
                </c:pt>
                <c:pt idx="31">
                  <c:v>7.8676497398044312</c:v>
                </c:pt>
                <c:pt idx="32">
                  <c:v>7.8125484584667682</c:v>
                </c:pt>
                <c:pt idx="33">
                  <c:v>7.7606884289725002</c:v>
                </c:pt>
                <c:pt idx="34">
                  <c:v>7.7117918297350414</c:v>
                </c:pt>
                <c:pt idx="35">
                  <c:v>7.665611708233012</c:v>
                </c:pt>
                <c:pt idx="36">
                  <c:v>7.6219278095148582</c:v>
                </c:pt>
                <c:pt idx="37">
                  <c:v>7.5805430633608282</c:v>
                </c:pt>
                <c:pt idx="38">
                  <c:v>7.5412806118813585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1D-40E9-93B0-89C26A69E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715247"/>
        <c:axId val="927711503"/>
      </c:lineChart>
      <c:catAx>
        <c:axId val="9277202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Number of Children Treated in MDA program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721071"/>
        <c:crosses val="autoZero"/>
        <c:auto val="1"/>
        <c:lblAlgn val="ctr"/>
        <c:lblOffset val="100"/>
        <c:noMultiLvlLbl val="0"/>
      </c:catAx>
      <c:valAx>
        <c:axId val="9277210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Cost in</a:t>
                </a:r>
                <a:r>
                  <a:rPr lang="en-US" b="1" baseline="0">
                    <a:solidFill>
                      <a:sysClr val="windowText" lastClr="000000"/>
                    </a:solidFill>
                  </a:rPr>
                  <a:t> US$</a:t>
                </a:r>
                <a:r>
                  <a:rPr lang="en-US" b="1">
                    <a:solidFill>
                      <a:sysClr val="windowText" lastClr="000000"/>
                    </a:solidFill>
                  </a:rPr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720239"/>
        <c:crosses val="autoZero"/>
        <c:crossBetween val="between"/>
      </c:valAx>
      <c:valAx>
        <c:axId val="92771150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 Cost difference per child treated in US$</a:t>
                </a:r>
              </a:p>
            </c:rich>
          </c:tx>
          <c:layout>
            <c:manualLayout>
              <c:xMode val="edge"/>
              <c:yMode val="edge"/>
              <c:x val="0.94656724200865616"/>
              <c:y val="4.84170057601860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\ ##0_-;\-* #\ ##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7715247"/>
        <c:crosses val="max"/>
        <c:crossBetween val="between"/>
      </c:valAx>
      <c:catAx>
        <c:axId val="9277152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771150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002589908049576"/>
          <c:y val="0.70847117264704329"/>
          <c:w val="0.71553301698214877"/>
          <c:h val="0.27810600856101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ZA" b="1">
                <a:solidFill>
                  <a:sysClr val="windowText" lastClr="000000"/>
                </a:solidFill>
              </a:rPr>
              <a:t> Differential Cost </a:t>
            </a:r>
            <a:r>
              <a:rPr lang="en-ZA" b="1" baseline="0">
                <a:solidFill>
                  <a:sysClr val="windowText" lastClr="000000"/>
                </a:solidFill>
              </a:rPr>
              <a:t>Analysis </a:t>
            </a:r>
            <a:r>
              <a:rPr lang="en-ZA" b="1">
                <a:solidFill>
                  <a:sysClr val="windowText" lastClr="000000"/>
                </a:solidFill>
              </a:rPr>
              <a:t>of using Mobile Clinic Vs Fixed Clinic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'Economies of Scope'!$J$3</c:f>
              <c:strCache>
                <c:ptCount val="1"/>
                <c:pt idx="0">
                  <c:v>Fixed Clinic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Scope'!$F$4:$F$17</c:f>
              <c:numCache>
                <c:formatCode>General</c:formatCode>
                <c:ptCount val="14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</c:numCache>
            </c:numRef>
          </c:cat>
          <c:val>
            <c:numRef>
              <c:f>'Economies of Scope'!$J$4:$J$17</c:f>
              <c:numCache>
                <c:formatCode>_(* #,##0.00_);_(* \(#,##0.00\);_(* "-"??_);_(@_)</c:formatCode>
                <c:ptCount val="14"/>
                <c:pt idx="0">
                  <c:v>47.412086398710933</c:v>
                </c:pt>
                <c:pt idx="1">
                  <c:v>31.681429516713347</c:v>
                </c:pt>
                <c:pt idx="2">
                  <c:v>26.43787722271415</c:v>
                </c:pt>
                <c:pt idx="3">
                  <c:v>23.816101075714553</c:v>
                </c:pt>
                <c:pt idx="4">
                  <c:v>22.243035387514794</c:v>
                </c:pt>
                <c:pt idx="5">
                  <c:v>21.194324928714956</c:v>
                </c:pt>
                <c:pt idx="6">
                  <c:v>20.44524602957221</c:v>
                </c:pt>
                <c:pt idx="7">
                  <c:v>19.883436855215155</c:v>
                </c:pt>
                <c:pt idx="8">
                  <c:v>19.446474164048553</c:v>
                </c:pt>
                <c:pt idx="9">
                  <c:v>19.096904011115274</c:v>
                </c:pt>
                <c:pt idx="10">
                  <c:v>18.810892067806225</c:v>
                </c:pt>
                <c:pt idx="11">
                  <c:v>18.572548781715355</c:v>
                </c:pt>
                <c:pt idx="12">
                  <c:v>18.370873693484615</c:v>
                </c:pt>
                <c:pt idx="13">
                  <c:v>18.198009332143986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8-4A00-A9BA-B486FA321FD6}"/>
            </c:ext>
          </c:extLst>
        </c:ser>
        <c:ser>
          <c:idx val="1"/>
          <c:order val="1"/>
          <c:tx>
            <c:strRef>
              <c:f>'Economies of Scope'!$N$3</c:f>
              <c:strCache>
                <c:ptCount val="1"/>
                <c:pt idx="0">
                  <c:v>Mobile Clinic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Scope'!$F$4:$F$17</c:f>
              <c:numCache>
                <c:formatCode>General</c:formatCode>
                <c:ptCount val="14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</c:numCache>
            </c:numRef>
          </c:cat>
          <c:val>
            <c:numRef>
              <c:f>'Economies of Scope'!$N$4:$N$17</c:f>
              <c:numCache>
                <c:formatCode>_(* #,##0.00_);_(* \(#,##0.00\);_(* "-"??_);_(@_)</c:formatCode>
                <c:ptCount val="14"/>
                <c:pt idx="0">
                  <c:v>54.921981687667213</c:v>
                </c:pt>
                <c:pt idx="1">
                  <c:v>35.436377161191487</c:v>
                </c:pt>
                <c:pt idx="2">
                  <c:v>28.941175652366244</c:v>
                </c:pt>
                <c:pt idx="3">
                  <c:v>25.693574897953621</c:v>
                </c:pt>
                <c:pt idx="4">
                  <c:v>23.745014445306051</c:v>
                </c:pt>
                <c:pt idx="5">
                  <c:v>22.445974143541001</c:v>
                </c:pt>
                <c:pt idx="6">
                  <c:v>21.518088213708825</c:v>
                </c:pt>
                <c:pt idx="7">
                  <c:v>20.822173766334689</c:v>
                </c:pt>
                <c:pt idx="8">
                  <c:v>20.280906973932584</c:v>
                </c:pt>
                <c:pt idx="9">
                  <c:v>19.847893540010904</c:v>
                </c:pt>
                <c:pt idx="10">
                  <c:v>19.493609821347707</c:v>
                </c:pt>
                <c:pt idx="11">
                  <c:v>19.198373389128381</c:v>
                </c:pt>
                <c:pt idx="12">
                  <c:v>18.948557946481255</c:v>
                </c:pt>
                <c:pt idx="13">
                  <c:v>18.734430424212292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E8-4A00-A9BA-B486FA321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2506000"/>
        <c:axId val="1342518896"/>
      </c:lineChart>
      <c:catAx>
        <c:axId val="13425060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of children</a:t>
                </a:r>
                <a:r>
                  <a:rPr lang="en-ZA" baseline="0"/>
                  <a:t> treated in schistosomiais control MDA Program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2518896"/>
        <c:crosses val="autoZero"/>
        <c:auto val="1"/>
        <c:lblAlgn val="ctr"/>
        <c:lblOffset val="100"/>
        <c:noMultiLvlLbl val="0"/>
      </c:catAx>
      <c:valAx>
        <c:axId val="13425188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Cost in Rands</a:t>
                </a:r>
              </a:p>
            </c:rich>
          </c:tx>
          <c:layout>
            <c:manualLayout>
              <c:xMode val="edge"/>
              <c:yMode val="edge"/>
              <c:x val="2.7160493827160494E-2"/>
              <c:y val="0.349354671206639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2506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ZA" b="1">
                <a:solidFill>
                  <a:sysClr val="windowText" lastClr="000000"/>
                </a:solidFill>
              </a:rPr>
              <a:t>Cost of using a Fixed</a:t>
            </a:r>
            <a:r>
              <a:rPr lang="en-ZA" b="1" baseline="0">
                <a:solidFill>
                  <a:sysClr val="windowText" lastClr="000000"/>
                </a:solidFill>
              </a:rPr>
              <a:t> Clinic vs using a Mobile Clinic</a:t>
            </a:r>
            <a:endParaRPr lang="en-ZA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764193436859355"/>
          <c:y val="0.15691040164778583"/>
          <c:w val="0.71104884616695641"/>
          <c:h val="0.52138667012658435"/>
        </c:manualLayout>
      </c:layout>
      <c:lineChart>
        <c:grouping val="standard"/>
        <c:varyColors val="0"/>
        <c:ser>
          <c:idx val="0"/>
          <c:order val="0"/>
          <c:tx>
            <c:strRef>
              <c:f>'Economies of Scope'!$J$3</c:f>
              <c:strCache>
                <c:ptCount val="1"/>
                <c:pt idx="0">
                  <c:v>Fixed Clinic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Scope'!$F$4:$F$42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Scope'!$J$4:$J$42</c:f>
              <c:numCache>
                <c:formatCode>_(* #,##0.00_);_(* \(#,##0.00\);_(* "-"??_);_(@_)</c:formatCode>
                <c:ptCount val="39"/>
                <c:pt idx="0">
                  <c:v>47.412086398710933</c:v>
                </c:pt>
                <c:pt idx="1">
                  <c:v>31.681429516713347</c:v>
                </c:pt>
                <c:pt idx="2">
                  <c:v>26.43787722271415</c:v>
                </c:pt>
                <c:pt idx="3">
                  <c:v>23.816101075714553</c:v>
                </c:pt>
                <c:pt idx="4">
                  <c:v>22.243035387514794</c:v>
                </c:pt>
                <c:pt idx="5">
                  <c:v>21.194324928714956</c:v>
                </c:pt>
                <c:pt idx="6">
                  <c:v>20.44524602957221</c:v>
                </c:pt>
                <c:pt idx="7">
                  <c:v>19.883436855215155</c:v>
                </c:pt>
                <c:pt idx="8">
                  <c:v>19.446474164048553</c:v>
                </c:pt>
                <c:pt idx="9">
                  <c:v>19.096904011115274</c:v>
                </c:pt>
                <c:pt idx="10">
                  <c:v>18.810892067806225</c:v>
                </c:pt>
                <c:pt idx="11">
                  <c:v>18.572548781715355</c:v>
                </c:pt>
                <c:pt idx="12">
                  <c:v>18.370873693484615</c:v>
                </c:pt>
                <c:pt idx="13">
                  <c:v>18.198009332143986</c:v>
                </c:pt>
                <c:pt idx="14">
                  <c:v>18.048193552315436</c:v>
                </c:pt>
                <c:pt idx="15">
                  <c:v>17.917104744965457</c:v>
                </c:pt>
                <c:pt idx="16">
                  <c:v>17.801438150244888</c:v>
                </c:pt>
                <c:pt idx="17">
                  <c:v>17.698623399382157</c:v>
                </c:pt>
                <c:pt idx="18">
                  <c:v>17.606631253873399</c:v>
                </c:pt>
                <c:pt idx="19">
                  <c:v>17.52383832291552</c:v>
                </c:pt>
                <c:pt idx="20">
                  <c:v>17.448930433001241</c:v>
                </c:pt>
                <c:pt idx="21">
                  <c:v>17.380832351260992</c:v>
                </c:pt>
                <c:pt idx="22">
                  <c:v>17.318655841845985</c:v>
                </c:pt>
                <c:pt idx="23">
                  <c:v>17.261660708215558</c:v>
                </c:pt>
                <c:pt idx="24">
                  <c:v>17.209225185275564</c:v>
                </c:pt>
                <c:pt idx="25">
                  <c:v>17.160823164100186</c:v>
                </c:pt>
                <c:pt idx="26">
                  <c:v>17.116006477826691</c:v>
                </c:pt>
                <c:pt idx="27">
                  <c:v>17.074390983429872</c:v>
                </c:pt>
                <c:pt idx="28">
                  <c:v>17.035645523129386</c:v>
                </c:pt>
                <c:pt idx="29">
                  <c:v>16.999483093515597</c:v>
                </c:pt>
                <c:pt idx="30">
                  <c:v>16.965653723876894</c:v>
                </c:pt>
                <c:pt idx="31">
                  <c:v>16.933938689840609</c:v>
                </c:pt>
                <c:pt idx="32">
                  <c:v>16.904145779079251</c:v>
                </c:pt>
                <c:pt idx="33">
                  <c:v>16.876105392480323</c:v>
                </c:pt>
                <c:pt idx="34">
                  <c:v>16.849667313687046</c:v>
                </c:pt>
                <c:pt idx="35">
                  <c:v>16.824698017048956</c:v>
                </c:pt>
                <c:pt idx="36">
                  <c:v>16.801078412121033</c:v>
                </c:pt>
                <c:pt idx="37">
                  <c:v>16.778701944294578</c:v>
                </c:pt>
                <c:pt idx="38">
                  <c:v>16.75747298763871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45-4D8D-84E4-319F213EB229}"/>
            </c:ext>
          </c:extLst>
        </c:ser>
        <c:ser>
          <c:idx val="1"/>
          <c:order val="1"/>
          <c:tx>
            <c:strRef>
              <c:f>'Economies of Scope'!$N$3</c:f>
              <c:strCache>
                <c:ptCount val="1"/>
                <c:pt idx="0">
                  <c:v>Mobile Clinic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Scope'!$F$4:$F$42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Scope'!$N$4:$N$42</c:f>
              <c:numCache>
                <c:formatCode>_(* #,##0.00_);_(* \(#,##0.00\);_(* "-"??_);_(@_)</c:formatCode>
                <c:ptCount val="39"/>
                <c:pt idx="0">
                  <c:v>54.921981687667213</c:v>
                </c:pt>
                <c:pt idx="1">
                  <c:v>35.436377161191487</c:v>
                </c:pt>
                <c:pt idx="2">
                  <c:v>28.941175652366244</c:v>
                </c:pt>
                <c:pt idx="3">
                  <c:v>25.693574897953621</c:v>
                </c:pt>
                <c:pt idx="4">
                  <c:v>23.745014445306051</c:v>
                </c:pt>
                <c:pt idx="5">
                  <c:v>22.445974143541001</c:v>
                </c:pt>
                <c:pt idx="6">
                  <c:v>21.518088213708825</c:v>
                </c:pt>
                <c:pt idx="7">
                  <c:v>20.822173766334689</c:v>
                </c:pt>
                <c:pt idx="8">
                  <c:v>20.280906973932584</c:v>
                </c:pt>
                <c:pt idx="9">
                  <c:v>19.847893540010904</c:v>
                </c:pt>
                <c:pt idx="10">
                  <c:v>19.493609821347707</c:v>
                </c:pt>
                <c:pt idx="11">
                  <c:v>19.198373389128381</c:v>
                </c:pt>
                <c:pt idx="12">
                  <c:v>18.948557946481255</c:v>
                </c:pt>
                <c:pt idx="13">
                  <c:v>18.734430424212292</c:v>
                </c:pt>
                <c:pt idx="14">
                  <c:v>18.548853238245851</c:v>
                </c:pt>
                <c:pt idx="15">
                  <c:v>18.386473200525224</c:v>
                </c:pt>
                <c:pt idx="16">
                  <c:v>18.243196696654078</c:v>
                </c:pt>
                <c:pt idx="17">
                  <c:v>18.115839804324171</c:v>
                </c:pt>
                <c:pt idx="18">
                  <c:v>18.001888900660571</c:v>
                </c:pt>
                <c:pt idx="19">
                  <c:v>17.899333087363331</c:v>
                </c:pt>
                <c:pt idx="20">
                  <c:v>17.806544494380109</c:v>
                </c:pt>
                <c:pt idx="21">
                  <c:v>17.722191228031733</c:v>
                </c:pt>
                <c:pt idx="22">
                  <c:v>17.645173028322343</c:v>
                </c:pt>
                <c:pt idx="23">
                  <c:v>17.57457301192207</c:v>
                </c:pt>
                <c:pt idx="24">
                  <c:v>17.509620996833817</c:v>
                </c:pt>
                <c:pt idx="25">
                  <c:v>17.449665290598507</c:v>
                </c:pt>
                <c:pt idx="26">
                  <c:v>17.394150747788036</c:v>
                </c:pt>
                <c:pt idx="27">
                  <c:v>17.342601529464027</c:v>
                </c:pt>
                <c:pt idx="28">
                  <c:v>17.294607429645115</c:v>
                </c:pt>
                <c:pt idx="29">
                  <c:v>17.249812936480804</c:v>
                </c:pt>
                <c:pt idx="30">
                  <c:v>17.207908410617417</c:v>
                </c:pt>
                <c:pt idx="31">
                  <c:v>17.168622917620489</c:v>
                </c:pt>
                <c:pt idx="32">
                  <c:v>17.131718363593073</c:v>
                </c:pt>
                <c:pt idx="33">
                  <c:v>17.096984665684918</c:v>
                </c:pt>
                <c:pt idx="34">
                  <c:v>17.064235750514367</c:v>
                </c:pt>
                <c:pt idx="35">
                  <c:v>17.033306219519964</c:v>
                </c:pt>
                <c:pt idx="36">
                  <c:v>17.004048555065797</c:v>
                </c:pt>
                <c:pt idx="37">
                  <c:v>16.976330767688165</c:v>
                </c:pt>
                <c:pt idx="38">
                  <c:v>16.950034405304255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45-4D8D-84E4-319F213EB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866847"/>
        <c:axId val="1006872255"/>
      </c:lineChart>
      <c:lineChart>
        <c:grouping val="standard"/>
        <c:varyColors val="0"/>
        <c:ser>
          <c:idx val="2"/>
          <c:order val="2"/>
          <c:tx>
            <c:strRef>
              <c:f>'Economies of Scope'!$O$3</c:f>
              <c:strCache>
                <c:ptCount val="1"/>
                <c:pt idx="0">
                  <c:v>Cost Difference</c:v>
                </c:pt>
              </c:strCache>
            </c:strRef>
          </c:tx>
          <c:spPr>
            <a:ln w="19050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Scope'!$F$4:$F$42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Scope'!$O$4:$O$42</c:f>
              <c:numCache>
                <c:formatCode>_(* #,##0.00_);_(* \(#,##0.00\);_(* "-"??_);_(@_)</c:formatCode>
                <c:ptCount val="39"/>
                <c:pt idx="0">
                  <c:v>7.5098952889562796</c:v>
                </c:pt>
                <c:pt idx="1">
                  <c:v>3.7549476444781398</c:v>
                </c:pt>
                <c:pt idx="2">
                  <c:v>2.5032984296520944</c:v>
                </c:pt>
                <c:pt idx="3">
                  <c:v>1.8774738222390681</c:v>
                </c:pt>
                <c:pt idx="4">
                  <c:v>1.5019790577912566</c:v>
                </c:pt>
                <c:pt idx="5">
                  <c:v>1.2516492148260454</c:v>
                </c:pt>
                <c:pt idx="6">
                  <c:v>1.0728421841366149</c:v>
                </c:pt>
                <c:pt idx="7">
                  <c:v>0.93873691111953406</c:v>
                </c:pt>
                <c:pt idx="8">
                  <c:v>0.83443280988403146</c:v>
                </c:pt>
                <c:pt idx="9">
                  <c:v>0.75098952889563009</c:v>
                </c:pt>
                <c:pt idx="10">
                  <c:v>0.6827177535414819</c:v>
                </c:pt>
                <c:pt idx="11">
                  <c:v>0.62582460741302626</c:v>
                </c:pt>
                <c:pt idx="12">
                  <c:v>0.57768425299664017</c:v>
                </c:pt>
                <c:pt idx="13">
                  <c:v>0.53642109206830568</c:v>
                </c:pt>
                <c:pt idx="14">
                  <c:v>0.50065968593041532</c:v>
                </c:pt>
                <c:pt idx="15">
                  <c:v>0.46936845555976703</c:v>
                </c:pt>
                <c:pt idx="16">
                  <c:v>0.44175854640918999</c:v>
                </c:pt>
                <c:pt idx="17">
                  <c:v>0.41721640494201395</c:v>
                </c:pt>
                <c:pt idx="18">
                  <c:v>0.39525764678717223</c:v>
                </c:pt>
                <c:pt idx="19">
                  <c:v>0.37549476444781149</c:v>
                </c:pt>
                <c:pt idx="20">
                  <c:v>0.35761406137886809</c:v>
                </c:pt>
                <c:pt idx="21">
                  <c:v>0.34135887677074095</c:v>
                </c:pt>
                <c:pt idx="22">
                  <c:v>0.32651718647635875</c:v>
                </c:pt>
                <c:pt idx="23">
                  <c:v>0.31291230370651135</c:v>
                </c:pt>
                <c:pt idx="24">
                  <c:v>0.30039581155825346</c:v>
                </c:pt>
                <c:pt idx="25">
                  <c:v>0.28884212649832008</c:v>
                </c:pt>
                <c:pt idx="26">
                  <c:v>0.278144269961345</c:v>
                </c:pt>
                <c:pt idx="27">
                  <c:v>0.26821054603415462</c:v>
                </c:pt>
                <c:pt idx="28">
                  <c:v>0.25896190651572937</c:v>
                </c:pt>
                <c:pt idx="29">
                  <c:v>0.25032984296520766</c:v>
                </c:pt>
                <c:pt idx="30">
                  <c:v>0.24225468674052308</c:v>
                </c:pt>
                <c:pt idx="31">
                  <c:v>0.23468422777987996</c:v>
                </c:pt>
                <c:pt idx="32">
                  <c:v>0.22757258451382256</c:v>
                </c:pt>
                <c:pt idx="33">
                  <c:v>0.22087927320459499</c:v>
                </c:pt>
                <c:pt idx="34">
                  <c:v>0.21456843682732085</c:v>
                </c:pt>
                <c:pt idx="35">
                  <c:v>0.20860820247100875</c:v>
                </c:pt>
                <c:pt idx="36">
                  <c:v>0.20297014294476412</c:v>
                </c:pt>
                <c:pt idx="37">
                  <c:v>0.19762882339358612</c:v>
                </c:pt>
                <c:pt idx="38">
                  <c:v>0.19256141766554435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45-4D8D-84E4-319F213EB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3924111"/>
        <c:axId val="1113924527"/>
      </c:lineChart>
      <c:catAx>
        <c:axId val="10068668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Number of children treated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872255"/>
        <c:crosses val="autoZero"/>
        <c:auto val="1"/>
        <c:lblAlgn val="ctr"/>
        <c:lblOffset val="100"/>
        <c:noMultiLvlLbl val="0"/>
      </c:catAx>
      <c:valAx>
        <c:axId val="100687225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Cost in US$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866847"/>
        <c:crosses val="autoZero"/>
        <c:crossBetween val="between"/>
      </c:valAx>
      <c:valAx>
        <c:axId val="1113924527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Cost Difference</a:t>
                </a:r>
                <a:r>
                  <a:rPr lang="en-ZA" b="1" baseline="0">
                    <a:solidFill>
                      <a:sysClr val="windowText" lastClr="000000"/>
                    </a:solidFill>
                  </a:rPr>
                  <a:t> in US$</a:t>
                </a:r>
                <a:endParaRPr lang="en-ZA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3924111"/>
        <c:crosses val="max"/>
        <c:crossBetween val="between"/>
      </c:valAx>
      <c:catAx>
        <c:axId val="11139241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39245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ZA" b="1">
                <a:solidFill>
                  <a:sysClr val="windowText" lastClr="000000"/>
                </a:solidFill>
              </a:rPr>
              <a:t>Economies of Scope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'Economies of Scope'!$J$3</c:f>
              <c:strCache>
                <c:ptCount val="1"/>
                <c:pt idx="0">
                  <c:v>Fixed Clinic</c:v>
                </c:pt>
              </c:strCache>
            </c:strRef>
          </c:tx>
          <c:spPr>
            <a:ln w="158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Scope'!$F$4:$F$42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Scope'!$J$4:$J$42</c:f>
              <c:numCache>
                <c:formatCode>_(* #,##0.00_);_(* \(#,##0.00\);_(* "-"??_);_(@_)</c:formatCode>
                <c:ptCount val="39"/>
                <c:pt idx="0">
                  <c:v>47.412086398710933</c:v>
                </c:pt>
                <c:pt idx="1">
                  <c:v>31.681429516713347</c:v>
                </c:pt>
                <c:pt idx="2">
                  <c:v>26.43787722271415</c:v>
                </c:pt>
                <c:pt idx="3">
                  <c:v>23.816101075714553</c:v>
                </c:pt>
                <c:pt idx="4">
                  <c:v>22.243035387514794</c:v>
                </c:pt>
                <c:pt idx="5">
                  <c:v>21.194324928714956</c:v>
                </c:pt>
                <c:pt idx="6">
                  <c:v>20.44524602957221</c:v>
                </c:pt>
                <c:pt idx="7">
                  <c:v>19.883436855215155</c:v>
                </c:pt>
                <c:pt idx="8">
                  <c:v>19.446474164048553</c:v>
                </c:pt>
                <c:pt idx="9">
                  <c:v>19.096904011115274</c:v>
                </c:pt>
                <c:pt idx="10">
                  <c:v>18.810892067806225</c:v>
                </c:pt>
                <c:pt idx="11">
                  <c:v>18.572548781715355</c:v>
                </c:pt>
                <c:pt idx="12">
                  <c:v>18.370873693484615</c:v>
                </c:pt>
                <c:pt idx="13">
                  <c:v>18.198009332143986</c:v>
                </c:pt>
                <c:pt idx="14">
                  <c:v>18.048193552315436</c:v>
                </c:pt>
                <c:pt idx="15">
                  <c:v>17.917104744965457</c:v>
                </c:pt>
                <c:pt idx="16">
                  <c:v>17.801438150244888</c:v>
                </c:pt>
                <c:pt idx="17">
                  <c:v>17.698623399382157</c:v>
                </c:pt>
                <c:pt idx="18">
                  <c:v>17.606631253873399</c:v>
                </c:pt>
                <c:pt idx="19">
                  <c:v>17.52383832291552</c:v>
                </c:pt>
                <c:pt idx="20">
                  <c:v>17.448930433001241</c:v>
                </c:pt>
                <c:pt idx="21">
                  <c:v>17.380832351260992</c:v>
                </c:pt>
                <c:pt idx="22">
                  <c:v>17.318655841845985</c:v>
                </c:pt>
                <c:pt idx="23">
                  <c:v>17.261660708215558</c:v>
                </c:pt>
                <c:pt idx="24">
                  <c:v>17.209225185275564</c:v>
                </c:pt>
                <c:pt idx="25">
                  <c:v>17.160823164100186</c:v>
                </c:pt>
                <c:pt idx="26">
                  <c:v>17.116006477826691</c:v>
                </c:pt>
                <c:pt idx="27">
                  <c:v>17.074390983429872</c:v>
                </c:pt>
                <c:pt idx="28">
                  <c:v>17.035645523129386</c:v>
                </c:pt>
                <c:pt idx="29">
                  <c:v>16.999483093515597</c:v>
                </c:pt>
                <c:pt idx="30">
                  <c:v>16.965653723876894</c:v>
                </c:pt>
                <c:pt idx="31">
                  <c:v>16.933938689840609</c:v>
                </c:pt>
                <c:pt idx="32">
                  <c:v>16.904145779079251</c:v>
                </c:pt>
                <c:pt idx="33">
                  <c:v>16.876105392480323</c:v>
                </c:pt>
                <c:pt idx="34">
                  <c:v>16.849667313687046</c:v>
                </c:pt>
                <c:pt idx="35">
                  <c:v>16.824698017048956</c:v>
                </c:pt>
                <c:pt idx="36">
                  <c:v>16.801078412121033</c:v>
                </c:pt>
                <c:pt idx="37">
                  <c:v>16.778701944294578</c:v>
                </c:pt>
                <c:pt idx="38">
                  <c:v>16.75747298763871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50-46C1-80E3-8A5D6DB8CE95}"/>
            </c:ext>
          </c:extLst>
        </c:ser>
        <c:ser>
          <c:idx val="1"/>
          <c:order val="1"/>
          <c:tx>
            <c:strRef>
              <c:f>'Economies of Scope'!$N$3</c:f>
              <c:strCache>
                <c:ptCount val="1"/>
                <c:pt idx="0">
                  <c:v>Mobile Clinic</c:v>
                </c:pt>
              </c:strCache>
            </c:strRef>
          </c:tx>
          <c:spPr>
            <a:ln w="158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Scope'!$F$4:$F$42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Scope'!$N$4:$N$42</c:f>
              <c:numCache>
                <c:formatCode>_(* #,##0.00_);_(* \(#,##0.00\);_(* "-"??_);_(@_)</c:formatCode>
                <c:ptCount val="39"/>
                <c:pt idx="0">
                  <c:v>54.921981687667213</c:v>
                </c:pt>
                <c:pt idx="1">
                  <c:v>35.436377161191487</c:v>
                </c:pt>
                <c:pt idx="2">
                  <c:v>28.941175652366244</c:v>
                </c:pt>
                <c:pt idx="3">
                  <c:v>25.693574897953621</c:v>
                </c:pt>
                <c:pt idx="4">
                  <c:v>23.745014445306051</c:v>
                </c:pt>
                <c:pt idx="5">
                  <c:v>22.445974143541001</c:v>
                </c:pt>
                <c:pt idx="6">
                  <c:v>21.518088213708825</c:v>
                </c:pt>
                <c:pt idx="7">
                  <c:v>20.822173766334689</c:v>
                </c:pt>
                <c:pt idx="8">
                  <c:v>20.280906973932584</c:v>
                </c:pt>
                <c:pt idx="9">
                  <c:v>19.847893540010904</c:v>
                </c:pt>
                <c:pt idx="10">
                  <c:v>19.493609821347707</c:v>
                </c:pt>
                <c:pt idx="11">
                  <c:v>19.198373389128381</c:v>
                </c:pt>
                <c:pt idx="12">
                  <c:v>18.948557946481255</c:v>
                </c:pt>
                <c:pt idx="13">
                  <c:v>18.734430424212292</c:v>
                </c:pt>
                <c:pt idx="14">
                  <c:v>18.548853238245851</c:v>
                </c:pt>
                <c:pt idx="15">
                  <c:v>18.386473200525224</c:v>
                </c:pt>
                <c:pt idx="16">
                  <c:v>18.243196696654078</c:v>
                </c:pt>
                <c:pt idx="17">
                  <c:v>18.115839804324171</c:v>
                </c:pt>
                <c:pt idx="18">
                  <c:v>18.001888900660571</c:v>
                </c:pt>
                <c:pt idx="19">
                  <c:v>17.899333087363331</c:v>
                </c:pt>
                <c:pt idx="20">
                  <c:v>17.806544494380109</c:v>
                </c:pt>
                <c:pt idx="21">
                  <c:v>17.722191228031733</c:v>
                </c:pt>
                <c:pt idx="22">
                  <c:v>17.645173028322343</c:v>
                </c:pt>
                <c:pt idx="23">
                  <c:v>17.57457301192207</c:v>
                </c:pt>
                <c:pt idx="24">
                  <c:v>17.509620996833817</c:v>
                </c:pt>
                <c:pt idx="25">
                  <c:v>17.449665290598507</c:v>
                </c:pt>
                <c:pt idx="26">
                  <c:v>17.394150747788036</c:v>
                </c:pt>
                <c:pt idx="27">
                  <c:v>17.342601529464027</c:v>
                </c:pt>
                <c:pt idx="28">
                  <c:v>17.294607429645115</c:v>
                </c:pt>
                <c:pt idx="29">
                  <c:v>17.249812936480804</c:v>
                </c:pt>
                <c:pt idx="30">
                  <c:v>17.207908410617417</c:v>
                </c:pt>
                <c:pt idx="31">
                  <c:v>17.168622917620489</c:v>
                </c:pt>
                <c:pt idx="32">
                  <c:v>17.131718363593073</c:v>
                </c:pt>
                <c:pt idx="33">
                  <c:v>17.096984665684918</c:v>
                </c:pt>
                <c:pt idx="34">
                  <c:v>17.064235750514367</c:v>
                </c:pt>
                <c:pt idx="35">
                  <c:v>17.033306219519964</c:v>
                </c:pt>
                <c:pt idx="36">
                  <c:v>17.004048555065797</c:v>
                </c:pt>
                <c:pt idx="37">
                  <c:v>16.976330767688165</c:v>
                </c:pt>
                <c:pt idx="38">
                  <c:v>16.950034405304255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50-46C1-80E3-8A5D6DB8CE95}"/>
            </c:ext>
          </c:extLst>
        </c:ser>
        <c:ser>
          <c:idx val="2"/>
          <c:order val="2"/>
          <c:tx>
            <c:strRef>
              <c:f>'Economies of Scope'!$P$3</c:f>
              <c:strCache>
                <c:ptCount val="1"/>
                <c:pt idx="0">
                  <c:v>A</c:v>
                </c:pt>
              </c:strCache>
            </c:strRef>
          </c:tx>
          <c:spPr>
            <a:ln w="158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Scope'!$F$4:$F$42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Scope'!$P$4:$P$42</c:f>
              <c:numCache>
                <c:formatCode>_(* #,##0.00_);_(* \(#,##0.00\);_(* "-"??_);_(@_)</c:formatCode>
                <c:ptCount val="39"/>
                <c:pt idx="0">
                  <c:v>31.681429516713347</c:v>
                </c:pt>
                <c:pt idx="1">
                  <c:v>23.816101075714553</c:v>
                </c:pt>
                <c:pt idx="2">
                  <c:v>21.194324928714956</c:v>
                </c:pt>
                <c:pt idx="3">
                  <c:v>19.883436855215155</c:v>
                </c:pt>
                <c:pt idx="4">
                  <c:v>19.096904011115274</c:v>
                </c:pt>
                <c:pt idx="5">
                  <c:v>18.572548781715355</c:v>
                </c:pt>
                <c:pt idx="6">
                  <c:v>18.198009332143986</c:v>
                </c:pt>
                <c:pt idx="7">
                  <c:v>17.917104744965457</c:v>
                </c:pt>
                <c:pt idx="8">
                  <c:v>17.698623399382157</c:v>
                </c:pt>
                <c:pt idx="9">
                  <c:v>17.52383832291552</c:v>
                </c:pt>
                <c:pt idx="10">
                  <c:v>17.380832351260992</c:v>
                </c:pt>
                <c:pt idx="11">
                  <c:v>17.261660708215558</c:v>
                </c:pt>
                <c:pt idx="12">
                  <c:v>17.160823164100186</c:v>
                </c:pt>
                <c:pt idx="13">
                  <c:v>17.074390983429872</c:v>
                </c:pt>
                <c:pt idx="14">
                  <c:v>16.999483093515597</c:v>
                </c:pt>
                <c:pt idx="15">
                  <c:v>16.933938689840609</c:v>
                </c:pt>
                <c:pt idx="16">
                  <c:v>16.876105392480323</c:v>
                </c:pt>
                <c:pt idx="17">
                  <c:v>16.824698017048956</c:v>
                </c:pt>
                <c:pt idx="18">
                  <c:v>16.778701944294578</c:v>
                </c:pt>
                <c:pt idx="19">
                  <c:v>16.737305478815639</c:v>
                </c:pt>
                <c:pt idx="20">
                  <c:v>16.699851533858499</c:v>
                </c:pt>
                <c:pt idx="21">
                  <c:v>16.665802492988377</c:v>
                </c:pt>
                <c:pt idx="22">
                  <c:v>16.634714238280871</c:v>
                </c:pt>
                <c:pt idx="23">
                  <c:v>16.60621667146566</c:v>
                </c:pt>
                <c:pt idx="24">
                  <c:v>16.579998909995659</c:v>
                </c:pt>
                <c:pt idx="25">
                  <c:v>16.555797899407974</c:v>
                </c:pt>
                <c:pt idx="26">
                  <c:v>16.533389556271224</c:v>
                </c:pt>
                <c:pt idx="27">
                  <c:v>16.512581809072817</c:v>
                </c:pt>
                <c:pt idx="28">
                  <c:v>16.493209078922572</c:v>
                </c:pt>
                <c:pt idx="29">
                  <c:v>16.475127864115677</c:v>
                </c:pt>
                <c:pt idx="30">
                  <c:v>16.458213179296326</c:v>
                </c:pt>
                <c:pt idx="31">
                  <c:v>16.442355662278182</c:v>
                </c:pt>
                <c:pt idx="32">
                  <c:v>16.427459206897506</c:v>
                </c:pt>
                <c:pt idx="33">
                  <c:v>16.41343901359804</c:v>
                </c:pt>
                <c:pt idx="34">
                  <c:v>16.400219974201402</c:v>
                </c:pt>
                <c:pt idx="35">
                  <c:v>16.387735325882357</c:v>
                </c:pt>
                <c:pt idx="36">
                  <c:v>16.375925523418395</c:v>
                </c:pt>
                <c:pt idx="37">
                  <c:v>16.364737289505168</c:v>
                </c:pt>
                <c:pt idx="38">
                  <c:v>16.354122811177234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50-46C1-80E3-8A5D6DB8CE95}"/>
            </c:ext>
          </c:extLst>
        </c:ser>
        <c:ser>
          <c:idx val="3"/>
          <c:order val="3"/>
          <c:tx>
            <c:strRef>
              <c:f>'Economies of Scope'!$Q$3</c:f>
              <c:strCache>
                <c:ptCount val="1"/>
                <c:pt idx="0">
                  <c:v>B</c:v>
                </c:pt>
              </c:strCache>
            </c:strRef>
          </c:tx>
          <c:spPr>
            <a:ln w="158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Scope'!$F$4:$F$42</c:f>
              <c:numCache>
                <c:formatCode>General</c:formatCode>
                <c:ptCount val="39"/>
                <c:pt idx="0">
                  <c:v>500</c:v>
                </c:pt>
                <c:pt idx="1">
                  <c:v>1000</c:v>
                </c:pt>
                <c:pt idx="2">
                  <c:v>1500</c:v>
                </c:pt>
                <c:pt idx="3">
                  <c:v>2000</c:v>
                </c:pt>
                <c:pt idx="4">
                  <c:v>2500</c:v>
                </c:pt>
                <c:pt idx="5">
                  <c:v>3000</c:v>
                </c:pt>
                <c:pt idx="6">
                  <c:v>3500</c:v>
                </c:pt>
                <c:pt idx="7">
                  <c:v>4000</c:v>
                </c:pt>
                <c:pt idx="8">
                  <c:v>4500</c:v>
                </c:pt>
                <c:pt idx="9">
                  <c:v>5000</c:v>
                </c:pt>
                <c:pt idx="10">
                  <c:v>5500</c:v>
                </c:pt>
                <c:pt idx="11">
                  <c:v>6000</c:v>
                </c:pt>
                <c:pt idx="12">
                  <c:v>6500</c:v>
                </c:pt>
                <c:pt idx="13">
                  <c:v>7000</c:v>
                </c:pt>
                <c:pt idx="14">
                  <c:v>7500</c:v>
                </c:pt>
                <c:pt idx="15">
                  <c:v>8000</c:v>
                </c:pt>
                <c:pt idx="16">
                  <c:v>8500</c:v>
                </c:pt>
                <c:pt idx="17">
                  <c:v>9000</c:v>
                </c:pt>
                <c:pt idx="18">
                  <c:v>9500</c:v>
                </c:pt>
                <c:pt idx="19">
                  <c:v>10000</c:v>
                </c:pt>
                <c:pt idx="20">
                  <c:v>10500</c:v>
                </c:pt>
                <c:pt idx="21">
                  <c:v>11000</c:v>
                </c:pt>
                <c:pt idx="22">
                  <c:v>11500</c:v>
                </c:pt>
                <c:pt idx="23">
                  <c:v>12000</c:v>
                </c:pt>
                <c:pt idx="24">
                  <c:v>12500</c:v>
                </c:pt>
                <c:pt idx="25">
                  <c:v>13000</c:v>
                </c:pt>
                <c:pt idx="26">
                  <c:v>13500</c:v>
                </c:pt>
                <c:pt idx="27">
                  <c:v>14000</c:v>
                </c:pt>
                <c:pt idx="28">
                  <c:v>14500</c:v>
                </c:pt>
                <c:pt idx="29">
                  <c:v>15000</c:v>
                </c:pt>
                <c:pt idx="30">
                  <c:v>15500</c:v>
                </c:pt>
                <c:pt idx="31">
                  <c:v>16000</c:v>
                </c:pt>
                <c:pt idx="32">
                  <c:v>16500</c:v>
                </c:pt>
                <c:pt idx="33">
                  <c:v>17000</c:v>
                </c:pt>
                <c:pt idx="34">
                  <c:v>17500</c:v>
                </c:pt>
                <c:pt idx="35">
                  <c:v>18000</c:v>
                </c:pt>
                <c:pt idx="36">
                  <c:v>18500</c:v>
                </c:pt>
                <c:pt idx="37">
                  <c:v>19000</c:v>
                </c:pt>
                <c:pt idx="38">
                  <c:v>19500</c:v>
                </c:pt>
              </c:numCache>
            </c:numRef>
          </c:cat>
          <c:val>
            <c:numRef>
              <c:f>'Economies of Scope'!$Q$4:$Q$42</c:f>
              <c:numCache>
                <c:formatCode>0.00</c:formatCode>
                <c:ptCount val="39"/>
                <c:pt idx="0">
                  <c:v>28.94117565236624</c:v>
                </c:pt>
                <c:pt idx="1">
                  <c:v>22.445974143541001</c:v>
                </c:pt>
                <c:pt idx="2">
                  <c:v>20.280906973932584</c:v>
                </c:pt>
                <c:pt idx="3">
                  <c:v>19.198373389128381</c:v>
                </c:pt>
                <c:pt idx="4">
                  <c:v>18.548853238245858</c:v>
                </c:pt>
                <c:pt idx="5">
                  <c:v>18.115839804324175</c:v>
                </c:pt>
                <c:pt idx="6">
                  <c:v>17.806544494380113</c:v>
                </c:pt>
                <c:pt idx="7">
                  <c:v>17.57457301192207</c:v>
                </c:pt>
                <c:pt idx="8">
                  <c:v>17.394150747788032</c:v>
                </c:pt>
                <c:pt idx="9">
                  <c:v>17.249812936480804</c:v>
                </c:pt>
                <c:pt idx="10">
                  <c:v>17.131718363593073</c:v>
                </c:pt>
                <c:pt idx="11">
                  <c:v>17.033306219519964</c:v>
                </c:pt>
                <c:pt idx="12">
                  <c:v>16.950034405304255</c:v>
                </c:pt>
                <c:pt idx="13">
                  <c:v>16.878658564547937</c:v>
                </c:pt>
                <c:pt idx="14">
                  <c:v>16.816799502559121</c:v>
                </c:pt>
                <c:pt idx="15">
                  <c:v>16.762672823318912</c:v>
                </c:pt>
                <c:pt idx="16">
                  <c:v>16.714913988695198</c:v>
                </c:pt>
                <c:pt idx="17">
                  <c:v>16.672461691251893</c:v>
                </c:pt>
                <c:pt idx="18">
                  <c:v>16.634478056697361</c:v>
                </c:pt>
                <c:pt idx="19">
                  <c:v>16.600292785598281</c:v>
                </c:pt>
                <c:pt idx="20">
                  <c:v>16.569363254603875</c:v>
                </c:pt>
                <c:pt idx="21">
                  <c:v>16.541245499154414</c:v>
                </c:pt>
                <c:pt idx="22">
                  <c:v>16.515572765917952</c:v>
                </c:pt>
                <c:pt idx="23">
                  <c:v>16.492039427117863</c:v>
                </c:pt>
                <c:pt idx="24">
                  <c:v>16.470388755421776</c:v>
                </c:pt>
                <c:pt idx="25">
                  <c:v>16.450403520010006</c:v>
                </c:pt>
                <c:pt idx="26">
                  <c:v>16.431898672406515</c:v>
                </c:pt>
                <c:pt idx="27">
                  <c:v>16.414715599631847</c:v>
                </c:pt>
                <c:pt idx="28">
                  <c:v>16.398717566358876</c:v>
                </c:pt>
                <c:pt idx="29">
                  <c:v>16.383786068637441</c:v>
                </c:pt>
                <c:pt idx="30">
                  <c:v>16.369817893349644</c:v>
                </c:pt>
                <c:pt idx="31">
                  <c:v>16.356722729017335</c:v>
                </c:pt>
                <c:pt idx="32">
                  <c:v>16.344421211008196</c:v>
                </c:pt>
                <c:pt idx="33">
                  <c:v>16.332843311705478</c:v>
                </c:pt>
                <c:pt idx="34">
                  <c:v>16.321927006648629</c:v>
                </c:pt>
                <c:pt idx="35">
                  <c:v>16.311617162983826</c:v>
                </c:pt>
                <c:pt idx="36">
                  <c:v>16.301864608165769</c:v>
                </c:pt>
                <c:pt idx="37">
                  <c:v>16.292625345706561</c:v>
                </c:pt>
                <c:pt idx="38">
                  <c:v>16.28385989157859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50-46C1-80E3-8A5D6DB8C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617999"/>
        <c:axId val="214626735"/>
      </c:lineChart>
      <c:catAx>
        <c:axId val="2146179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Number of children Treated</a:t>
                </a:r>
              </a:p>
            </c:rich>
          </c:tx>
          <c:layout>
            <c:manualLayout>
              <c:xMode val="edge"/>
              <c:yMode val="edge"/>
              <c:x val="0.40864688961850248"/>
              <c:y val="0.794963531298608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626735"/>
        <c:crosses val="autoZero"/>
        <c:auto val="1"/>
        <c:lblAlgn val="ctr"/>
        <c:lblOffset val="100"/>
        <c:noMultiLvlLbl val="0"/>
      </c:catAx>
      <c:valAx>
        <c:axId val="214626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Cost (US$)</a:t>
                </a:r>
              </a:p>
            </c:rich>
          </c:tx>
          <c:layout>
            <c:manualLayout>
              <c:xMode val="edge"/>
              <c:yMode val="edge"/>
              <c:x val="2.7060270602706028E-2"/>
              <c:y val="0.31686167683491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6179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ZA" b="1">
                <a:solidFill>
                  <a:sysClr val="windowText" lastClr="000000"/>
                </a:solidFill>
              </a:rPr>
              <a:t> Differential Cost </a:t>
            </a:r>
            <a:r>
              <a:rPr lang="en-ZA" b="1" baseline="0">
                <a:solidFill>
                  <a:sysClr val="windowText" lastClr="000000"/>
                </a:solidFill>
              </a:rPr>
              <a:t>Analysis </a:t>
            </a:r>
            <a:r>
              <a:rPr lang="en-ZA" b="1">
                <a:solidFill>
                  <a:sysClr val="windowText" lastClr="000000"/>
                </a:solidFill>
              </a:rPr>
              <a:t>of using Mobile Clinic Vs Fixed Clinic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'Economies of Scope (2)'!$J$3</c:f>
              <c:strCache>
                <c:ptCount val="1"/>
                <c:pt idx="0">
                  <c:v>Fixed Clinic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 (2)'!$F$4:$F$17</c:f>
              <c:numCache>
                <c:formatCode>General</c:formatCode>
                <c:ptCount val="14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</c:numCache>
            </c:numRef>
          </c:cat>
          <c:val>
            <c:numRef>
              <c:f>'Economies of Scope (2)'!$J$4:$J$17</c:f>
              <c:numCache>
                <c:formatCode>_(* #,##0.00_);_(* \(#,##0.00\);_(* "-"??_);_(@_)</c:formatCode>
                <c:ptCount val="14"/>
                <c:pt idx="0">
                  <c:v>330.56391027466742</c:v>
                </c:pt>
                <c:pt idx="1">
                  <c:v>173.25734145469164</c:v>
                </c:pt>
                <c:pt idx="2">
                  <c:v>120.82181851469964</c:v>
                </c:pt>
                <c:pt idx="3">
                  <c:v>94.604057044703694</c:v>
                </c:pt>
                <c:pt idx="4">
                  <c:v>78.873400162706091</c:v>
                </c:pt>
                <c:pt idx="5">
                  <c:v>68.386295574707717</c:v>
                </c:pt>
                <c:pt idx="6">
                  <c:v>60.89550658328028</c:v>
                </c:pt>
                <c:pt idx="7">
                  <c:v>55.277414839709728</c:v>
                </c:pt>
                <c:pt idx="8">
                  <c:v>50.907787928043724</c:v>
                </c:pt>
                <c:pt idx="9">
                  <c:v>47.412086398710933</c:v>
                </c:pt>
                <c:pt idx="10">
                  <c:v>44.551966965620458</c:v>
                </c:pt>
                <c:pt idx="11">
                  <c:v>42.168534104711739</c:v>
                </c:pt>
                <c:pt idx="12">
                  <c:v>40.151783222404347</c:v>
                </c:pt>
                <c:pt idx="13">
                  <c:v>38.423139608998028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87-42DC-ABA7-EDE241AC14CF}"/>
            </c:ext>
          </c:extLst>
        </c:ser>
        <c:ser>
          <c:idx val="1"/>
          <c:order val="1"/>
          <c:tx>
            <c:strRef>
              <c:f>'Economies of Scope (2)'!$N$3</c:f>
              <c:strCache>
                <c:ptCount val="1"/>
                <c:pt idx="0">
                  <c:v>Mobile Clinic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 (2)'!$F$4:$F$17</c:f>
              <c:numCache>
                <c:formatCode>General</c:formatCode>
                <c:ptCount val="14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</c:numCache>
            </c:numRef>
          </c:cat>
          <c:val>
            <c:numRef>
              <c:f>'Economies of Scope (2)'!$N$4:$N$17</c:f>
              <c:numCache>
                <c:formatCode>_(* #,##0.00_);_(* \(#,##0.00\);_(* "-"??_);_(@_)</c:formatCode>
                <c:ptCount val="14"/>
                <c:pt idx="0">
                  <c:v>405.66286316423032</c:v>
                </c:pt>
                <c:pt idx="1">
                  <c:v>210.80681789947303</c:v>
                </c:pt>
                <c:pt idx="2">
                  <c:v>145.85480281122059</c:v>
                </c:pt>
                <c:pt idx="3">
                  <c:v>113.37879526709439</c:v>
                </c:pt>
                <c:pt idx="4">
                  <c:v>93.893190740618664</c:v>
                </c:pt>
                <c:pt idx="5">
                  <c:v>80.902787722968185</c:v>
                </c:pt>
                <c:pt idx="6">
                  <c:v>71.623928424646408</c:v>
                </c:pt>
                <c:pt idx="7">
                  <c:v>64.664783950905075</c:v>
                </c:pt>
                <c:pt idx="8">
                  <c:v>59.252116026884039</c:v>
                </c:pt>
                <c:pt idx="9">
                  <c:v>54.921981687667213</c:v>
                </c:pt>
                <c:pt idx="10">
                  <c:v>51.379144501035263</c:v>
                </c:pt>
                <c:pt idx="11">
                  <c:v>48.426780178841973</c:v>
                </c:pt>
                <c:pt idx="12">
                  <c:v>45.928625752370721</c:v>
                </c:pt>
                <c:pt idx="13">
                  <c:v>43.787350529681085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87-42DC-ABA7-EDE241AC1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2506000"/>
        <c:axId val="1342518896"/>
      </c:lineChart>
      <c:catAx>
        <c:axId val="13425060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/>
                  <a:t>Number of children</a:t>
                </a:r>
                <a:r>
                  <a:rPr lang="en-ZA" baseline="0"/>
                  <a:t> treated in schistosomiais control MDA Program</a:t>
                </a:r>
                <a:endParaRPr lang="en-Z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2518896"/>
        <c:crosses val="autoZero"/>
        <c:auto val="1"/>
        <c:lblAlgn val="ctr"/>
        <c:lblOffset val="100"/>
        <c:noMultiLvlLbl val="0"/>
      </c:catAx>
      <c:valAx>
        <c:axId val="13425188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Cost in Rands</a:t>
                </a:r>
              </a:p>
            </c:rich>
          </c:tx>
          <c:layout>
            <c:manualLayout>
              <c:xMode val="edge"/>
              <c:yMode val="edge"/>
              <c:x val="2.7160493827160494E-2"/>
              <c:y val="0.349354671206639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2506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ZA" b="1">
                <a:solidFill>
                  <a:sysClr val="windowText" lastClr="000000"/>
                </a:solidFill>
              </a:rPr>
              <a:t>Cost of using a Fixed</a:t>
            </a:r>
            <a:r>
              <a:rPr lang="en-ZA" b="1" baseline="0">
                <a:solidFill>
                  <a:sysClr val="windowText" lastClr="000000"/>
                </a:solidFill>
              </a:rPr>
              <a:t> Clinic vs using a Mobile Clinic</a:t>
            </a:r>
            <a:endParaRPr lang="en-ZA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764193436859355"/>
          <c:y val="0.15691040164778583"/>
          <c:w val="0.71104884616695641"/>
          <c:h val="0.52138667012658435"/>
        </c:manualLayout>
      </c:layout>
      <c:lineChart>
        <c:grouping val="standard"/>
        <c:varyColors val="0"/>
        <c:ser>
          <c:idx val="0"/>
          <c:order val="0"/>
          <c:tx>
            <c:strRef>
              <c:f>'Economies of Scope (2)'!$J$3</c:f>
              <c:strCache>
                <c:ptCount val="1"/>
                <c:pt idx="0">
                  <c:v>Fixed Clinic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 (2)'!$F$4:$F$42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Scope (2)'!$J$4:$J$42</c:f>
              <c:numCache>
                <c:formatCode>_(* #,##0.00_);_(* \(#,##0.00\);_(* "-"??_);_(@_)</c:formatCode>
                <c:ptCount val="39"/>
                <c:pt idx="0">
                  <c:v>330.56391027466742</c:v>
                </c:pt>
                <c:pt idx="1">
                  <c:v>173.25734145469164</c:v>
                </c:pt>
                <c:pt idx="2">
                  <c:v>120.82181851469964</c:v>
                </c:pt>
                <c:pt idx="3">
                  <c:v>94.604057044703694</c:v>
                </c:pt>
                <c:pt idx="4">
                  <c:v>78.873400162706091</c:v>
                </c:pt>
                <c:pt idx="5">
                  <c:v>68.386295574707717</c:v>
                </c:pt>
                <c:pt idx="6">
                  <c:v>60.89550658328028</c:v>
                </c:pt>
                <c:pt idx="7">
                  <c:v>55.277414839709728</c:v>
                </c:pt>
                <c:pt idx="8">
                  <c:v>50.907787928043724</c:v>
                </c:pt>
                <c:pt idx="9">
                  <c:v>47.412086398710933</c:v>
                </c:pt>
                <c:pt idx="10">
                  <c:v>44.551966965620458</c:v>
                </c:pt>
                <c:pt idx="11">
                  <c:v>42.168534104711739</c:v>
                </c:pt>
                <c:pt idx="12">
                  <c:v>40.151783222404347</c:v>
                </c:pt>
                <c:pt idx="13">
                  <c:v>38.423139608998028</c:v>
                </c:pt>
                <c:pt idx="14">
                  <c:v>36.924981810712538</c:v>
                </c:pt>
                <c:pt idx="15">
                  <c:v>35.614093737212741</c:v>
                </c:pt>
                <c:pt idx="16">
                  <c:v>34.457427790007031</c:v>
                </c:pt>
                <c:pt idx="17">
                  <c:v>33.429280281379746</c:v>
                </c:pt>
                <c:pt idx="18">
                  <c:v>32.509358826292164</c:v>
                </c:pt>
                <c:pt idx="19">
                  <c:v>31.681429516713347</c:v>
                </c:pt>
                <c:pt idx="20">
                  <c:v>30.932350617570599</c:v>
                </c:pt>
                <c:pt idx="21">
                  <c:v>30.25136980016811</c:v>
                </c:pt>
                <c:pt idx="22">
                  <c:v>29.629604706018004</c:v>
                </c:pt>
                <c:pt idx="23">
                  <c:v>29.059653369713747</c:v>
                </c:pt>
                <c:pt idx="24">
                  <c:v>28.535298140313827</c:v>
                </c:pt>
                <c:pt idx="25">
                  <c:v>28.051277928560058</c:v>
                </c:pt>
                <c:pt idx="26">
                  <c:v>27.603111065825079</c:v>
                </c:pt>
                <c:pt idx="27">
                  <c:v>27.186956121856891</c:v>
                </c:pt>
                <c:pt idx="28">
                  <c:v>26.799501518852022</c:v>
                </c:pt>
                <c:pt idx="29">
                  <c:v>26.43787722271415</c:v>
                </c:pt>
                <c:pt idx="30">
                  <c:v>26.099583526327102</c:v>
                </c:pt>
                <c:pt idx="31">
                  <c:v>25.782433185964251</c:v>
                </c:pt>
                <c:pt idx="32">
                  <c:v>25.484504078350657</c:v>
                </c:pt>
                <c:pt idx="33">
                  <c:v>25.2041002123614</c:v>
                </c:pt>
                <c:pt idx="34">
                  <c:v>24.939719424428663</c:v>
                </c:pt>
                <c:pt idx="35">
                  <c:v>24.69002645804775</c:v>
                </c:pt>
                <c:pt idx="36">
                  <c:v>24.453830408768507</c:v>
                </c:pt>
                <c:pt idx="37">
                  <c:v>24.230065730503963</c:v>
                </c:pt>
                <c:pt idx="38">
                  <c:v>24.017776163945289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B-4301-8E69-76578EDAAB39}"/>
            </c:ext>
          </c:extLst>
        </c:ser>
        <c:ser>
          <c:idx val="1"/>
          <c:order val="1"/>
          <c:tx>
            <c:strRef>
              <c:f>'Economies of Scope (2)'!$N$3</c:f>
              <c:strCache>
                <c:ptCount val="1"/>
                <c:pt idx="0">
                  <c:v>Mobile Clinic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 (2)'!$F$4:$F$42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Scope (2)'!$N$4:$N$42</c:f>
              <c:numCache>
                <c:formatCode>_(* #,##0.00_);_(* \(#,##0.00\);_(* "-"??_);_(@_)</c:formatCode>
                <c:ptCount val="39"/>
                <c:pt idx="0">
                  <c:v>405.66286316423032</c:v>
                </c:pt>
                <c:pt idx="1">
                  <c:v>210.80681789947303</c:v>
                </c:pt>
                <c:pt idx="2">
                  <c:v>145.85480281122059</c:v>
                </c:pt>
                <c:pt idx="3">
                  <c:v>113.37879526709439</c:v>
                </c:pt>
                <c:pt idx="4">
                  <c:v>93.893190740618664</c:v>
                </c:pt>
                <c:pt idx="5">
                  <c:v>80.902787722968185</c:v>
                </c:pt>
                <c:pt idx="6">
                  <c:v>71.623928424646408</c:v>
                </c:pt>
                <c:pt idx="7">
                  <c:v>64.664783950905075</c:v>
                </c:pt>
                <c:pt idx="8">
                  <c:v>59.252116026884039</c:v>
                </c:pt>
                <c:pt idx="9">
                  <c:v>54.921981687667213</c:v>
                </c:pt>
                <c:pt idx="10">
                  <c:v>51.379144501035263</c:v>
                </c:pt>
                <c:pt idx="11">
                  <c:v>48.426780178841973</c:v>
                </c:pt>
                <c:pt idx="12">
                  <c:v>45.928625752370721</c:v>
                </c:pt>
                <c:pt idx="13">
                  <c:v>43.787350529681085</c:v>
                </c:pt>
                <c:pt idx="14">
                  <c:v>41.931578670016727</c:v>
                </c:pt>
                <c:pt idx="15">
                  <c:v>40.307778292810418</c:v>
                </c:pt>
                <c:pt idx="16">
                  <c:v>38.875013254098974</c:v>
                </c:pt>
                <c:pt idx="17">
                  <c:v>37.6014443307999</c:v>
                </c:pt>
                <c:pt idx="18">
                  <c:v>36.461935294163887</c:v>
                </c:pt>
                <c:pt idx="19">
                  <c:v>35.436377161191487</c:v>
                </c:pt>
                <c:pt idx="20">
                  <c:v>34.508491231359308</c:v>
                </c:pt>
                <c:pt idx="21">
                  <c:v>33.664958567875509</c:v>
                </c:pt>
                <c:pt idx="22">
                  <c:v>32.894776570781602</c:v>
                </c:pt>
                <c:pt idx="23">
                  <c:v>32.188776406778864</c:v>
                </c:pt>
                <c:pt idx="24">
                  <c:v>31.539256255896344</c:v>
                </c:pt>
                <c:pt idx="25">
                  <c:v>30.939699193543241</c:v>
                </c:pt>
                <c:pt idx="26">
                  <c:v>30.384553765438515</c:v>
                </c:pt>
                <c:pt idx="27">
                  <c:v>29.86906158219842</c:v>
                </c:pt>
                <c:pt idx="28">
                  <c:v>29.389120584009365</c:v>
                </c:pt>
                <c:pt idx="29">
                  <c:v>28.941175652366244</c:v>
                </c:pt>
                <c:pt idx="30">
                  <c:v>28.522130393732354</c:v>
                </c:pt>
                <c:pt idx="31">
                  <c:v>28.129275463763086</c:v>
                </c:pt>
                <c:pt idx="32">
                  <c:v>27.760229923488929</c:v>
                </c:pt>
                <c:pt idx="33">
                  <c:v>27.412892944407364</c:v>
                </c:pt>
                <c:pt idx="34">
                  <c:v>27.085403792701886</c:v>
                </c:pt>
                <c:pt idx="35">
                  <c:v>26.776108482757827</c:v>
                </c:pt>
                <c:pt idx="36">
                  <c:v>26.483531838216152</c:v>
                </c:pt>
                <c:pt idx="37">
                  <c:v>26.206353964439824</c:v>
                </c:pt>
                <c:pt idx="38">
                  <c:v>25.943390340600743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B-4301-8E69-76578EDAA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6866847"/>
        <c:axId val="1006872255"/>
      </c:lineChart>
      <c:lineChart>
        <c:grouping val="standard"/>
        <c:varyColors val="0"/>
        <c:ser>
          <c:idx val="2"/>
          <c:order val="2"/>
          <c:tx>
            <c:strRef>
              <c:f>'Economies of Scope (2)'!$O$3</c:f>
              <c:strCache>
                <c:ptCount val="1"/>
                <c:pt idx="0">
                  <c:v>Cost Difference</c:v>
                </c:pt>
              </c:strCache>
            </c:strRef>
          </c:tx>
          <c:spPr>
            <a:ln w="19050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cat>
            <c:numRef>
              <c:f>'Economies of Scope (2)'!$F$4:$F$42</c:f>
              <c:numCache>
                <c:formatCode>General</c:formatCode>
                <c:ptCount val="39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350</c:v>
                </c:pt>
                <c:pt idx="7">
                  <c:v>400</c:v>
                </c:pt>
                <c:pt idx="8">
                  <c:v>450</c:v>
                </c:pt>
                <c:pt idx="9">
                  <c:v>500</c:v>
                </c:pt>
                <c:pt idx="10">
                  <c:v>550</c:v>
                </c:pt>
                <c:pt idx="11">
                  <c:v>600</c:v>
                </c:pt>
                <c:pt idx="12">
                  <c:v>650</c:v>
                </c:pt>
                <c:pt idx="13">
                  <c:v>700</c:v>
                </c:pt>
                <c:pt idx="14">
                  <c:v>750</c:v>
                </c:pt>
                <c:pt idx="15">
                  <c:v>800</c:v>
                </c:pt>
                <c:pt idx="16">
                  <c:v>850</c:v>
                </c:pt>
                <c:pt idx="17">
                  <c:v>900</c:v>
                </c:pt>
                <c:pt idx="18">
                  <c:v>950</c:v>
                </c:pt>
                <c:pt idx="19">
                  <c:v>1000</c:v>
                </c:pt>
                <c:pt idx="20">
                  <c:v>1050</c:v>
                </c:pt>
                <c:pt idx="21">
                  <c:v>1100</c:v>
                </c:pt>
                <c:pt idx="22">
                  <c:v>1150</c:v>
                </c:pt>
                <c:pt idx="23">
                  <c:v>1200</c:v>
                </c:pt>
                <c:pt idx="24">
                  <c:v>1250</c:v>
                </c:pt>
                <c:pt idx="25">
                  <c:v>1300</c:v>
                </c:pt>
                <c:pt idx="26">
                  <c:v>1350</c:v>
                </c:pt>
                <c:pt idx="27">
                  <c:v>1400</c:v>
                </c:pt>
                <c:pt idx="28">
                  <c:v>1450</c:v>
                </c:pt>
                <c:pt idx="29">
                  <c:v>1500</c:v>
                </c:pt>
                <c:pt idx="30">
                  <c:v>1550</c:v>
                </c:pt>
                <c:pt idx="31">
                  <c:v>1600</c:v>
                </c:pt>
                <c:pt idx="32">
                  <c:v>1650</c:v>
                </c:pt>
                <c:pt idx="33">
                  <c:v>1700</c:v>
                </c:pt>
                <c:pt idx="34">
                  <c:v>1750</c:v>
                </c:pt>
                <c:pt idx="35">
                  <c:v>1800</c:v>
                </c:pt>
                <c:pt idx="36">
                  <c:v>1850</c:v>
                </c:pt>
                <c:pt idx="37">
                  <c:v>1900</c:v>
                </c:pt>
                <c:pt idx="38">
                  <c:v>1950</c:v>
                </c:pt>
              </c:numCache>
            </c:numRef>
          </c:cat>
          <c:val>
            <c:numRef>
              <c:f>'Economies of Scope (2)'!$O$4:$O$42</c:f>
              <c:numCache>
                <c:formatCode>_(* #,##0.00_);_(* \(#,##0.00\);_(* "-"??_);_(@_)</c:formatCode>
                <c:ptCount val="39"/>
                <c:pt idx="0">
                  <c:v>75.098952889562895</c:v>
                </c:pt>
                <c:pt idx="1">
                  <c:v>37.549476444781391</c:v>
                </c:pt>
                <c:pt idx="2">
                  <c:v>25.032984296520951</c:v>
                </c:pt>
                <c:pt idx="3">
                  <c:v>18.774738222390695</c:v>
                </c:pt>
                <c:pt idx="4">
                  <c:v>15.019790577912573</c:v>
                </c:pt>
                <c:pt idx="5">
                  <c:v>12.516492148260468</c:v>
                </c:pt>
                <c:pt idx="6">
                  <c:v>10.728421841366128</c:v>
                </c:pt>
                <c:pt idx="7">
                  <c:v>9.3873691111953477</c:v>
                </c:pt>
                <c:pt idx="8">
                  <c:v>8.3443280988403146</c:v>
                </c:pt>
                <c:pt idx="9">
                  <c:v>7.5098952889562796</c:v>
                </c:pt>
                <c:pt idx="10">
                  <c:v>6.8271775354148048</c:v>
                </c:pt>
                <c:pt idx="11">
                  <c:v>6.2582460741302341</c:v>
                </c:pt>
                <c:pt idx="12">
                  <c:v>5.7768425299663733</c:v>
                </c:pt>
                <c:pt idx="13">
                  <c:v>5.3642109206830568</c:v>
                </c:pt>
                <c:pt idx="14">
                  <c:v>5.0065968593041887</c:v>
                </c:pt>
                <c:pt idx="15">
                  <c:v>4.6936845555976774</c:v>
                </c:pt>
                <c:pt idx="16">
                  <c:v>4.4175854640919425</c:v>
                </c:pt>
                <c:pt idx="17">
                  <c:v>4.1721640494201537</c:v>
                </c:pt>
                <c:pt idx="18">
                  <c:v>3.9525764678717223</c:v>
                </c:pt>
                <c:pt idx="19">
                  <c:v>3.7549476444781398</c:v>
                </c:pt>
                <c:pt idx="20">
                  <c:v>3.5761406137887093</c:v>
                </c:pt>
                <c:pt idx="21">
                  <c:v>3.4135887677073988</c:v>
                </c:pt>
                <c:pt idx="22">
                  <c:v>3.2651718647635981</c:v>
                </c:pt>
                <c:pt idx="23">
                  <c:v>3.1291230370651171</c:v>
                </c:pt>
                <c:pt idx="24">
                  <c:v>3.0039581155825168</c:v>
                </c:pt>
                <c:pt idx="25">
                  <c:v>2.8884212649831831</c:v>
                </c:pt>
                <c:pt idx="26">
                  <c:v>2.7814426996134358</c:v>
                </c:pt>
                <c:pt idx="27">
                  <c:v>2.6821054603415284</c:v>
                </c:pt>
                <c:pt idx="28">
                  <c:v>2.5896190651573434</c:v>
                </c:pt>
                <c:pt idx="29">
                  <c:v>2.5032984296520944</c:v>
                </c:pt>
                <c:pt idx="30">
                  <c:v>2.4225468674052522</c:v>
                </c:pt>
                <c:pt idx="31">
                  <c:v>2.3468422777988351</c:v>
                </c:pt>
                <c:pt idx="32">
                  <c:v>2.2757258451382718</c:v>
                </c:pt>
                <c:pt idx="33">
                  <c:v>2.2087927320459642</c:v>
                </c:pt>
                <c:pt idx="34">
                  <c:v>2.1456843682732227</c:v>
                </c:pt>
                <c:pt idx="35">
                  <c:v>2.0860820247100769</c:v>
                </c:pt>
                <c:pt idx="36">
                  <c:v>2.0297014294476448</c:v>
                </c:pt>
                <c:pt idx="37">
                  <c:v>1.9762882339358612</c:v>
                </c:pt>
                <c:pt idx="38">
                  <c:v>1.9256141766554542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B-4301-8E69-76578EDAA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3924111"/>
        <c:axId val="1113924527"/>
      </c:lineChart>
      <c:catAx>
        <c:axId val="10068668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Number of children treated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872255"/>
        <c:crosses val="autoZero"/>
        <c:auto val="1"/>
        <c:lblAlgn val="ctr"/>
        <c:lblOffset val="100"/>
        <c:noMultiLvlLbl val="0"/>
      </c:catAx>
      <c:valAx>
        <c:axId val="100687225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Cost in US$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6866847"/>
        <c:crosses val="autoZero"/>
        <c:crossBetween val="between"/>
      </c:valAx>
      <c:valAx>
        <c:axId val="1113924527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ZA" b="1">
                    <a:solidFill>
                      <a:sysClr val="windowText" lastClr="000000"/>
                    </a:solidFill>
                  </a:rPr>
                  <a:t>Cost Difference</a:t>
                </a:r>
                <a:r>
                  <a:rPr lang="en-ZA" b="1" baseline="0">
                    <a:solidFill>
                      <a:sysClr val="windowText" lastClr="000000"/>
                    </a:solidFill>
                  </a:rPr>
                  <a:t> in US$</a:t>
                </a:r>
                <a:endParaRPr lang="en-ZA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3924111"/>
        <c:crosses val="max"/>
        <c:crossBetween val="between"/>
      </c:valAx>
      <c:catAx>
        <c:axId val="111392411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139245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76200</xdr:colOff>
      <xdr:row>15</xdr:row>
      <xdr:rowOff>114300</xdr:rowOff>
    </xdr:from>
    <xdr:to>
      <xdr:col>42</xdr:col>
      <xdr:colOff>317500</xdr:colOff>
      <xdr:row>41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400050</xdr:colOff>
      <xdr:row>43</xdr:row>
      <xdr:rowOff>171450</xdr:rowOff>
    </xdr:from>
    <xdr:to>
      <xdr:col>37</xdr:col>
      <xdr:colOff>228600</xdr:colOff>
      <xdr:row>65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76200</xdr:colOff>
      <xdr:row>15</xdr:row>
      <xdr:rowOff>114300</xdr:rowOff>
    </xdr:from>
    <xdr:to>
      <xdr:col>42</xdr:col>
      <xdr:colOff>317500</xdr:colOff>
      <xdr:row>41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400050</xdr:colOff>
      <xdr:row>43</xdr:row>
      <xdr:rowOff>171450</xdr:rowOff>
    </xdr:from>
    <xdr:to>
      <xdr:col>37</xdr:col>
      <xdr:colOff>228600</xdr:colOff>
      <xdr:row>65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457200</xdr:colOff>
      <xdr:row>25</xdr:row>
      <xdr:rowOff>133350</xdr:rowOff>
    </xdr:from>
    <xdr:to>
      <xdr:col>31</xdr:col>
      <xdr:colOff>114300</xdr:colOff>
      <xdr:row>41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342900</xdr:colOff>
      <xdr:row>28</xdr:row>
      <xdr:rowOff>69850</xdr:rowOff>
    </xdr:from>
    <xdr:to>
      <xdr:col>41</xdr:col>
      <xdr:colOff>600075</xdr:colOff>
      <xdr:row>45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127000</xdr:colOff>
      <xdr:row>6</xdr:row>
      <xdr:rowOff>57150</xdr:rowOff>
    </xdr:from>
    <xdr:to>
      <xdr:col>30</xdr:col>
      <xdr:colOff>63500</xdr:colOff>
      <xdr:row>24</xdr:row>
      <xdr:rowOff>3175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457200</xdr:colOff>
      <xdr:row>25</xdr:row>
      <xdr:rowOff>133350</xdr:rowOff>
    </xdr:from>
    <xdr:to>
      <xdr:col>31</xdr:col>
      <xdr:colOff>114300</xdr:colOff>
      <xdr:row>41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342900</xdr:colOff>
      <xdr:row>28</xdr:row>
      <xdr:rowOff>69850</xdr:rowOff>
    </xdr:from>
    <xdr:to>
      <xdr:col>41</xdr:col>
      <xdr:colOff>600075</xdr:colOff>
      <xdr:row>45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127000</xdr:colOff>
      <xdr:row>6</xdr:row>
      <xdr:rowOff>57150</xdr:rowOff>
    </xdr:from>
    <xdr:to>
      <xdr:col>30</xdr:col>
      <xdr:colOff>63500</xdr:colOff>
      <xdr:row>24</xdr:row>
      <xdr:rowOff>3175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311150</xdr:colOff>
      <xdr:row>12</xdr:row>
      <xdr:rowOff>57150</xdr:rowOff>
    </xdr:from>
    <xdr:to>
      <xdr:col>17</xdr:col>
      <xdr:colOff>6350</xdr:colOff>
      <xdr:row>27</xdr:row>
      <xdr:rowOff>98425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203200</xdr:colOff>
      <xdr:row>12</xdr:row>
      <xdr:rowOff>168275</xdr:rowOff>
    </xdr:from>
    <xdr:to>
      <xdr:col>24</xdr:col>
      <xdr:colOff>76200</xdr:colOff>
      <xdr:row>27</xdr:row>
      <xdr:rowOff>149225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209550</xdr:colOff>
      <xdr:row>14</xdr:row>
      <xdr:rowOff>85725</xdr:rowOff>
    </xdr:from>
    <xdr:to>
      <xdr:col>16</xdr:col>
      <xdr:colOff>50800</xdr:colOff>
      <xdr:row>29</xdr:row>
      <xdr:rowOff>92075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342900</xdr:colOff>
      <xdr:row>0</xdr:row>
      <xdr:rowOff>0</xdr:rowOff>
    </xdr:from>
    <xdr:to>
      <xdr:col>16</xdr:col>
      <xdr:colOff>279400</xdr:colOff>
      <xdr:row>14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scaletec.co.za/mdw-digital-gym-scales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caletec.co.za/mdw-digital-gym-scales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www.scaletec.co.za/mdw-digital-gym-scales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"/>
  <sheetViews>
    <sheetView topLeftCell="B1" workbookViewId="0">
      <pane xSplit="1" topLeftCell="C1" activePane="topRight" state="frozen"/>
      <selection activeCell="B22" sqref="B22"/>
      <selection pane="topRight" activeCell="U39" sqref="U39"/>
    </sheetView>
  </sheetViews>
  <sheetFormatPr defaultRowHeight="14.5" x14ac:dyDescent="0.35"/>
  <cols>
    <col min="4" max="4" width="11.453125" bestFit="1" customWidth="1"/>
    <col min="5" max="5" width="12.453125" bestFit="1" customWidth="1"/>
    <col min="7" max="7" width="11" bestFit="1" customWidth="1"/>
    <col min="8" max="8" width="12.453125" bestFit="1" customWidth="1"/>
    <col min="9" max="9" width="14" customWidth="1"/>
    <col min="11" max="11" width="11" bestFit="1" customWidth="1"/>
    <col min="12" max="13" width="12.453125" bestFit="1" customWidth="1"/>
    <col min="15" max="15" width="11" bestFit="1" customWidth="1"/>
    <col min="16" max="17" width="12.453125" bestFit="1" customWidth="1"/>
    <col min="18" max="18" width="9" bestFit="1" customWidth="1"/>
    <col min="19" max="19" width="12.26953125" customWidth="1"/>
  </cols>
  <sheetData>
    <row r="1" spans="2:25" x14ac:dyDescent="0.35">
      <c r="F1" t="s">
        <v>105</v>
      </c>
      <c r="J1" t="s">
        <v>104</v>
      </c>
      <c r="N1" t="s">
        <v>103</v>
      </c>
      <c r="R1" t="s">
        <v>102</v>
      </c>
    </row>
    <row r="2" spans="2:25" x14ac:dyDescent="0.35">
      <c r="C2" t="s">
        <v>101</v>
      </c>
      <c r="D2" t="s">
        <v>100</v>
      </c>
      <c r="E2" t="s">
        <v>99</v>
      </c>
      <c r="F2" s="36" t="s">
        <v>107</v>
      </c>
      <c r="G2" t="s">
        <v>101</v>
      </c>
      <c r="H2" t="s">
        <v>100</v>
      </c>
      <c r="I2" t="s">
        <v>99</v>
      </c>
      <c r="J2" s="36" t="s">
        <v>108</v>
      </c>
      <c r="K2" t="s">
        <v>101</v>
      </c>
      <c r="L2" t="s">
        <v>100</v>
      </c>
      <c r="M2" t="s">
        <v>99</v>
      </c>
      <c r="N2" s="36" t="s">
        <v>109</v>
      </c>
      <c r="O2" t="s">
        <v>101</v>
      </c>
      <c r="P2" t="s">
        <v>100</v>
      </c>
      <c r="Q2" t="s">
        <v>99</v>
      </c>
      <c r="R2" s="36" t="s">
        <v>110</v>
      </c>
      <c r="S2" s="36" t="s">
        <v>114</v>
      </c>
      <c r="T2" s="36" t="s">
        <v>116</v>
      </c>
      <c r="U2" s="36" t="s">
        <v>129</v>
      </c>
      <c r="V2" s="36" t="s">
        <v>130</v>
      </c>
      <c r="W2" s="36" t="s">
        <v>131</v>
      </c>
      <c r="X2" s="36" t="s">
        <v>132</v>
      </c>
    </row>
    <row r="3" spans="2:25" x14ac:dyDescent="0.35">
      <c r="B3" s="38">
        <v>500</v>
      </c>
      <c r="C3">
        <f>Pediatrician!$G$4</f>
        <v>19026.507251492902</v>
      </c>
      <c r="D3" s="29">
        <f>B3*Pediatrician!$D$20</f>
        <v>11000.040045188663</v>
      </c>
      <c r="E3" s="30">
        <f t="shared" ref="E3:E41" si="0">D3+C3</f>
        <v>30026.547296681565</v>
      </c>
      <c r="F3" s="41">
        <f t="shared" ref="F3:F41" si="1">E3/B3</f>
        <v>60.053094593363127</v>
      </c>
      <c r="G3" s="23">
        <f>'GP or MO'!$D$12</f>
        <v>17506.985582014473</v>
      </c>
      <c r="H3" s="23">
        <f>B3*'GP or MO'!$D$20</f>
        <v>11000.040045188663</v>
      </c>
      <c r="I3" s="19">
        <f t="shared" ref="I3:I41" si="2">G3+H3</f>
        <v>28507.025627203137</v>
      </c>
      <c r="J3" s="41">
        <f t="shared" ref="J3:J41" si="3">I3/B3</f>
        <v>57.014051254406276</v>
      </c>
      <c r="K3" s="23">
        <f>WBOT!$D$12</f>
        <v>13092.505869033534</v>
      </c>
      <c r="L3" s="19">
        <f>B3*WBOT!$D$20</f>
        <v>11000.040045188663</v>
      </c>
      <c r="M3" s="19">
        <f t="shared" ref="M3:M41" si="4">L3+K3</f>
        <v>24092.545914222195</v>
      </c>
      <c r="N3" s="41">
        <f>M3/B3</f>
        <v>48.185091828444392</v>
      </c>
      <c r="O3" s="23">
        <f>'WBOT + Sampling'!$D$12</f>
        <v>16117.159596864318</v>
      </c>
      <c r="P3" s="19">
        <f>'WBOT + Sampling'!$D$19*B3</f>
        <v>7975.3863173578793</v>
      </c>
      <c r="Q3" s="19">
        <f t="shared" ref="Q3:Q41" si="5">P3+O3</f>
        <v>24092.545914222195</v>
      </c>
      <c r="R3" s="41">
        <f>Q3/B3</f>
        <v>48.185091828444392</v>
      </c>
      <c r="S3" s="41">
        <f>(F3-N3)</f>
        <v>11.868002764918735</v>
      </c>
      <c r="T3" s="29">
        <f>(F3-R3)</f>
        <v>11.868002764918735</v>
      </c>
      <c r="U3" s="23"/>
      <c r="V3" s="49">
        <f>((J3-F3)/F3)*100</f>
        <v>-5.0605940618632443</v>
      </c>
      <c r="W3" s="29">
        <f>((N3-F3)/F3)*100</f>
        <v>-19.762516561853165</v>
      </c>
    </row>
    <row r="4" spans="2:25" x14ac:dyDescent="0.35">
      <c r="B4" s="38">
        <v>1000</v>
      </c>
      <c r="C4">
        <f>Pediatrician!$G$4</f>
        <v>19026.507251492902</v>
      </c>
      <c r="D4" s="29">
        <f>B4*Pediatrician!$D$20</f>
        <v>22000.080090377327</v>
      </c>
      <c r="E4" s="30">
        <f t="shared" si="0"/>
        <v>41026.587341870225</v>
      </c>
      <c r="F4" s="41">
        <f t="shared" si="1"/>
        <v>41.026587341870226</v>
      </c>
      <c r="G4" s="23">
        <f>'GP or MO'!$D$12</f>
        <v>17506.985582014473</v>
      </c>
      <c r="H4" s="23">
        <f>B4*'GP or MO'!$D$20</f>
        <v>22000.080090377327</v>
      </c>
      <c r="I4" s="19">
        <f t="shared" si="2"/>
        <v>39507.0656723918</v>
      </c>
      <c r="J4" s="41">
        <f t="shared" si="3"/>
        <v>39.507065672391803</v>
      </c>
      <c r="K4" s="23">
        <f>WBOT!$D$12</f>
        <v>13092.505869033534</v>
      </c>
      <c r="L4" s="19">
        <f>B4*WBOT!$D$20</f>
        <v>22000.080090377327</v>
      </c>
      <c r="M4" s="19">
        <f t="shared" si="4"/>
        <v>35092.585959410862</v>
      </c>
      <c r="N4" s="41">
        <f t="shared" ref="N4:N41" si="6">M4/B4</f>
        <v>35.092585959410862</v>
      </c>
      <c r="O4" s="23">
        <f>'WBOT + Sampling'!$D$12</f>
        <v>16117.159596864318</v>
      </c>
      <c r="P4" s="19">
        <f>'WBOT + Sampling'!$D$19*B4</f>
        <v>15950.772634715759</v>
      </c>
      <c r="Q4" s="19">
        <f t="shared" si="5"/>
        <v>32067.932231580075</v>
      </c>
      <c r="R4" s="41">
        <f t="shared" ref="R4:R41" si="7">Q4/B4</f>
        <v>32.067932231580073</v>
      </c>
      <c r="S4" s="41">
        <f t="shared" ref="S4:S41" si="8">(F4-N4)</f>
        <v>5.934001382459364</v>
      </c>
      <c r="T4" s="29">
        <f>(F4-R4)</f>
        <v>8.9586551102901524</v>
      </c>
      <c r="U4" s="23"/>
    </row>
    <row r="5" spans="2:25" x14ac:dyDescent="0.35">
      <c r="B5" s="38">
        <v>1500</v>
      </c>
      <c r="C5">
        <f>Pediatrician!$G$4</f>
        <v>19026.507251492902</v>
      </c>
      <c r="D5" s="29">
        <f>B5*Pediatrician!$D$20</f>
        <v>33000.120135565994</v>
      </c>
      <c r="E5" s="30">
        <f t="shared" si="0"/>
        <v>52026.627387058892</v>
      </c>
      <c r="F5" s="41">
        <f t="shared" si="1"/>
        <v>34.684418258039258</v>
      </c>
      <c r="G5" s="23">
        <f>'GP or MO'!$D$12</f>
        <v>17506.985582014473</v>
      </c>
      <c r="H5" s="23">
        <f>B5*'GP or MO'!$D$20</f>
        <v>33000.120135565994</v>
      </c>
      <c r="I5" s="19">
        <f t="shared" si="2"/>
        <v>50507.105717580467</v>
      </c>
      <c r="J5" s="41">
        <f t="shared" si="3"/>
        <v>33.67140381172031</v>
      </c>
      <c r="K5" s="23">
        <f>WBOT!$D$12</f>
        <v>13092.505869033534</v>
      </c>
      <c r="L5" s="19">
        <f>B5*WBOT!$D$20</f>
        <v>33000.120135565994</v>
      </c>
      <c r="M5" s="19">
        <f t="shared" si="4"/>
        <v>46092.62600459953</v>
      </c>
      <c r="N5" s="41">
        <f t="shared" si="6"/>
        <v>30.728417336399687</v>
      </c>
      <c r="O5" s="23">
        <f>'WBOT + Sampling'!$D$12</f>
        <v>16117.159596864318</v>
      </c>
      <c r="P5" s="19">
        <f>'WBOT + Sampling'!$D$19*B5</f>
        <v>23926.158952073638</v>
      </c>
      <c r="Q5" s="19">
        <f t="shared" si="5"/>
        <v>40043.318548937954</v>
      </c>
      <c r="R5" s="41">
        <f t="shared" si="7"/>
        <v>26.695545699291969</v>
      </c>
      <c r="S5" s="41">
        <f t="shared" si="8"/>
        <v>3.9560009216395713</v>
      </c>
      <c r="T5" s="29">
        <f t="shared" ref="T5:T41" si="9">(F5-R5)</f>
        <v>7.9888725587472891</v>
      </c>
    </row>
    <row r="6" spans="2:25" x14ac:dyDescent="0.35">
      <c r="B6" s="38">
        <v>2000</v>
      </c>
      <c r="C6">
        <f>Pediatrician!$G$4</f>
        <v>19026.507251492902</v>
      </c>
      <c r="D6" s="29">
        <f>B6*Pediatrician!$D$20</f>
        <v>44000.160180754654</v>
      </c>
      <c r="E6" s="30">
        <f t="shared" si="0"/>
        <v>63026.667432247559</v>
      </c>
      <c r="F6" s="41">
        <f t="shared" si="1"/>
        <v>31.513333716123778</v>
      </c>
      <c r="G6" s="23">
        <f>'GP or MO'!$D$12</f>
        <v>17506.985582014473</v>
      </c>
      <c r="H6" s="23">
        <f>B6*'GP or MO'!$D$20</f>
        <v>44000.160180754654</v>
      </c>
      <c r="I6" s="19">
        <f t="shared" si="2"/>
        <v>61507.145762769127</v>
      </c>
      <c r="J6" s="41">
        <f t="shared" si="3"/>
        <v>30.753572881384564</v>
      </c>
      <c r="K6" s="23">
        <f>WBOT!$D$12</f>
        <v>13092.505869033534</v>
      </c>
      <c r="L6" s="19">
        <f>B6*WBOT!$D$20</f>
        <v>44000.160180754654</v>
      </c>
      <c r="M6" s="19">
        <f t="shared" si="4"/>
        <v>57092.666049788189</v>
      </c>
      <c r="N6" s="41">
        <f t="shared" si="6"/>
        <v>28.546333024894096</v>
      </c>
      <c r="O6" s="23">
        <f>'WBOT + Sampling'!$D$12</f>
        <v>16117.159596864318</v>
      </c>
      <c r="P6" s="19">
        <f>'WBOT + Sampling'!$D$19*B6</f>
        <v>31901.545269431517</v>
      </c>
      <c r="Q6" s="19">
        <f t="shared" si="5"/>
        <v>48018.704866295833</v>
      </c>
      <c r="R6" s="41">
        <f t="shared" si="7"/>
        <v>24.009352433147917</v>
      </c>
      <c r="S6" s="41">
        <f t="shared" si="8"/>
        <v>2.967000691229682</v>
      </c>
      <c r="T6" s="29">
        <f t="shared" si="9"/>
        <v>7.503981282975861</v>
      </c>
    </row>
    <row r="7" spans="2:25" x14ac:dyDescent="0.35">
      <c r="B7" s="39">
        <v>2500</v>
      </c>
      <c r="C7" s="8">
        <f>Pediatrician!$G$4</f>
        <v>19026.507251492902</v>
      </c>
      <c r="D7" s="32">
        <f>B7*Pediatrician!$D$20</f>
        <v>55000.200225943321</v>
      </c>
      <c r="E7" s="33">
        <f t="shared" si="0"/>
        <v>74026.707477436226</v>
      </c>
      <c r="F7" s="42">
        <f t="shared" si="1"/>
        <v>29.610682990974489</v>
      </c>
      <c r="G7" s="34">
        <f>'GP or MO'!$D$12</f>
        <v>17506.985582014473</v>
      </c>
      <c r="H7" s="34">
        <f>B7*'GP or MO'!$D$20</f>
        <v>55000.200225943321</v>
      </c>
      <c r="I7" s="35">
        <f t="shared" si="2"/>
        <v>72507.185807957794</v>
      </c>
      <c r="J7" s="42">
        <f t="shared" si="3"/>
        <v>29.002874323183118</v>
      </c>
      <c r="K7" s="34">
        <f>WBOT!$D$12</f>
        <v>13092.505869033534</v>
      </c>
      <c r="L7" s="35">
        <f>B7*WBOT!$D$20</f>
        <v>55000.200225943321</v>
      </c>
      <c r="M7" s="35">
        <f t="shared" si="4"/>
        <v>68092.706094976849</v>
      </c>
      <c r="N7" s="42">
        <f t="shared" si="6"/>
        <v>27.23708243799074</v>
      </c>
      <c r="O7" s="34">
        <f>'WBOT + Sampling'!$D$12</f>
        <v>16117.159596864318</v>
      </c>
      <c r="P7" s="35">
        <f>'WBOT + Sampling'!$D$19*B7</f>
        <v>39876.931586789397</v>
      </c>
      <c r="Q7" s="35">
        <f t="shared" si="5"/>
        <v>55994.091183653713</v>
      </c>
      <c r="R7" s="42">
        <f t="shared" si="7"/>
        <v>22.397636473461485</v>
      </c>
      <c r="S7" s="41">
        <f t="shared" si="8"/>
        <v>2.3736005529837492</v>
      </c>
      <c r="T7" s="29">
        <f t="shared" si="9"/>
        <v>7.2130465175130034</v>
      </c>
      <c r="U7" s="29">
        <f>((F7-F3)/F3)*100</f>
        <v>-50.69249438105232</v>
      </c>
      <c r="V7" s="49">
        <f>((J7-J3)/J3)*100</f>
        <v>-49.13030439852902</v>
      </c>
      <c r="W7" s="49">
        <f>((N7-N3)/N3)*100</f>
        <v>-43.47404683804654</v>
      </c>
      <c r="X7" s="49">
        <f>((R7-R3)/R3)*100</f>
        <v>-53.51749758368247</v>
      </c>
      <c r="Y7" s="49">
        <f>((R7-N7)/N7)*100</f>
        <v>-17.767857389083325</v>
      </c>
    </row>
    <row r="8" spans="2:25" x14ac:dyDescent="0.35">
      <c r="B8" s="38">
        <v>3000</v>
      </c>
      <c r="C8">
        <f>Pediatrician!$G$4</f>
        <v>19026.507251492902</v>
      </c>
      <c r="D8" s="29">
        <f>B8*Pediatrician!$D$20</f>
        <v>66000.240271131988</v>
      </c>
      <c r="E8" s="30">
        <f t="shared" si="0"/>
        <v>85026.747522624893</v>
      </c>
      <c r="F8" s="41">
        <f t="shared" si="1"/>
        <v>28.342249174208298</v>
      </c>
      <c r="G8" s="23">
        <f>'GP or MO'!$D$12</f>
        <v>17506.985582014473</v>
      </c>
      <c r="H8" s="23">
        <f>B8*'GP or MO'!$D$20</f>
        <v>66000.240271131988</v>
      </c>
      <c r="I8" s="19">
        <f t="shared" si="2"/>
        <v>83507.225853146461</v>
      </c>
      <c r="J8" s="41">
        <f t="shared" si="3"/>
        <v>27.835741951048821</v>
      </c>
      <c r="K8" s="23">
        <f>WBOT!$D$12</f>
        <v>13092.505869033534</v>
      </c>
      <c r="L8" s="19">
        <f>B8*WBOT!$D$20</f>
        <v>66000.240271131988</v>
      </c>
      <c r="M8" s="19">
        <f t="shared" si="4"/>
        <v>79092.746140165516</v>
      </c>
      <c r="N8" s="41">
        <f t="shared" si="6"/>
        <v>26.364248713388506</v>
      </c>
      <c r="O8" s="23">
        <f>'WBOT + Sampling'!$D$12</f>
        <v>16117.159596864318</v>
      </c>
      <c r="P8" s="19">
        <f>'WBOT + Sampling'!$D$19*B8</f>
        <v>47852.317904147276</v>
      </c>
      <c r="Q8" s="19">
        <f t="shared" si="5"/>
        <v>63969.477501011592</v>
      </c>
      <c r="R8" s="41">
        <f t="shared" si="7"/>
        <v>21.323159167003865</v>
      </c>
      <c r="S8" s="41">
        <f t="shared" si="8"/>
        <v>1.9780004608197927</v>
      </c>
      <c r="T8" s="29">
        <f t="shared" si="9"/>
        <v>7.0190900072044329</v>
      </c>
    </row>
    <row r="9" spans="2:25" x14ac:dyDescent="0.35">
      <c r="B9" s="38">
        <v>3500</v>
      </c>
      <c r="C9">
        <f>Pediatrician!$G$4</f>
        <v>19026.507251492902</v>
      </c>
      <c r="D9" s="29">
        <f>B9*Pediatrician!$D$20</f>
        <v>77000.280316320641</v>
      </c>
      <c r="E9" s="30">
        <f t="shared" si="0"/>
        <v>96026.787567813546</v>
      </c>
      <c r="F9" s="41">
        <f t="shared" si="1"/>
        <v>27.4362250193753</v>
      </c>
      <c r="G9" s="23">
        <f>'GP or MO'!$D$12</f>
        <v>17506.985582014473</v>
      </c>
      <c r="H9" s="23">
        <f>B9*'GP or MO'!$D$20</f>
        <v>77000.280316320641</v>
      </c>
      <c r="I9" s="19">
        <f t="shared" si="2"/>
        <v>94507.265898335114</v>
      </c>
      <c r="J9" s="41">
        <f t="shared" si="3"/>
        <v>27.002075970952891</v>
      </c>
      <c r="K9" s="23">
        <f>WBOT!$D$12</f>
        <v>13092.505869033534</v>
      </c>
      <c r="L9" s="19">
        <f>B9*WBOT!$D$20</f>
        <v>77000.280316320641</v>
      </c>
      <c r="M9" s="19">
        <f t="shared" si="4"/>
        <v>90092.786185354169</v>
      </c>
      <c r="N9" s="41">
        <f t="shared" si="6"/>
        <v>25.740796052958334</v>
      </c>
      <c r="O9" s="23">
        <f>'WBOT + Sampling'!$D$12</f>
        <v>16117.159596864318</v>
      </c>
      <c r="P9" s="19">
        <f>'WBOT + Sampling'!$D$19*B9</f>
        <v>55827.704221505155</v>
      </c>
      <c r="Q9" s="19">
        <f t="shared" si="5"/>
        <v>71944.863818369471</v>
      </c>
      <c r="R9" s="41">
        <f t="shared" si="7"/>
        <v>20.555675376676991</v>
      </c>
      <c r="S9" s="41">
        <f t="shared" si="8"/>
        <v>1.6954289664169657</v>
      </c>
      <c r="T9" s="29">
        <f t="shared" si="9"/>
        <v>6.880549642698309</v>
      </c>
    </row>
    <row r="10" spans="2:25" x14ac:dyDescent="0.35">
      <c r="B10" s="38">
        <v>4000</v>
      </c>
      <c r="C10">
        <f>Pediatrician!$G$4</f>
        <v>19026.507251492902</v>
      </c>
      <c r="D10" s="29">
        <f>B10*Pediatrician!$D$20</f>
        <v>88000.320361509308</v>
      </c>
      <c r="E10" s="30">
        <f t="shared" si="0"/>
        <v>107026.82761300221</v>
      </c>
      <c r="F10" s="41">
        <f t="shared" si="1"/>
        <v>26.756706903250553</v>
      </c>
      <c r="G10" s="23">
        <f>'GP or MO'!$D$12</f>
        <v>17506.985582014473</v>
      </c>
      <c r="H10" s="23">
        <f>B10*'GP or MO'!$D$20</f>
        <v>88000.320361509308</v>
      </c>
      <c r="I10" s="19">
        <f t="shared" si="2"/>
        <v>105507.30594352378</v>
      </c>
      <c r="J10" s="41">
        <f t="shared" si="3"/>
        <v>26.376826485880944</v>
      </c>
      <c r="K10" s="23">
        <f>WBOT!$D$12</f>
        <v>13092.505869033534</v>
      </c>
      <c r="L10" s="19">
        <f>B10*WBOT!$D$20</f>
        <v>88000.320361509308</v>
      </c>
      <c r="M10" s="19">
        <f t="shared" si="4"/>
        <v>101092.82623054284</v>
      </c>
      <c r="N10" s="41">
        <f t="shared" si="6"/>
        <v>25.27320655763571</v>
      </c>
      <c r="O10" s="23">
        <f>'WBOT + Sampling'!$D$12</f>
        <v>16117.159596864318</v>
      </c>
      <c r="P10" s="19">
        <f>'WBOT + Sampling'!$D$19*B10</f>
        <v>63803.090538863034</v>
      </c>
      <c r="Q10" s="19">
        <f t="shared" si="5"/>
        <v>79920.250135727358</v>
      </c>
      <c r="R10" s="41">
        <f t="shared" si="7"/>
        <v>19.980062533931839</v>
      </c>
      <c r="S10" s="41">
        <f t="shared" si="8"/>
        <v>1.4835003456148428</v>
      </c>
      <c r="T10" s="29">
        <f t="shared" si="9"/>
        <v>6.7766443693187135</v>
      </c>
    </row>
    <row r="11" spans="2:25" x14ac:dyDescent="0.35">
      <c r="B11" s="38">
        <v>4500</v>
      </c>
      <c r="C11">
        <f>Pediatrician!$G$4</f>
        <v>19026.507251492902</v>
      </c>
      <c r="D11" s="29">
        <f>B11*Pediatrician!$D$20</f>
        <v>99000.360406697975</v>
      </c>
      <c r="E11" s="30">
        <f t="shared" si="0"/>
        <v>118026.86765819088</v>
      </c>
      <c r="F11" s="41">
        <f t="shared" si="1"/>
        <v>26.228192812931308</v>
      </c>
      <c r="G11" s="23">
        <f>'GP or MO'!$D$12</f>
        <v>17506.985582014473</v>
      </c>
      <c r="H11" s="23">
        <f>B11*'GP or MO'!$D$20</f>
        <v>99000.360406697975</v>
      </c>
      <c r="I11" s="19">
        <f t="shared" si="2"/>
        <v>116507.34598871245</v>
      </c>
      <c r="J11" s="41">
        <f t="shared" si="3"/>
        <v>25.890521330824988</v>
      </c>
      <c r="K11" s="23">
        <f>WBOT!$D$12</f>
        <v>13092.505869033534</v>
      </c>
      <c r="L11" s="19">
        <f>B11*WBOT!$D$20</f>
        <v>99000.360406697975</v>
      </c>
      <c r="M11" s="19">
        <f t="shared" si="4"/>
        <v>112092.8662757315</v>
      </c>
      <c r="N11" s="41">
        <f t="shared" si="6"/>
        <v>24.909525839051444</v>
      </c>
      <c r="O11" s="23">
        <f>'WBOT + Sampling'!$D$12</f>
        <v>16117.159596864318</v>
      </c>
      <c r="P11" s="19">
        <f>'WBOT + Sampling'!$D$19*B11</f>
        <v>71778.476856220906</v>
      </c>
      <c r="Q11" s="19">
        <f t="shared" si="5"/>
        <v>87895.63645308523</v>
      </c>
      <c r="R11" s="41">
        <f t="shared" si="7"/>
        <v>19.532363656241163</v>
      </c>
      <c r="S11" s="41">
        <f t="shared" si="8"/>
        <v>1.3186669738798642</v>
      </c>
      <c r="T11" s="29">
        <f t="shared" si="9"/>
        <v>6.6958291566901451</v>
      </c>
    </row>
    <row r="12" spans="2:25" x14ac:dyDescent="0.35">
      <c r="B12" s="38">
        <v>5000</v>
      </c>
      <c r="C12">
        <f>Pediatrician!$G$4</f>
        <v>19026.507251492902</v>
      </c>
      <c r="D12" s="29">
        <f>B12*Pediatrician!$D$20</f>
        <v>110000.40045188664</v>
      </c>
      <c r="E12" s="30">
        <f t="shared" si="0"/>
        <v>129026.90770337955</v>
      </c>
      <c r="F12" s="41">
        <f t="shared" si="1"/>
        <v>25.80538154067591</v>
      </c>
      <c r="G12" s="23">
        <f>'GP or MO'!$D$12</f>
        <v>17506.985582014473</v>
      </c>
      <c r="H12" s="23">
        <f>B12*'GP or MO'!$D$20</f>
        <v>110000.40045188664</v>
      </c>
      <c r="I12" s="19">
        <f t="shared" si="2"/>
        <v>127507.38603390112</v>
      </c>
      <c r="J12" s="41">
        <f t="shared" si="3"/>
        <v>25.501477206780223</v>
      </c>
      <c r="K12" s="23">
        <f>WBOT!$D$12</f>
        <v>13092.505869033534</v>
      </c>
      <c r="L12" s="19">
        <f>B12*WBOT!$D$20</f>
        <v>110000.40045188664</v>
      </c>
      <c r="M12" s="19">
        <f t="shared" si="4"/>
        <v>123092.90632092017</v>
      </c>
      <c r="N12" s="41">
        <f t="shared" si="6"/>
        <v>24.618581264184034</v>
      </c>
      <c r="O12" s="23">
        <f>'WBOT + Sampling'!$D$12</f>
        <v>16117.159596864318</v>
      </c>
      <c r="P12" s="19">
        <f>'WBOT + Sampling'!$D$19*B12</f>
        <v>79753.863173578793</v>
      </c>
      <c r="Q12" s="19">
        <f t="shared" si="5"/>
        <v>95871.022770443116</v>
      </c>
      <c r="R12" s="41">
        <f t="shared" si="7"/>
        <v>19.174204554088622</v>
      </c>
      <c r="S12" s="41">
        <f t="shared" si="8"/>
        <v>1.1868002764918764</v>
      </c>
      <c r="T12" s="29">
        <f t="shared" si="9"/>
        <v>6.6311769865872883</v>
      </c>
    </row>
    <row r="13" spans="2:25" x14ac:dyDescent="0.35">
      <c r="B13" s="38">
        <v>5500</v>
      </c>
      <c r="C13">
        <f>Pediatrician!$G$4</f>
        <v>19026.507251492902</v>
      </c>
      <c r="D13" s="29">
        <f>B13*Pediatrician!$D$20</f>
        <v>121000.44049707529</v>
      </c>
      <c r="E13" s="30">
        <f t="shared" si="0"/>
        <v>140026.9477485682</v>
      </c>
      <c r="F13" s="41">
        <f t="shared" si="1"/>
        <v>25.459445045194219</v>
      </c>
      <c r="G13" s="23">
        <f>'GP or MO'!$D$12</f>
        <v>17506.985582014473</v>
      </c>
      <c r="H13" s="23">
        <f>B13*'GP or MO'!$D$20</f>
        <v>121000.44049707529</v>
      </c>
      <c r="I13" s="19">
        <f t="shared" si="2"/>
        <v>138507.42607908975</v>
      </c>
      <c r="J13" s="41">
        <f t="shared" si="3"/>
        <v>25.183168378016319</v>
      </c>
      <c r="K13" s="23">
        <f>WBOT!$D$12</f>
        <v>13092.505869033534</v>
      </c>
      <c r="L13" s="19">
        <f>B13*WBOT!$D$20</f>
        <v>121000.44049707529</v>
      </c>
      <c r="M13" s="19">
        <f t="shared" si="4"/>
        <v>134092.94636610884</v>
      </c>
      <c r="N13" s="41">
        <f t="shared" si="6"/>
        <v>24.380535702928878</v>
      </c>
      <c r="O13" s="23">
        <f>'WBOT + Sampling'!$D$12</f>
        <v>16117.159596864318</v>
      </c>
      <c r="P13" s="19">
        <f>'WBOT + Sampling'!$D$19*B13</f>
        <v>87729.249490936665</v>
      </c>
      <c r="Q13" s="19">
        <f t="shared" si="5"/>
        <v>103846.40908780099</v>
      </c>
      <c r="R13" s="41">
        <f t="shared" si="7"/>
        <v>18.88116528869109</v>
      </c>
      <c r="S13" s="41">
        <f t="shared" si="8"/>
        <v>1.0789093422653409</v>
      </c>
      <c r="T13" s="29">
        <f t="shared" si="9"/>
        <v>6.5782797565031288</v>
      </c>
    </row>
    <row r="14" spans="2:25" x14ac:dyDescent="0.35">
      <c r="B14" s="38">
        <v>6000</v>
      </c>
      <c r="C14">
        <f>Pediatrician!$G$4</f>
        <v>19026.507251492902</v>
      </c>
      <c r="D14" s="29">
        <f>B14*Pediatrician!$D$20</f>
        <v>132000.48054226398</v>
      </c>
      <c r="E14" s="30">
        <f t="shared" si="0"/>
        <v>151026.98779375688</v>
      </c>
      <c r="F14" s="41">
        <f t="shared" si="1"/>
        <v>25.171164632292815</v>
      </c>
      <c r="G14" s="23">
        <f>'GP or MO'!$D$12</f>
        <v>17506.985582014473</v>
      </c>
      <c r="H14" s="23">
        <f>B14*'GP or MO'!$D$20</f>
        <v>132000.48054226398</v>
      </c>
      <c r="I14" s="19">
        <f t="shared" si="2"/>
        <v>149507.46612427844</v>
      </c>
      <c r="J14" s="41">
        <f t="shared" si="3"/>
        <v>24.917911020713074</v>
      </c>
      <c r="K14" s="23">
        <f>WBOT!$D$12</f>
        <v>13092.505869033534</v>
      </c>
      <c r="L14" s="19">
        <f>B14*WBOT!$D$20</f>
        <v>132000.48054226398</v>
      </c>
      <c r="M14" s="19">
        <f t="shared" si="4"/>
        <v>145092.98641129752</v>
      </c>
      <c r="N14" s="41">
        <f t="shared" si="6"/>
        <v>24.182164401882918</v>
      </c>
      <c r="O14" s="23">
        <f>'WBOT + Sampling'!$D$12</f>
        <v>16117.159596864318</v>
      </c>
      <c r="P14" s="19">
        <f>'WBOT + Sampling'!$D$19*B14</f>
        <v>95704.635808294552</v>
      </c>
      <c r="Q14" s="19">
        <f t="shared" si="5"/>
        <v>111821.79540515887</v>
      </c>
      <c r="R14" s="41">
        <f t="shared" si="7"/>
        <v>18.636965900859813</v>
      </c>
      <c r="S14" s="41">
        <f t="shared" si="8"/>
        <v>0.98900023040989637</v>
      </c>
      <c r="T14" s="29">
        <f t="shared" si="9"/>
        <v>6.5341987314330012</v>
      </c>
    </row>
    <row r="15" spans="2:25" x14ac:dyDescent="0.35">
      <c r="B15" s="38">
        <v>6500</v>
      </c>
      <c r="C15">
        <f>Pediatrician!$G$4</f>
        <v>19026.507251492902</v>
      </c>
      <c r="D15" s="29">
        <f>B15*Pediatrician!$D$20</f>
        <v>143000.52058745263</v>
      </c>
      <c r="E15" s="30">
        <f t="shared" si="0"/>
        <v>162027.02783894553</v>
      </c>
      <c r="F15" s="41">
        <f t="shared" si="1"/>
        <v>24.927235052145466</v>
      </c>
      <c r="G15" s="23">
        <f>'GP or MO'!$D$12</f>
        <v>17506.985582014473</v>
      </c>
      <c r="H15" s="23">
        <f>B15*'GP or MO'!$D$20</f>
        <v>143000.52058745263</v>
      </c>
      <c r="I15" s="19">
        <f t="shared" si="2"/>
        <v>160507.50616946712</v>
      </c>
      <c r="J15" s="41">
        <f t="shared" si="3"/>
        <v>24.693462487610326</v>
      </c>
      <c r="K15" s="23">
        <f>WBOT!$D$12</f>
        <v>13092.505869033534</v>
      </c>
      <c r="L15" s="19">
        <f>B15*WBOT!$D$20</f>
        <v>143000.52058745263</v>
      </c>
      <c r="M15" s="19">
        <f t="shared" si="4"/>
        <v>156093.02645648617</v>
      </c>
      <c r="N15" s="41">
        <f t="shared" si="6"/>
        <v>24.014311762536334</v>
      </c>
      <c r="O15" s="23">
        <f>'WBOT + Sampling'!$D$12</f>
        <v>16117.159596864318</v>
      </c>
      <c r="P15" s="19">
        <f>'WBOT + Sampling'!$D$19*B15</f>
        <v>103680.02212565242</v>
      </c>
      <c r="Q15" s="19">
        <f t="shared" si="5"/>
        <v>119797.18172251675</v>
      </c>
      <c r="R15" s="41">
        <f t="shared" si="7"/>
        <v>18.430335649617962</v>
      </c>
      <c r="S15" s="41">
        <f t="shared" si="8"/>
        <v>0.91292328960913238</v>
      </c>
      <c r="T15" s="29">
        <f t="shared" si="9"/>
        <v>6.4968994025275038</v>
      </c>
    </row>
    <row r="16" spans="2:25" x14ac:dyDescent="0.35">
      <c r="B16" s="38">
        <v>7000</v>
      </c>
      <c r="C16">
        <f>Pediatrician!$G$4</f>
        <v>19026.507251492902</v>
      </c>
      <c r="D16" s="29">
        <f>B16*Pediatrician!$D$20</f>
        <v>154000.56063264128</v>
      </c>
      <c r="E16" s="30">
        <f t="shared" si="0"/>
        <v>173027.06788413419</v>
      </c>
      <c r="F16" s="41">
        <f t="shared" si="1"/>
        <v>24.718152554876312</v>
      </c>
      <c r="G16" s="23">
        <f>'GP or MO'!$D$12</f>
        <v>17506.985582014473</v>
      </c>
      <c r="H16" s="23">
        <f>B16*'GP or MO'!$D$20</f>
        <v>154000.56063264128</v>
      </c>
      <c r="I16" s="19">
        <f t="shared" si="2"/>
        <v>171507.54621465574</v>
      </c>
      <c r="J16" s="41">
        <f t="shared" si="3"/>
        <v>24.501078030665106</v>
      </c>
      <c r="K16" s="23">
        <f>WBOT!$D$12</f>
        <v>13092.505869033534</v>
      </c>
      <c r="L16" s="19">
        <f>B16*WBOT!$D$20</f>
        <v>154000.56063264128</v>
      </c>
      <c r="M16" s="19">
        <f t="shared" si="4"/>
        <v>167093.06650167482</v>
      </c>
      <c r="N16" s="41">
        <f t="shared" si="6"/>
        <v>23.870438071667831</v>
      </c>
      <c r="O16" s="23">
        <f>'WBOT + Sampling'!$D$12</f>
        <v>16117.159596864318</v>
      </c>
      <c r="P16" s="19">
        <f>'WBOT + Sampling'!$D$19*B16</f>
        <v>111655.40844301031</v>
      </c>
      <c r="Q16" s="19">
        <f t="shared" si="5"/>
        <v>127772.56803987463</v>
      </c>
      <c r="R16" s="41">
        <f t="shared" si="7"/>
        <v>18.253224005696378</v>
      </c>
      <c r="S16" s="41">
        <f t="shared" si="8"/>
        <v>0.84771448320848108</v>
      </c>
      <c r="T16" s="29">
        <f t="shared" si="9"/>
        <v>6.464928549179934</v>
      </c>
    </row>
    <row r="17" spans="2:20" x14ac:dyDescent="0.35">
      <c r="B17" s="38">
        <v>7500</v>
      </c>
      <c r="C17">
        <f>Pediatrician!$G$4</f>
        <v>19026.507251492902</v>
      </c>
      <c r="D17" s="29">
        <f>B17*Pediatrician!$D$20</f>
        <v>165000.60067782996</v>
      </c>
      <c r="E17" s="30">
        <f t="shared" si="0"/>
        <v>184027.10792932287</v>
      </c>
      <c r="F17" s="41">
        <f t="shared" si="1"/>
        <v>24.536947723909716</v>
      </c>
      <c r="G17" s="23">
        <f>'GP or MO'!$D$12</f>
        <v>17506.985582014473</v>
      </c>
      <c r="H17" s="23">
        <f>B17*'GP or MO'!$D$20</f>
        <v>165000.60067782996</v>
      </c>
      <c r="I17" s="19">
        <f t="shared" si="2"/>
        <v>182507.58625984442</v>
      </c>
      <c r="J17" s="41">
        <f t="shared" si="3"/>
        <v>24.334344834645922</v>
      </c>
      <c r="K17" s="23">
        <f>WBOT!$D$12</f>
        <v>13092.505869033534</v>
      </c>
      <c r="L17" s="19">
        <f>B17*WBOT!$D$20</f>
        <v>165000.60067782996</v>
      </c>
      <c r="M17" s="19">
        <f t="shared" si="4"/>
        <v>178093.10654686351</v>
      </c>
      <c r="N17" s="41">
        <f t="shared" si="6"/>
        <v>23.745747539581799</v>
      </c>
      <c r="O17" s="23">
        <f>'WBOT + Sampling'!$D$12</f>
        <v>16117.159596864318</v>
      </c>
      <c r="P17" s="19">
        <f>'WBOT + Sampling'!$D$19*B17</f>
        <v>119630.79476036818</v>
      </c>
      <c r="Q17" s="19">
        <f t="shared" si="5"/>
        <v>135747.95435723249</v>
      </c>
      <c r="R17" s="41">
        <f t="shared" si="7"/>
        <v>18.099727247630998</v>
      </c>
      <c r="S17" s="41">
        <f t="shared" si="8"/>
        <v>0.79120018432791639</v>
      </c>
      <c r="T17" s="29">
        <f t="shared" si="9"/>
        <v>6.4372204762787177</v>
      </c>
    </row>
    <row r="18" spans="2:20" x14ac:dyDescent="0.35">
      <c r="B18" s="38">
        <v>8000</v>
      </c>
      <c r="C18">
        <f>Pediatrician!$G$4</f>
        <v>19026.507251492902</v>
      </c>
      <c r="D18" s="29">
        <f>B18*Pediatrician!$D$20</f>
        <v>176000.64072301862</v>
      </c>
      <c r="E18" s="30">
        <f t="shared" si="0"/>
        <v>195027.14797451152</v>
      </c>
      <c r="F18" s="41">
        <f t="shared" si="1"/>
        <v>24.378393496813938</v>
      </c>
      <c r="G18" s="23">
        <f>'GP or MO'!$D$12</f>
        <v>17506.985582014473</v>
      </c>
      <c r="H18" s="23">
        <f>B18*'GP or MO'!$D$20</f>
        <v>176000.64072301862</v>
      </c>
      <c r="I18" s="19">
        <f t="shared" si="2"/>
        <v>193507.6263050331</v>
      </c>
      <c r="J18" s="41">
        <f t="shared" si="3"/>
        <v>24.188453288129139</v>
      </c>
      <c r="K18" s="23">
        <f>WBOT!$D$12</f>
        <v>13092.505869033534</v>
      </c>
      <c r="L18" s="19">
        <f>B18*WBOT!$D$20</f>
        <v>176000.64072301862</v>
      </c>
      <c r="M18" s="19">
        <f t="shared" si="4"/>
        <v>189093.14659205216</v>
      </c>
      <c r="N18" s="41">
        <f t="shared" si="6"/>
        <v>23.636643324006521</v>
      </c>
      <c r="O18" s="23">
        <f>'WBOT + Sampling'!$D$12</f>
        <v>16117.159596864318</v>
      </c>
      <c r="P18" s="19">
        <f>'WBOT + Sampling'!$D$19*B18</f>
        <v>127606.18107772607</v>
      </c>
      <c r="Q18" s="19">
        <f t="shared" si="5"/>
        <v>143723.34067459038</v>
      </c>
      <c r="R18" s="41">
        <f t="shared" si="7"/>
        <v>17.965417584323799</v>
      </c>
      <c r="S18" s="41">
        <f t="shared" si="8"/>
        <v>0.74175017280741784</v>
      </c>
      <c r="T18" s="29">
        <f t="shared" si="9"/>
        <v>6.4129759124901398</v>
      </c>
    </row>
    <row r="19" spans="2:20" x14ac:dyDescent="0.35">
      <c r="B19" s="38">
        <v>8500</v>
      </c>
      <c r="C19">
        <f>Pediatrician!$G$4</f>
        <v>19026.507251492902</v>
      </c>
      <c r="D19" s="29">
        <f>B19*Pediatrician!$D$20</f>
        <v>187000.6807682073</v>
      </c>
      <c r="E19" s="30">
        <f t="shared" si="0"/>
        <v>206027.1880197002</v>
      </c>
      <c r="F19" s="41">
        <f t="shared" si="1"/>
        <v>24.238492708200024</v>
      </c>
      <c r="G19" s="23">
        <f>'GP or MO'!$D$12</f>
        <v>17506.985582014473</v>
      </c>
      <c r="H19" s="23">
        <f>B19*'GP or MO'!$D$20</f>
        <v>187000.6807682073</v>
      </c>
      <c r="I19" s="19">
        <f t="shared" si="2"/>
        <v>204507.66635022179</v>
      </c>
      <c r="J19" s="41">
        <f t="shared" si="3"/>
        <v>24.059725452967268</v>
      </c>
      <c r="K19" s="23">
        <f>WBOT!$D$12</f>
        <v>13092.505869033534</v>
      </c>
      <c r="L19" s="19">
        <f>B19*WBOT!$D$20</f>
        <v>187000.6807682073</v>
      </c>
      <c r="M19" s="19">
        <f t="shared" si="4"/>
        <v>200093.18663724084</v>
      </c>
      <c r="N19" s="41">
        <f t="shared" si="6"/>
        <v>23.540374898498921</v>
      </c>
      <c r="O19" s="23">
        <f>'WBOT + Sampling'!$D$12</f>
        <v>16117.159596864318</v>
      </c>
      <c r="P19" s="19">
        <f>'WBOT + Sampling'!$D$19*B19</f>
        <v>135581.56739508396</v>
      </c>
      <c r="Q19" s="19">
        <f t="shared" si="5"/>
        <v>151698.72699194826</v>
      </c>
      <c r="R19" s="41">
        <f t="shared" si="7"/>
        <v>17.846909057876267</v>
      </c>
      <c r="S19" s="41">
        <f t="shared" si="8"/>
        <v>0.69811780970110249</v>
      </c>
      <c r="T19" s="29">
        <f t="shared" si="9"/>
        <v>6.3915836503237564</v>
      </c>
    </row>
    <row r="20" spans="2:20" x14ac:dyDescent="0.35">
      <c r="B20" s="38">
        <v>9000</v>
      </c>
      <c r="C20">
        <f>Pediatrician!$G$4</f>
        <v>19026.507251492902</v>
      </c>
      <c r="D20" s="29">
        <f>B20*Pediatrician!$D$20</f>
        <v>198000.72081339595</v>
      </c>
      <c r="E20" s="30">
        <f t="shared" si="0"/>
        <v>217027.22806488886</v>
      </c>
      <c r="F20" s="41">
        <f t="shared" si="1"/>
        <v>24.114136451654318</v>
      </c>
      <c r="G20" s="23">
        <f>'GP or MO'!$D$12</f>
        <v>17506.985582014473</v>
      </c>
      <c r="H20" s="23">
        <f>B20*'GP or MO'!$D$20</f>
        <v>198000.72081339595</v>
      </c>
      <c r="I20" s="19">
        <f t="shared" si="2"/>
        <v>215507.70639541041</v>
      </c>
      <c r="J20" s="41">
        <f t="shared" si="3"/>
        <v>23.945300710601156</v>
      </c>
      <c r="K20" s="23">
        <f>WBOT!$D$12</f>
        <v>13092.505869033534</v>
      </c>
      <c r="L20" s="19">
        <f>B20*WBOT!$D$20</f>
        <v>198000.72081339595</v>
      </c>
      <c r="M20" s="19">
        <f t="shared" si="4"/>
        <v>211093.22668242949</v>
      </c>
      <c r="N20" s="41">
        <f t="shared" si="6"/>
        <v>23.454802964714389</v>
      </c>
      <c r="O20" s="23">
        <f>'WBOT + Sampling'!$D$12</f>
        <v>16117.159596864318</v>
      </c>
      <c r="P20" s="19">
        <f>'WBOT + Sampling'!$D$19*B20</f>
        <v>143556.95371244181</v>
      </c>
      <c r="Q20" s="19">
        <f t="shared" si="5"/>
        <v>159674.11330930612</v>
      </c>
      <c r="R20" s="41">
        <f t="shared" si="7"/>
        <v>17.741568145478457</v>
      </c>
      <c r="S20" s="41">
        <f t="shared" si="8"/>
        <v>0.65933348693992855</v>
      </c>
      <c r="T20" s="29">
        <f t="shared" si="9"/>
        <v>6.3725683061758609</v>
      </c>
    </row>
    <row r="21" spans="2:20" x14ac:dyDescent="0.35">
      <c r="B21" s="38">
        <v>9500</v>
      </c>
      <c r="C21">
        <f>Pediatrician!$G$4</f>
        <v>19026.507251492902</v>
      </c>
      <c r="D21" s="29">
        <f>B21*Pediatrician!$D$20</f>
        <v>209000.7608585846</v>
      </c>
      <c r="E21" s="30">
        <f t="shared" si="0"/>
        <v>228027.26811007751</v>
      </c>
      <c r="F21" s="41">
        <f t="shared" si="1"/>
        <v>24.002870327376581</v>
      </c>
      <c r="G21" s="23">
        <f>'GP or MO'!$D$12</f>
        <v>17506.985582014473</v>
      </c>
      <c r="H21" s="23">
        <f>B21*'GP or MO'!$D$20</f>
        <v>209000.7608585846</v>
      </c>
      <c r="I21" s="19">
        <f t="shared" si="2"/>
        <v>226507.74644059909</v>
      </c>
      <c r="J21" s="41">
        <f t="shared" si="3"/>
        <v>23.8429206779578</v>
      </c>
      <c r="K21" s="23">
        <f>WBOT!$D$12</f>
        <v>13092.505869033534</v>
      </c>
      <c r="L21" s="19">
        <f>B21*WBOT!$D$20</f>
        <v>209000.7608585846</v>
      </c>
      <c r="M21" s="19">
        <f t="shared" si="4"/>
        <v>222093.26672761815</v>
      </c>
      <c r="N21" s="41">
        <f t="shared" si="6"/>
        <v>23.378238602907174</v>
      </c>
      <c r="O21" s="23">
        <f>'WBOT + Sampling'!$D$12</f>
        <v>16117.159596864318</v>
      </c>
      <c r="P21" s="19">
        <f>'WBOT + Sampling'!$D$19*B21</f>
        <v>151532.3400297997</v>
      </c>
      <c r="Q21" s="19">
        <f t="shared" si="5"/>
        <v>167649.49962666401</v>
      </c>
      <c r="R21" s="41">
        <f t="shared" si="7"/>
        <v>17.64731575017516</v>
      </c>
      <c r="S21" s="41">
        <f t="shared" si="8"/>
        <v>0.62463172446940618</v>
      </c>
      <c r="T21" s="29">
        <f t="shared" si="9"/>
        <v>6.3555545772014206</v>
      </c>
    </row>
    <row r="22" spans="2:20" x14ac:dyDescent="0.35">
      <c r="B22" s="38">
        <v>10000</v>
      </c>
      <c r="C22">
        <f>Pediatrician!$G$4</f>
        <v>19026.507251492902</v>
      </c>
      <c r="D22" s="29">
        <f>B22*Pediatrician!$D$20</f>
        <v>220000.80090377328</v>
      </c>
      <c r="E22" s="30">
        <f t="shared" si="0"/>
        <v>239027.30815526619</v>
      </c>
      <c r="F22" s="41">
        <f t="shared" si="1"/>
        <v>23.90273081552662</v>
      </c>
      <c r="G22" s="23">
        <f>'GP or MO'!$D$12</f>
        <v>17506.985582014473</v>
      </c>
      <c r="H22" s="23">
        <f>B22*'GP or MO'!$D$20</f>
        <v>220000.80090377328</v>
      </c>
      <c r="I22" s="19">
        <f t="shared" si="2"/>
        <v>237507.78648578777</v>
      </c>
      <c r="J22" s="41">
        <f t="shared" si="3"/>
        <v>23.750778648578777</v>
      </c>
      <c r="K22" s="23">
        <f>WBOT!$D$12</f>
        <v>13092.505869033534</v>
      </c>
      <c r="L22" s="19">
        <f>B22*WBOT!$D$20</f>
        <v>220000.80090377328</v>
      </c>
      <c r="M22" s="19">
        <f t="shared" si="4"/>
        <v>233093.30677280683</v>
      </c>
      <c r="N22" s="41">
        <f t="shared" si="6"/>
        <v>23.309330677280684</v>
      </c>
      <c r="O22" s="23">
        <f>'WBOT + Sampling'!$D$12</f>
        <v>16117.159596864318</v>
      </c>
      <c r="P22" s="19">
        <f>'WBOT + Sampling'!$D$19*B22</f>
        <v>159507.72634715759</v>
      </c>
      <c r="Q22" s="19">
        <f t="shared" si="5"/>
        <v>175624.88594402189</v>
      </c>
      <c r="R22" s="41">
        <f t="shared" si="7"/>
        <v>17.56248859440219</v>
      </c>
      <c r="S22" s="41">
        <f t="shared" si="8"/>
        <v>0.5934001382459364</v>
      </c>
      <c r="T22" s="29">
        <f t="shared" si="9"/>
        <v>6.3402422211244307</v>
      </c>
    </row>
    <row r="23" spans="2:20" x14ac:dyDescent="0.35">
      <c r="B23" s="38">
        <v>10500</v>
      </c>
      <c r="C23">
        <f>Pediatrician!$G$4</f>
        <v>19026.507251492902</v>
      </c>
      <c r="D23" s="29">
        <f>B23*Pediatrician!$D$20</f>
        <v>231000.84094896194</v>
      </c>
      <c r="E23" s="30">
        <f t="shared" si="0"/>
        <v>250027.34820045484</v>
      </c>
      <c r="F23" s="41">
        <f t="shared" si="1"/>
        <v>23.812128400043317</v>
      </c>
      <c r="G23" s="23">
        <f>'GP or MO'!$D$12</f>
        <v>17506.985582014473</v>
      </c>
      <c r="H23" s="23">
        <f>B23*'GP or MO'!$D$20</f>
        <v>231000.84094896194</v>
      </c>
      <c r="I23" s="19">
        <f t="shared" si="2"/>
        <v>248507.8265309764</v>
      </c>
      <c r="J23" s="41">
        <f t="shared" si="3"/>
        <v>23.66741205056918</v>
      </c>
      <c r="K23" s="23">
        <f>WBOT!$D$12</f>
        <v>13092.505869033534</v>
      </c>
      <c r="L23" s="19">
        <f>B23*WBOT!$D$20</f>
        <v>231000.84094896194</v>
      </c>
      <c r="M23" s="19">
        <f t="shared" si="4"/>
        <v>244093.34681799548</v>
      </c>
      <c r="N23" s="41">
        <f t="shared" si="6"/>
        <v>23.246985411237663</v>
      </c>
      <c r="O23" s="23">
        <f>'WBOT + Sampling'!$D$12</f>
        <v>16117.159596864318</v>
      </c>
      <c r="P23" s="19">
        <f>'WBOT + Sampling'!$D$19*B23</f>
        <v>167483.11266451544</v>
      </c>
      <c r="Q23" s="19">
        <f t="shared" si="5"/>
        <v>183600.27226137975</v>
      </c>
      <c r="R23" s="41">
        <f t="shared" si="7"/>
        <v>17.4857402153695</v>
      </c>
      <c r="S23" s="41">
        <f t="shared" si="8"/>
        <v>0.56514298880565406</v>
      </c>
      <c r="T23" s="29">
        <f t="shared" si="9"/>
        <v>6.3263881846738172</v>
      </c>
    </row>
    <row r="24" spans="2:20" x14ac:dyDescent="0.35">
      <c r="B24" s="38">
        <v>11000</v>
      </c>
      <c r="C24">
        <f>Pediatrician!$G$4</f>
        <v>19026.507251492902</v>
      </c>
      <c r="D24" s="29">
        <f>B24*Pediatrician!$D$20</f>
        <v>242000.88099415059</v>
      </c>
      <c r="E24" s="30">
        <f t="shared" si="0"/>
        <v>261027.38824564349</v>
      </c>
      <c r="F24" s="41">
        <f t="shared" si="1"/>
        <v>23.729762567785773</v>
      </c>
      <c r="G24" s="23">
        <f>'GP or MO'!$D$12</f>
        <v>17506.985582014473</v>
      </c>
      <c r="H24" s="23">
        <f>B24*'GP or MO'!$D$20</f>
        <v>242000.88099415059</v>
      </c>
      <c r="I24" s="19">
        <f t="shared" si="2"/>
        <v>259507.86657616508</v>
      </c>
      <c r="J24" s="41">
        <f t="shared" si="3"/>
        <v>23.591624234196825</v>
      </c>
      <c r="K24" s="23">
        <f>WBOT!$D$12</f>
        <v>13092.505869033534</v>
      </c>
      <c r="L24" s="19">
        <f>B24*WBOT!$D$20</f>
        <v>242000.88099415059</v>
      </c>
      <c r="M24" s="19">
        <f t="shared" si="4"/>
        <v>255093.38686318413</v>
      </c>
      <c r="N24" s="41">
        <f t="shared" si="6"/>
        <v>23.190307896653103</v>
      </c>
      <c r="O24" s="23">
        <f>'WBOT + Sampling'!$D$12</f>
        <v>16117.159596864318</v>
      </c>
      <c r="P24" s="19">
        <f>'WBOT + Sampling'!$D$19*B24</f>
        <v>175458.49898187333</v>
      </c>
      <c r="Q24" s="19">
        <f t="shared" si="5"/>
        <v>191575.65857873764</v>
      </c>
      <c r="R24" s="41">
        <f t="shared" si="7"/>
        <v>17.41596896170342</v>
      </c>
      <c r="S24" s="41">
        <f t="shared" si="8"/>
        <v>0.53945467113267043</v>
      </c>
      <c r="T24" s="29">
        <f t="shared" si="9"/>
        <v>6.3137936060823527</v>
      </c>
    </row>
    <row r="25" spans="2:20" x14ac:dyDescent="0.35">
      <c r="B25" s="38">
        <v>11500</v>
      </c>
      <c r="C25">
        <f>Pediatrician!$G$4</f>
        <v>19026.507251492902</v>
      </c>
      <c r="D25" s="29">
        <f>B25*Pediatrician!$D$20</f>
        <v>253000.92103933927</v>
      </c>
      <c r="E25" s="30">
        <f t="shared" si="0"/>
        <v>272027.42829083215</v>
      </c>
      <c r="F25" s="41">
        <f t="shared" si="1"/>
        <v>23.654558981811491</v>
      </c>
      <c r="G25" s="23">
        <f>'GP or MO'!$D$12</f>
        <v>17506.985582014473</v>
      </c>
      <c r="H25" s="23">
        <f>B25*'GP or MO'!$D$20</f>
        <v>253000.92103933927</v>
      </c>
      <c r="I25" s="19">
        <f t="shared" si="2"/>
        <v>270507.90662135376</v>
      </c>
      <c r="J25" s="41">
        <f t="shared" si="3"/>
        <v>23.522426662726414</v>
      </c>
      <c r="K25" s="23">
        <f>WBOT!$D$12</f>
        <v>13092.505869033534</v>
      </c>
      <c r="L25" s="19">
        <f>B25*WBOT!$D$20</f>
        <v>253000.92103933927</v>
      </c>
      <c r="M25" s="19">
        <f t="shared" si="4"/>
        <v>266093.42690837278</v>
      </c>
      <c r="N25" s="41">
        <f t="shared" si="6"/>
        <v>23.138558861597634</v>
      </c>
      <c r="O25" s="23">
        <f>'WBOT + Sampling'!$D$12</f>
        <v>16117.159596864318</v>
      </c>
      <c r="P25" s="19">
        <f>'WBOT + Sampling'!$D$19*B25</f>
        <v>183433.88529923122</v>
      </c>
      <c r="Q25" s="19">
        <f t="shared" si="5"/>
        <v>199551.04489609553</v>
      </c>
      <c r="R25" s="41">
        <f t="shared" si="7"/>
        <v>17.352264773573523</v>
      </c>
      <c r="S25" s="41">
        <f t="shared" si="8"/>
        <v>0.51600012021385666</v>
      </c>
      <c r="T25" s="29">
        <f t="shared" si="9"/>
        <v>6.3022942082379672</v>
      </c>
    </row>
    <row r="26" spans="2:20" x14ac:dyDescent="0.35">
      <c r="B26" s="38">
        <v>12000</v>
      </c>
      <c r="C26">
        <f>Pediatrician!$G$4</f>
        <v>19026.507251492902</v>
      </c>
      <c r="D26" s="29">
        <f>B26*Pediatrician!$D$20</f>
        <v>264000.96108452795</v>
      </c>
      <c r="E26" s="30">
        <f t="shared" si="0"/>
        <v>283027.46833602083</v>
      </c>
      <c r="F26" s="41">
        <f t="shared" si="1"/>
        <v>23.585622361335069</v>
      </c>
      <c r="G26" s="23">
        <f>'GP or MO'!$D$12</f>
        <v>17506.985582014473</v>
      </c>
      <c r="H26" s="23">
        <f>B26*'GP or MO'!$D$20</f>
        <v>264000.96108452795</v>
      </c>
      <c r="I26" s="19">
        <f t="shared" si="2"/>
        <v>281507.94666654244</v>
      </c>
      <c r="J26" s="41">
        <f t="shared" si="3"/>
        <v>23.458995555545204</v>
      </c>
      <c r="K26" s="23">
        <f>WBOT!$D$12</f>
        <v>13092.505869033534</v>
      </c>
      <c r="L26" s="19">
        <f>B26*WBOT!$D$20</f>
        <v>264000.96108452795</v>
      </c>
      <c r="M26" s="19">
        <f t="shared" si="4"/>
        <v>277093.46695356147</v>
      </c>
      <c r="N26" s="41">
        <f t="shared" si="6"/>
        <v>23.091122246130123</v>
      </c>
      <c r="O26" s="23">
        <f>'WBOT + Sampling'!$D$12</f>
        <v>16117.159596864318</v>
      </c>
      <c r="P26" s="19">
        <f>'WBOT + Sampling'!$D$19*B26</f>
        <v>191409.2716165891</v>
      </c>
      <c r="Q26" s="19">
        <f t="shared" si="5"/>
        <v>207526.43121345341</v>
      </c>
      <c r="R26" s="41">
        <f t="shared" si="7"/>
        <v>17.293869267787784</v>
      </c>
      <c r="S26" s="41">
        <f t="shared" si="8"/>
        <v>0.49450011520494641</v>
      </c>
      <c r="T26" s="29">
        <f t="shared" si="9"/>
        <v>6.2917530935472854</v>
      </c>
    </row>
    <row r="27" spans="2:20" x14ac:dyDescent="0.35">
      <c r="B27" s="38">
        <v>12500</v>
      </c>
      <c r="C27">
        <f>Pediatrician!$G$4</f>
        <v>19026.507251492902</v>
      </c>
      <c r="D27" s="29">
        <f>B27*Pediatrician!$D$20</f>
        <v>275001.00112971658</v>
      </c>
      <c r="E27" s="30">
        <f t="shared" si="0"/>
        <v>294027.50838120945</v>
      </c>
      <c r="F27" s="41">
        <f t="shared" si="1"/>
        <v>23.522200670496755</v>
      </c>
      <c r="G27" s="23">
        <f>'GP or MO'!$D$12</f>
        <v>17506.985582014473</v>
      </c>
      <c r="H27" s="23">
        <f>B27*'GP or MO'!$D$20</f>
        <v>275001.00112971658</v>
      </c>
      <c r="I27" s="19">
        <f t="shared" si="2"/>
        <v>292507.98671173106</v>
      </c>
      <c r="J27" s="41">
        <f t="shared" si="3"/>
        <v>23.400638936938485</v>
      </c>
      <c r="K27" s="23">
        <f>WBOT!$D$12</f>
        <v>13092.505869033534</v>
      </c>
      <c r="L27" s="19">
        <f>B27*WBOT!$D$20</f>
        <v>275001.00112971658</v>
      </c>
      <c r="M27" s="19">
        <f t="shared" si="4"/>
        <v>288093.50699875009</v>
      </c>
      <c r="N27" s="41">
        <f t="shared" si="6"/>
        <v>23.047480559900006</v>
      </c>
      <c r="O27" s="23">
        <f>'WBOT + Sampling'!$D$12</f>
        <v>16117.159596864318</v>
      </c>
      <c r="P27" s="19">
        <f>'WBOT + Sampling'!$D$19*B27</f>
        <v>199384.65793394696</v>
      </c>
      <c r="Q27" s="19">
        <f t="shared" si="5"/>
        <v>215501.81753081127</v>
      </c>
      <c r="R27" s="41">
        <f t="shared" si="7"/>
        <v>17.240145402464901</v>
      </c>
      <c r="S27" s="41">
        <f t="shared" si="8"/>
        <v>0.47472011059674912</v>
      </c>
      <c r="T27" s="29">
        <f t="shared" si="9"/>
        <v>6.2820552680318542</v>
      </c>
    </row>
    <row r="28" spans="2:20" x14ac:dyDescent="0.35">
      <c r="B28" s="38">
        <v>13000</v>
      </c>
      <c r="C28">
        <f>Pediatrician!$G$4</f>
        <v>19026.507251492902</v>
      </c>
      <c r="D28" s="29">
        <f>B28*Pediatrician!$D$20</f>
        <v>286001.04117490526</v>
      </c>
      <c r="E28" s="30">
        <f t="shared" si="0"/>
        <v>305027.54842639813</v>
      </c>
      <c r="F28" s="41">
        <f t="shared" si="1"/>
        <v>23.463657571261393</v>
      </c>
      <c r="G28" s="23">
        <f>'GP or MO'!$D$12</f>
        <v>17506.985582014473</v>
      </c>
      <c r="H28" s="23">
        <f>B28*'GP or MO'!$D$20</f>
        <v>286001.04117490526</v>
      </c>
      <c r="I28" s="19">
        <f t="shared" si="2"/>
        <v>303508.02675691975</v>
      </c>
      <c r="J28" s="41">
        <f t="shared" si="3"/>
        <v>23.346771288993828</v>
      </c>
      <c r="K28" s="23">
        <f>WBOT!$D$12</f>
        <v>13092.505869033534</v>
      </c>
      <c r="L28" s="19">
        <f>B28*WBOT!$D$20</f>
        <v>286001.04117490526</v>
      </c>
      <c r="M28" s="19">
        <f t="shared" si="4"/>
        <v>299093.54704393877</v>
      </c>
      <c r="N28" s="41">
        <f t="shared" si="6"/>
        <v>23.007195926456827</v>
      </c>
      <c r="O28" s="23">
        <f>'WBOT + Sampling'!$D$12</f>
        <v>16117.159596864318</v>
      </c>
      <c r="P28" s="19">
        <f>'WBOT + Sampling'!$D$19*B28</f>
        <v>207360.04425130485</v>
      </c>
      <c r="Q28" s="19">
        <f t="shared" si="5"/>
        <v>223477.20384816916</v>
      </c>
      <c r="R28" s="41">
        <f t="shared" si="7"/>
        <v>17.190554142166857</v>
      </c>
      <c r="S28" s="41">
        <f t="shared" si="8"/>
        <v>0.45646164480456619</v>
      </c>
      <c r="T28" s="29">
        <f t="shared" si="9"/>
        <v>6.2731034290945367</v>
      </c>
    </row>
    <row r="29" spans="2:20" x14ac:dyDescent="0.35">
      <c r="B29" s="38">
        <v>13500</v>
      </c>
      <c r="C29">
        <f>Pediatrician!$G$4</f>
        <v>19026.507251492902</v>
      </c>
      <c r="D29" s="29">
        <f>B29*Pediatrician!$D$20</f>
        <v>297001.08122009394</v>
      </c>
      <c r="E29" s="30">
        <f t="shared" si="0"/>
        <v>316027.58847158682</v>
      </c>
      <c r="F29" s="41">
        <f t="shared" si="1"/>
        <v>23.40945099789532</v>
      </c>
      <c r="G29" s="23">
        <f>'GP or MO'!$D$12</f>
        <v>17506.985582014473</v>
      </c>
      <c r="H29" s="23">
        <f>B29*'GP or MO'!$D$20</f>
        <v>297001.08122009394</v>
      </c>
      <c r="I29" s="19">
        <f t="shared" si="2"/>
        <v>314508.06680210843</v>
      </c>
      <c r="J29" s="41">
        <f t="shared" si="3"/>
        <v>23.296893837193217</v>
      </c>
      <c r="K29" s="23">
        <f>WBOT!$D$12</f>
        <v>13092.505869033534</v>
      </c>
      <c r="L29" s="19">
        <f>B29*WBOT!$D$20</f>
        <v>297001.08122009394</v>
      </c>
      <c r="M29" s="19">
        <f t="shared" si="4"/>
        <v>310093.58708912745</v>
      </c>
      <c r="N29" s="41">
        <f t="shared" si="6"/>
        <v>22.969895339935366</v>
      </c>
      <c r="O29" s="23">
        <f>'WBOT + Sampling'!$D$12</f>
        <v>16117.159596864318</v>
      </c>
      <c r="P29" s="19">
        <f>'WBOT + Sampling'!$D$19*B29</f>
        <v>215335.43056866273</v>
      </c>
      <c r="Q29" s="19">
        <f t="shared" si="5"/>
        <v>231452.59016552704</v>
      </c>
      <c r="R29" s="41">
        <f t="shared" si="7"/>
        <v>17.144636308557558</v>
      </c>
      <c r="S29" s="41">
        <f t="shared" si="8"/>
        <v>0.43955565795995355</v>
      </c>
      <c r="T29" s="29">
        <f t="shared" si="9"/>
        <v>6.2648146893377614</v>
      </c>
    </row>
    <row r="30" spans="2:20" x14ac:dyDescent="0.35">
      <c r="B30" s="38">
        <v>14000</v>
      </c>
      <c r="C30">
        <f>Pediatrician!$G$4</f>
        <v>19026.507251492902</v>
      </c>
      <c r="D30" s="29">
        <f>B30*Pediatrician!$D$20</f>
        <v>308001.12126528256</v>
      </c>
      <c r="E30" s="30">
        <f t="shared" si="0"/>
        <v>327027.62851677544</v>
      </c>
      <c r="F30" s="41">
        <f t="shared" si="1"/>
        <v>23.359116322626818</v>
      </c>
      <c r="G30" s="23">
        <f>'GP or MO'!$D$12</f>
        <v>17506.985582014473</v>
      </c>
      <c r="H30" s="23">
        <f>B30*'GP or MO'!$D$20</f>
        <v>308001.12126528256</v>
      </c>
      <c r="I30" s="19">
        <f t="shared" si="2"/>
        <v>325508.10684729705</v>
      </c>
      <c r="J30" s="41">
        <f t="shared" si="3"/>
        <v>23.250579060521218</v>
      </c>
      <c r="K30" s="23">
        <f>WBOT!$D$12</f>
        <v>13092.505869033534</v>
      </c>
      <c r="L30" s="19">
        <f>B30*WBOT!$D$20</f>
        <v>308001.12126528256</v>
      </c>
      <c r="M30" s="19">
        <f t="shared" si="4"/>
        <v>321093.62713431608</v>
      </c>
      <c r="N30" s="41">
        <f t="shared" si="6"/>
        <v>22.935259081022576</v>
      </c>
      <c r="O30" s="23">
        <f>'WBOT + Sampling'!$D$12</f>
        <v>16117.159596864318</v>
      </c>
      <c r="P30" s="19">
        <f>'WBOT + Sampling'!$D$19*B30</f>
        <v>223310.81688602062</v>
      </c>
      <c r="Q30" s="19">
        <f t="shared" si="5"/>
        <v>239427.97648288493</v>
      </c>
      <c r="R30" s="41">
        <f t="shared" si="7"/>
        <v>17.101998320206068</v>
      </c>
      <c r="S30" s="41">
        <f t="shared" si="8"/>
        <v>0.42385724160424232</v>
      </c>
      <c r="T30" s="29">
        <f t="shared" si="9"/>
        <v>6.25711800242075</v>
      </c>
    </row>
    <row r="31" spans="2:20" x14ac:dyDescent="0.35">
      <c r="B31" s="38">
        <v>14500</v>
      </c>
      <c r="C31">
        <f>Pediatrician!$G$4</f>
        <v>19026.507251492902</v>
      </c>
      <c r="D31" s="29">
        <f>B31*Pediatrician!$D$20</f>
        <v>319001.16131047125</v>
      </c>
      <c r="E31" s="30">
        <f t="shared" si="0"/>
        <v>338027.66856196412</v>
      </c>
      <c r="F31" s="41">
        <f t="shared" si="1"/>
        <v>23.312253004273387</v>
      </c>
      <c r="G31" s="23">
        <f>'GP or MO'!$D$12</f>
        <v>17506.985582014473</v>
      </c>
      <c r="H31" s="23">
        <f>B31*'GP or MO'!$D$20</f>
        <v>319001.16131047125</v>
      </c>
      <c r="I31" s="19">
        <f t="shared" si="2"/>
        <v>336508.14689248573</v>
      </c>
      <c r="J31" s="41">
        <f t="shared" si="3"/>
        <v>23.207458406378326</v>
      </c>
      <c r="K31" s="23">
        <f>WBOT!$D$12</f>
        <v>13092.505869033534</v>
      </c>
      <c r="L31" s="19">
        <f>B31*WBOT!$D$20</f>
        <v>319001.16131047125</v>
      </c>
      <c r="M31" s="19">
        <f t="shared" si="4"/>
        <v>332093.66717950476</v>
      </c>
      <c r="N31" s="41">
        <f t="shared" si="6"/>
        <v>22.903011529621018</v>
      </c>
      <c r="O31" s="23">
        <f>'WBOT + Sampling'!$D$12</f>
        <v>16117.159596864318</v>
      </c>
      <c r="P31" s="19">
        <f>'WBOT + Sampling'!$D$19*B31</f>
        <v>231286.20320337848</v>
      </c>
      <c r="Q31" s="19">
        <f t="shared" si="5"/>
        <v>247403.36280024279</v>
      </c>
      <c r="R31" s="41">
        <f t="shared" si="7"/>
        <v>17.062300882775364</v>
      </c>
      <c r="S31" s="41">
        <f t="shared" si="8"/>
        <v>0.40924147465236871</v>
      </c>
      <c r="T31" s="29">
        <f t="shared" si="9"/>
        <v>6.2499521214980227</v>
      </c>
    </row>
    <row r="32" spans="2:20" x14ac:dyDescent="0.35">
      <c r="B32" s="38">
        <v>15000</v>
      </c>
      <c r="C32">
        <f>Pediatrician!$G$4</f>
        <v>19026.507251492902</v>
      </c>
      <c r="D32" s="29">
        <f>B32*Pediatrician!$D$20</f>
        <v>330001.20135565993</v>
      </c>
      <c r="E32" s="30">
        <f t="shared" si="0"/>
        <v>349027.7086071528</v>
      </c>
      <c r="F32" s="41">
        <f t="shared" si="1"/>
        <v>23.268513907143522</v>
      </c>
      <c r="G32" s="23">
        <f>'GP or MO'!$D$12</f>
        <v>17506.985582014473</v>
      </c>
      <c r="H32" s="23">
        <f>B32*'GP or MO'!$D$20</f>
        <v>330001.20135565993</v>
      </c>
      <c r="I32" s="19">
        <f t="shared" si="2"/>
        <v>347508.18693767441</v>
      </c>
      <c r="J32" s="41">
        <f t="shared" si="3"/>
        <v>23.167212462511628</v>
      </c>
      <c r="K32" s="23">
        <f>WBOT!$D$12</f>
        <v>13092.505869033534</v>
      </c>
      <c r="L32" s="19">
        <f>B32*WBOT!$D$20</f>
        <v>330001.20135565993</v>
      </c>
      <c r="M32" s="19">
        <f t="shared" si="4"/>
        <v>343093.70722469344</v>
      </c>
      <c r="N32" s="41">
        <f t="shared" si="6"/>
        <v>22.872913814979562</v>
      </c>
      <c r="O32" s="23">
        <f>'WBOT + Sampling'!$D$12</f>
        <v>16117.159596864318</v>
      </c>
      <c r="P32" s="19">
        <f>'WBOT + Sampling'!$D$19*B32</f>
        <v>239261.58952073636</v>
      </c>
      <c r="Q32" s="19">
        <f t="shared" si="5"/>
        <v>255378.74911760067</v>
      </c>
      <c r="R32" s="41">
        <f t="shared" si="7"/>
        <v>17.025249941173378</v>
      </c>
      <c r="S32" s="41">
        <f t="shared" si="8"/>
        <v>0.39560009216395997</v>
      </c>
      <c r="T32" s="29">
        <f t="shared" si="9"/>
        <v>6.2432639659701437</v>
      </c>
    </row>
    <row r="33" spans="2:25" x14ac:dyDescent="0.35">
      <c r="B33" s="38">
        <v>15500</v>
      </c>
      <c r="C33">
        <f>Pediatrician!$G$4</f>
        <v>19026.507251492902</v>
      </c>
      <c r="D33" s="29">
        <f>B33*Pediatrician!$D$20</f>
        <v>341001.24140084855</v>
      </c>
      <c r="E33" s="30">
        <f t="shared" si="0"/>
        <v>360027.74865234143</v>
      </c>
      <c r="F33" s="41">
        <f t="shared" si="1"/>
        <v>23.227596687247836</v>
      </c>
      <c r="G33" s="23">
        <f>'GP or MO'!$D$12</f>
        <v>17506.985582014473</v>
      </c>
      <c r="H33" s="23">
        <f>B33*'GP or MO'!$D$20</f>
        <v>341001.24140084855</v>
      </c>
      <c r="I33" s="19">
        <f t="shared" si="2"/>
        <v>358508.22698286304</v>
      </c>
      <c r="J33" s="41">
        <f t="shared" si="3"/>
        <v>23.129563031152454</v>
      </c>
      <c r="K33" s="23">
        <f>WBOT!$D$12</f>
        <v>13092.505869033534</v>
      </c>
      <c r="L33" s="19">
        <f>B33*WBOT!$D$20</f>
        <v>341001.24140084855</v>
      </c>
      <c r="M33" s="19">
        <f t="shared" si="4"/>
        <v>354093.74726988206</v>
      </c>
      <c r="N33" s="41">
        <f t="shared" si="6"/>
        <v>22.844757888379487</v>
      </c>
      <c r="O33" s="23">
        <f>'WBOT + Sampling'!$D$12</f>
        <v>16117.159596864318</v>
      </c>
      <c r="P33" s="19">
        <f>'WBOT + Sampling'!$D$19*B33</f>
        <v>247236.97583809425</v>
      </c>
      <c r="Q33" s="19">
        <f t="shared" si="5"/>
        <v>263354.13543495856</v>
      </c>
      <c r="R33" s="41">
        <f t="shared" si="7"/>
        <v>16.990589382900552</v>
      </c>
      <c r="S33" s="41">
        <f t="shared" si="8"/>
        <v>0.38283879886834882</v>
      </c>
      <c r="T33" s="29">
        <f t="shared" si="9"/>
        <v>6.2370073043472836</v>
      </c>
    </row>
    <row r="34" spans="2:25" x14ac:dyDescent="0.35">
      <c r="B34" s="38">
        <v>16000</v>
      </c>
      <c r="C34">
        <f>Pediatrician!$G$4</f>
        <v>19026.507251492902</v>
      </c>
      <c r="D34" s="29">
        <f>B34*Pediatrician!$D$20</f>
        <v>352001.28144603723</v>
      </c>
      <c r="E34" s="30">
        <f t="shared" si="0"/>
        <v>371027.78869753011</v>
      </c>
      <c r="F34" s="41">
        <f t="shared" si="1"/>
        <v>23.189236793595633</v>
      </c>
      <c r="G34" s="23">
        <f>'GP or MO'!$D$12</f>
        <v>17506.985582014473</v>
      </c>
      <c r="H34" s="23">
        <f>B34*'GP or MO'!$D$20</f>
        <v>352001.28144603723</v>
      </c>
      <c r="I34" s="19">
        <f t="shared" si="2"/>
        <v>369508.26702805172</v>
      </c>
      <c r="J34" s="41">
        <f t="shared" si="3"/>
        <v>23.094266689253232</v>
      </c>
      <c r="K34" s="23">
        <f>WBOT!$D$12</f>
        <v>13092.505869033534</v>
      </c>
      <c r="L34" s="19">
        <f>B34*WBOT!$D$20</f>
        <v>352001.28144603723</v>
      </c>
      <c r="M34" s="19">
        <f t="shared" si="4"/>
        <v>365093.78731507075</v>
      </c>
      <c r="N34" s="41">
        <f t="shared" si="6"/>
        <v>22.818361707191922</v>
      </c>
      <c r="O34" s="23">
        <f>'WBOT + Sampling'!$D$12</f>
        <v>16117.159596864318</v>
      </c>
      <c r="P34" s="19">
        <f>'WBOT + Sampling'!$D$19*B34</f>
        <v>255212.36215545214</v>
      </c>
      <c r="Q34" s="19">
        <f t="shared" si="5"/>
        <v>271329.52175231645</v>
      </c>
      <c r="R34" s="41">
        <f t="shared" si="7"/>
        <v>16.958095109519778</v>
      </c>
      <c r="S34" s="41">
        <f t="shared" si="8"/>
        <v>0.3708750864037107</v>
      </c>
      <c r="T34" s="29">
        <f t="shared" si="9"/>
        <v>6.2311416840758547</v>
      </c>
    </row>
    <row r="35" spans="2:25" x14ac:dyDescent="0.35">
      <c r="B35" s="38">
        <v>16500</v>
      </c>
      <c r="C35">
        <f>Pediatrician!$G$4</f>
        <v>19026.507251492902</v>
      </c>
      <c r="D35" s="29">
        <f>B35*Pediatrician!$D$20</f>
        <v>363001.32149122591</v>
      </c>
      <c r="E35" s="30">
        <f t="shared" si="0"/>
        <v>382027.82874271879</v>
      </c>
      <c r="F35" s="41">
        <f t="shared" si="1"/>
        <v>23.153201741982958</v>
      </c>
      <c r="G35" s="23">
        <f>'GP or MO'!$D$12</f>
        <v>17506.985582014473</v>
      </c>
      <c r="H35" s="23">
        <f>B35*'GP or MO'!$D$20</f>
        <v>363001.32149122591</v>
      </c>
      <c r="I35" s="19">
        <f t="shared" si="2"/>
        <v>380508.3070732404</v>
      </c>
      <c r="J35" s="41">
        <f t="shared" si="3"/>
        <v>23.061109519590328</v>
      </c>
      <c r="K35" s="23">
        <f>WBOT!$D$12</f>
        <v>13092.505869033534</v>
      </c>
      <c r="L35" s="19">
        <f>B35*WBOT!$D$20</f>
        <v>363001.32149122591</v>
      </c>
      <c r="M35" s="19">
        <f t="shared" si="4"/>
        <v>376093.82736025943</v>
      </c>
      <c r="N35" s="41">
        <f t="shared" si="6"/>
        <v>22.793565294561176</v>
      </c>
      <c r="O35" s="23">
        <f>'WBOT + Sampling'!$D$12</f>
        <v>16117.159596864318</v>
      </c>
      <c r="P35" s="19">
        <f>'WBOT + Sampling'!$D$19*B35</f>
        <v>263187.74847281002</v>
      </c>
      <c r="Q35" s="19">
        <f t="shared" si="5"/>
        <v>279304.90806967433</v>
      </c>
      <c r="R35" s="41">
        <f t="shared" si="7"/>
        <v>16.927570186040867</v>
      </c>
      <c r="S35" s="41">
        <f t="shared" si="8"/>
        <v>0.35963644742178147</v>
      </c>
      <c r="T35" s="29">
        <f t="shared" si="9"/>
        <v>6.2256315559420905</v>
      </c>
    </row>
    <row r="36" spans="2:25" x14ac:dyDescent="0.35">
      <c r="B36" s="38">
        <v>17000</v>
      </c>
      <c r="C36">
        <f>Pediatrician!$G$4</f>
        <v>19026.507251492902</v>
      </c>
      <c r="D36" s="29">
        <f>B36*Pediatrician!$D$20</f>
        <v>374001.3615364146</v>
      </c>
      <c r="E36" s="30">
        <f t="shared" si="0"/>
        <v>393027.86878790747</v>
      </c>
      <c r="F36" s="41">
        <f t="shared" si="1"/>
        <v>23.119286399288676</v>
      </c>
      <c r="G36" s="23">
        <f>'GP or MO'!$D$12</f>
        <v>17506.985582014473</v>
      </c>
      <c r="H36" s="23">
        <f>B36*'GP or MO'!$D$20</f>
        <v>374001.3615364146</v>
      </c>
      <c r="I36" s="19">
        <f t="shared" si="2"/>
        <v>391508.34711842908</v>
      </c>
      <c r="J36" s="41">
        <f t="shared" si="3"/>
        <v>23.029902771672297</v>
      </c>
      <c r="K36" s="23">
        <f>WBOT!$D$12</f>
        <v>13092.505869033534</v>
      </c>
      <c r="L36" s="19">
        <f>B36*WBOT!$D$20</f>
        <v>374001.3615364146</v>
      </c>
      <c r="M36" s="19">
        <f t="shared" si="4"/>
        <v>387093.86740544811</v>
      </c>
      <c r="N36" s="41">
        <f t="shared" si="6"/>
        <v>22.770227494438124</v>
      </c>
      <c r="O36" s="23">
        <f>'WBOT + Sampling'!$D$12</f>
        <v>16117.159596864318</v>
      </c>
      <c r="P36" s="19">
        <f>'WBOT + Sampling'!$D$19*B36</f>
        <v>271163.13479016791</v>
      </c>
      <c r="Q36" s="19">
        <f t="shared" si="5"/>
        <v>287280.29438703222</v>
      </c>
      <c r="R36" s="41">
        <f t="shared" si="7"/>
        <v>16.898840846296014</v>
      </c>
      <c r="S36" s="41">
        <f t="shared" si="8"/>
        <v>0.34905890485055124</v>
      </c>
      <c r="T36" s="29">
        <f t="shared" si="9"/>
        <v>6.2204455529926612</v>
      </c>
    </row>
    <row r="37" spans="2:25" x14ac:dyDescent="0.35">
      <c r="B37" s="38">
        <v>17500</v>
      </c>
      <c r="C37">
        <f>Pediatrician!$G$4</f>
        <v>19026.507251492902</v>
      </c>
      <c r="D37" s="29">
        <f>B37*Pediatrician!$D$20</f>
        <v>385001.40158160322</v>
      </c>
      <c r="E37" s="30">
        <f t="shared" si="0"/>
        <v>404027.90883309609</v>
      </c>
      <c r="F37" s="41">
        <f t="shared" si="1"/>
        <v>23.087309076176918</v>
      </c>
      <c r="G37" s="23">
        <f>'GP or MO'!$D$12</f>
        <v>17506.985582014473</v>
      </c>
      <c r="H37" s="23">
        <f>B37*'GP or MO'!$D$20</f>
        <v>385001.40158160322</v>
      </c>
      <c r="I37" s="19">
        <f t="shared" si="2"/>
        <v>402508.38716361771</v>
      </c>
      <c r="J37" s="41">
        <f t="shared" si="3"/>
        <v>23.000479266492441</v>
      </c>
      <c r="K37" s="23">
        <f>WBOT!$D$12</f>
        <v>13092.505869033534</v>
      </c>
      <c r="L37" s="19">
        <f>B37*WBOT!$D$20</f>
        <v>385001.40158160322</v>
      </c>
      <c r="M37" s="19">
        <f t="shared" si="4"/>
        <v>398093.90745063673</v>
      </c>
      <c r="N37" s="41">
        <f t="shared" si="6"/>
        <v>22.748223282893527</v>
      </c>
      <c r="O37" s="23">
        <f>'WBOT + Sampling'!$D$12</f>
        <v>16117.159596864318</v>
      </c>
      <c r="P37" s="19">
        <f>'WBOT + Sampling'!$D$19*B37</f>
        <v>279138.52110752574</v>
      </c>
      <c r="Q37" s="19">
        <f t="shared" si="5"/>
        <v>295255.68070439005</v>
      </c>
      <c r="R37" s="41">
        <f t="shared" si="7"/>
        <v>16.871753183108002</v>
      </c>
      <c r="S37" s="41">
        <f t="shared" si="8"/>
        <v>0.33908579328339172</v>
      </c>
      <c r="T37" s="29">
        <f t="shared" si="9"/>
        <v>6.2155558930689168</v>
      </c>
    </row>
    <row r="38" spans="2:25" x14ac:dyDescent="0.35">
      <c r="B38" s="38">
        <v>18000</v>
      </c>
      <c r="C38">
        <f>Pediatrician!$G$4</f>
        <v>19026.507251492902</v>
      </c>
      <c r="D38" s="29">
        <f>B38*Pediatrician!$D$20</f>
        <v>396001.4416267919</v>
      </c>
      <c r="E38" s="30">
        <f t="shared" si="0"/>
        <v>415027.94887828478</v>
      </c>
      <c r="F38" s="41">
        <f t="shared" si="1"/>
        <v>23.057108271015821</v>
      </c>
      <c r="G38" s="23">
        <f>'GP or MO'!$D$12</f>
        <v>17506.985582014473</v>
      </c>
      <c r="H38" s="23">
        <f>B38*'GP or MO'!$D$20</f>
        <v>396001.4416267919</v>
      </c>
      <c r="I38" s="19">
        <f t="shared" si="2"/>
        <v>413508.42720880639</v>
      </c>
      <c r="J38" s="41">
        <f t="shared" si="3"/>
        <v>22.972690400489245</v>
      </c>
      <c r="K38" s="23">
        <f>WBOT!$D$12</f>
        <v>13092.505869033534</v>
      </c>
      <c r="L38" s="19">
        <f>B38*WBOT!$D$20</f>
        <v>396001.4416267919</v>
      </c>
      <c r="M38" s="19">
        <f t="shared" si="4"/>
        <v>409093.94749582541</v>
      </c>
      <c r="N38" s="41">
        <f t="shared" si="6"/>
        <v>22.727441527545857</v>
      </c>
      <c r="O38" s="23">
        <f>'WBOT + Sampling'!$D$12</f>
        <v>16117.159596864318</v>
      </c>
      <c r="P38" s="19">
        <f>'WBOT + Sampling'!$D$19*B38</f>
        <v>287113.90742488363</v>
      </c>
      <c r="Q38" s="19">
        <f t="shared" si="5"/>
        <v>303231.06702174793</v>
      </c>
      <c r="R38" s="41">
        <f t="shared" si="7"/>
        <v>16.846170390097107</v>
      </c>
      <c r="S38" s="41">
        <f t="shared" si="8"/>
        <v>0.32966674346996427</v>
      </c>
      <c r="T38" s="29">
        <f t="shared" si="9"/>
        <v>6.2109378809187135</v>
      </c>
    </row>
    <row r="39" spans="2:25" x14ac:dyDescent="0.35">
      <c r="B39" s="39">
        <v>18500</v>
      </c>
      <c r="C39" s="8">
        <f>Pediatrician!$G$4</f>
        <v>19026.507251492902</v>
      </c>
      <c r="D39" s="32">
        <f>B39*Pediatrician!$D$20</f>
        <v>407001.48167198058</v>
      </c>
      <c r="E39" s="33">
        <f t="shared" si="0"/>
        <v>426027.98892347346</v>
      </c>
      <c r="F39" s="42">
        <f t="shared" si="1"/>
        <v>23.028539941809377</v>
      </c>
      <c r="G39" s="34">
        <f>'GP or MO'!$D$12</f>
        <v>17506.985582014473</v>
      </c>
      <c r="H39" s="34">
        <f>B39*'GP or MO'!$D$20</f>
        <v>407001.48167198058</v>
      </c>
      <c r="I39" s="35">
        <f t="shared" si="2"/>
        <v>424508.46725399507</v>
      </c>
      <c r="J39" s="42">
        <f t="shared" si="3"/>
        <v>22.946403635351086</v>
      </c>
      <c r="K39" s="34">
        <f>WBOT!$D$12</f>
        <v>13092.505869033534</v>
      </c>
      <c r="L39" s="35">
        <f>B39*WBOT!$D$20</f>
        <v>407001.48167198058</v>
      </c>
      <c r="M39" s="35">
        <f t="shared" si="4"/>
        <v>420093.9875410141</v>
      </c>
      <c r="N39" s="42">
        <f t="shared" si="6"/>
        <v>22.707783110325085</v>
      </c>
      <c r="O39" s="34">
        <f>'WBOT + Sampling'!$D$12</f>
        <v>16117.159596864318</v>
      </c>
      <c r="P39" s="35">
        <f>'WBOT + Sampling'!$D$19*B39</f>
        <v>295089.29374224151</v>
      </c>
      <c r="Q39" s="35">
        <f t="shared" si="5"/>
        <v>311206.45333910582</v>
      </c>
      <c r="R39" s="42">
        <f t="shared" si="7"/>
        <v>16.821970450762478</v>
      </c>
      <c r="S39" s="41">
        <f t="shared" si="8"/>
        <v>0.32075683148429235</v>
      </c>
      <c r="T39" s="29">
        <f t="shared" si="9"/>
        <v>6.2065694910468991</v>
      </c>
      <c r="U39" s="49">
        <f>((F39-F3)/F3)*100</f>
        <v>-61.653033706685257</v>
      </c>
      <c r="V39" s="49">
        <f>((J39-N3)/N3)*100</f>
        <v>-52.378624249491466</v>
      </c>
      <c r="W39" s="49">
        <f>((N39-N3)/N3)*100</f>
        <v>-52.873840748975518</v>
      </c>
      <c r="X39" s="49">
        <f>((R39-R3)/R3)*100</f>
        <v>-65.088848412586785</v>
      </c>
      <c r="Y39" s="49">
        <f>((R39-N39)/N39)*100</f>
        <v>-25.919803051520095</v>
      </c>
    </row>
    <row r="40" spans="2:25" x14ac:dyDescent="0.35">
      <c r="B40" s="38">
        <v>19000</v>
      </c>
      <c r="C40">
        <f>Pediatrician!$G$4</f>
        <v>19026.507251492902</v>
      </c>
      <c r="D40" s="29">
        <f>B40*Pediatrician!$D$20</f>
        <v>418001.52171716921</v>
      </c>
      <c r="E40" s="30">
        <f t="shared" si="0"/>
        <v>437028.02896866208</v>
      </c>
      <c r="F40" s="41">
        <f t="shared" si="1"/>
        <v>23.001475208876951</v>
      </c>
      <c r="G40" s="23">
        <f>'GP or MO'!$D$12</f>
        <v>17506.985582014473</v>
      </c>
      <c r="H40" s="23">
        <f>B40*'GP or MO'!$D$20</f>
        <v>418001.52171716921</v>
      </c>
      <c r="I40" s="19">
        <f t="shared" si="2"/>
        <v>435508.50729918369</v>
      </c>
      <c r="J40" s="41">
        <f t="shared" si="3"/>
        <v>22.921500384167562</v>
      </c>
      <c r="K40" s="23">
        <f>WBOT!$D$12</f>
        <v>13092.505869033534</v>
      </c>
      <c r="L40" s="19">
        <f>B40*WBOT!$D$20</f>
        <v>418001.52171716921</v>
      </c>
      <c r="M40" s="19">
        <f t="shared" si="4"/>
        <v>431094.02758620272</v>
      </c>
      <c r="N40" s="41">
        <f t="shared" si="6"/>
        <v>22.689159346642249</v>
      </c>
      <c r="O40" s="23">
        <f>'WBOT + Sampling'!$D$12</f>
        <v>16117.159596864318</v>
      </c>
      <c r="P40" s="19">
        <f>'WBOT + Sampling'!$D$19*B40</f>
        <v>303064.6800595994</v>
      </c>
      <c r="Q40" s="19">
        <f t="shared" si="5"/>
        <v>319181.83965646371</v>
      </c>
      <c r="R40" s="41">
        <f t="shared" si="7"/>
        <v>16.799044192445457</v>
      </c>
      <c r="S40" s="41">
        <f t="shared" si="8"/>
        <v>0.31231586223470131</v>
      </c>
      <c r="T40" s="29">
        <f t="shared" si="9"/>
        <v>6.2024310164314933</v>
      </c>
    </row>
    <row r="41" spans="2:25" x14ac:dyDescent="0.35">
      <c r="B41" s="38">
        <v>19500</v>
      </c>
      <c r="C41">
        <f>Pediatrician!$G$4</f>
        <v>19026.507251492902</v>
      </c>
      <c r="D41" s="29">
        <f>B41*Pediatrician!$D$20</f>
        <v>429001.56176235789</v>
      </c>
      <c r="E41" s="30">
        <f t="shared" si="0"/>
        <v>448028.06901385076</v>
      </c>
      <c r="F41" s="41">
        <f t="shared" si="1"/>
        <v>22.975798410966707</v>
      </c>
      <c r="G41" s="23">
        <f>'GP or MO'!$D$12</f>
        <v>17506.985582014473</v>
      </c>
      <c r="H41" s="23">
        <f>B41*'GP or MO'!$D$20</f>
        <v>429001.56176235789</v>
      </c>
      <c r="I41" s="19">
        <f t="shared" si="2"/>
        <v>446508.54734437237</v>
      </c>
      <c r="J41" s="41">
        <f t="shared" si="3"/>
        <v>22.897874222788328</v>
      </c>
      <c r="K41" s="23">
        <f>WBOT!$D$12</f>
        <v>13092.505869033534</v>
      </c>
      <c r="L41" s="19">
        <f>B41*WBOT!$D$20</f>
        <v>429001.56176235789</v>
      </c>
      <c r="M41" s="19">
        <f t="shared" si="4"/>
        <v>442094.0676313914</v>
      </c>
      <c r="N41" s="41">
        <f t="shared" si="6"/>
        <v>22.671490647763662</v>
      </c>
      <c r="O41" s="23">
        <f>'WBOT + Sampling'!$D$12</f>
        <v>16117.159596864318</v>
      </c>
      <c r="P41" s="19">
        <f>'WBOT + Sampling'!$D$19*B41</f>
        <v>311040.06637695729</v>
      </c>
      <c r="Q41" s="19">
        <f t="shared" si="5"/>
        <v>327157.22597382159</v>
      </c>
      <c r="R41" s="41">
        <f t="shared" si="7"/>
        <v>16.777293639683158</v>
      </c>
      <c r="S41" s="41">
        <f t="shared" si="8"/>
        <v>0.30430776320304531</v>
      </c>
      <c r="T41" s="29">
        <f t="shared" si="9"/>
        <v>6.1985047712835488</v>
      </c>
    </row>
    <row r="42" spans="2:25" x14ac:dyDescent="0.35">
      <c r="O42" s="23"/>
      <c r="Q42" s="48" t="s">
        <v>115</v>
      </c>
      <c r="R42" s="48"/>
      <c r="S42" s="58">
        <f>AVERAGE(S3:S41)</f>
        <v>1.2943861678666087</v>
      </c>
      <c r="T42" s="58">
        <f>AVERAGE(T3:T41)</f>
        <v>6.6839246589534307</v>
      </c>
    </row>
    <row r="43" spans="2:25" x14ac:dyDescent="0.35">
      <c r="S43" s="23">
        <f>S42*94000</f>
        <v>121672.29977946122</v>
      </c>
    </row>
    <row r="44" spans="2:25" x14ac:dyDescent="0.35">
      <c r="G44" s="3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topLeftCell="A15" workbookViewId="0">
      <selection activeCell="G17" sqref="G17:H20"/>
    </sheetView>
  </sheetViews>
  <sheetFormatPr defaultRowHeight="14.5" x14ac:dyDescent="0.35"/>
  <cols>
    <col min="2" max="2" width="39.6328125" customWidth="1"/>
    <col min="3" max="3" width="23.453125" customWidth="1"/>
    <col min="4" max="4" width="20.6328125" customWidth="1"/>
    <col min="5" max="5" width="16" customWidth="1"/>
    <col min="6" max="6" width="20.54296875" customWidth="1"/>
    <col min="7" max="7" width="13.6328125" customWidth="1"/>
    <col min="8" max="8" width="34.1796875" customWidth="1"/>
    <col min="9" max="9" width="10.6328125" customWidth="1"/>
  </cols>
  <sheetData>
    <row r="1" spans="2:9" x14ac:dyDescent="0.35">
      <c r="I1" t="s">
        <v>149</v>
      </c>
    </row>
    <row r="2" spans="2:9" x14ac:dyDescent="0.35">
      <c r="I2" t="s">
        <v>150</v>
      </c>
    </row>
    <row r="3" spans="2:9" ht="15" thickBot="1" x14ac:dyDescent="0.4">
      <c r="B3" s="64"/>
      <c r="I3" t="s">
        <v>151</v>
      </c>
    </row>
    <row r="4" spans="2:9" ht="58.5" thickBot="1" x14ac:dyDescent="0.4">
      <c r="B4" s="59" t="s">
        <v>144</v>
      </c>
      <c r="C4" s="60">
        <v>0.39</v>
      </c>
      <c r="D4" s="61">
        <v>0.45</v>
      </c>
      <c r="E4" s="61">
        <v>0.6</v>
      </c>
      <c r="F4" s="62">
        <v>1</v>
      </c>
    </row>
    <row r="5" spans="2:9" ht="15" thickBot="1" x14ac:dyDescent="0.4">
      <c r="B5" s="63" t="s">
        <v>152</v>
      </c>
      <c r="C5" s="65">
        <f>'Cost Ratios'!O8*C4</f>
        <v>263031.1045267022</v>
      </c>
      <c r="D5" s="66">
        <f>'Cost Ratios'!O8*D4</f>
        <v>303497.42830004101</v>
      </c>
      <c r="E5" s="66">
        <f>'Cost Ratios'!O8*E4</f>
        <v>404663.23773338797</v>
      </c>
      <c r="F5" s="67"/>
    </row>
    <row r="6" spans="2:9" x14ac:dyDescent="0.35">
      <c r="B6" t="s">
        <v>153</v>
      </c>
      <c r="C6" s="15">
        <f>'Cost Ratios'!O8-C5</f>
        <v>411407.62502894446</v>
      </c>
    </row>
    <row r="8" spans="2:9" x14ac:dyDescent="0.35">
      <c r="B8" s="4" t="s">
        <v>38</v>
      </c>
    </row>
    <row r="9" spans="2:9" x14ac:dyDescent="0.35">
      <c r="B9" t="s">
        <v>169</v>
      </c>
      <c r="C9" s="27">
        <v>0.39</v>
      </c>
    </row>
    <row r="10" spans="2:9" x14ac:dyDescent="0.35">
      <c r="B10" t="s">
        <v>170</v>
      </c>
      <c r="C10" s="27">
        <v>0.45</v>
      </c>
    </row>
    <row r="11" spans="2:9" x14ac:dyDescent="0.35">
      <c r="B11" t="s">
        <v>171</v>
      </c>
      <c r="C11" s="27">
        <v>0.6</v>
      </c>
    </row>
    <row r="12" spans="2:9" x14ac:dyDescent="0.35">
      <c r="C12" s="27"/>
    </row>
    <row r="13" spans="2:9" x14ac:dyDescent="0.35">
      <c r="C13" s="27"/>
    </row>
    <row r="14" spans="2:9" x14ac:dyDescent="0.35">
      <c r="C14" s="27"/>
    </row>
    <row r="16" spans="2:9" x14ac:dyDescent="0.35">
      <c r="C16" s="4" t="s">
        <v>124</v>
      </c>
      <c r="D16" s="4" t="s">
        <v>125</v>
      </c>
      <c r="E16" s="4" t="s">
        <v>136</v>
      </c>
    </row>
    <row r="17" spans="2:8" x14ac:dyDescent="0.35">
      <c r="B17" t="s">
        <v>172</v>
      </c>
      <c r="C17" s="15">
        <f>CEA.!D7</f>
        <v>1864267.1238627064</v>
      </c>
      <c r="D17" s="15">
        <f>CEA.!E7</f>
        <v>1625152.7639361985</v>
      </c>
      <c r="E17" s="15">
        <f>CEA.!F7</f>
        <v>2040787.2326560111</v>
      </c>
      <c r="G17" s="4" t="s">
        <v>181</v>
      </c>
    </row>
    <row r="18" spans="2:8" ht="29" x14ac:dyDescent="0.35">
      <c r="B18" t="s">
        <v>152</v>
      </c>
      <c r="C18" s="15">
        <f>'Cost Drivers'!E7*CEA.!D3</f>
        <v>674056.44405253022</v>
      </c>
      <c r="D18" s="15">
        <f>'Cost Drivers'!E7*CEA.!E3</f>
        <v>536775.55189096963</v>
      </c>
      <c r="E18" s="15">
        <f>'Cost Drivers'!E7*CEA.!F3</f>
        <v>674056.44405253022</v>
      </c>
      <c r="G18" s="4" t="s">
        <v>124</v>
      </c>
      <c r="H18" s="69" t="s">
        <v>182</v>
      </c>
    </row>
    <row r="19" spans="2:8" ht="43.5" x14ac:dyDescent="0.35">
      <c r="B19" t="s">
        <v>173</v>
      </c>
      <c r="C19" s="15">
        <f>C18*C9</f>
        <v>262882.0131804868</v>
      </c>
      <c r="D19" s="15">
        <f>D18*C9</f>
        <v>209342.46523747817</v>
      </c>
      <c r="E19" s="15">
        <f>E18*C9</f>
        <v>262882.0131804868</v>
      </c>
      <c r="G19" s="4" t="s">
        <v>125</v>
      </c>
      <c r="H19" s="69" t="s">
        <v>183</v>
      </c>
    </row>
    <row r="20" spans="2:8" ht="43.5" x14ac:dyDescent="0.35">
      <c r="B20" t="s">
        <v>174</v>
      </c>
      <c r="C20" s="15">
        <f>C18*C10</f>
        <v>303325.39982363861</v>
      </c>
      <c r="D20" s="15">
        <f>D18*C10</f>
        <v>241548.99835093634</v>
      </c>
      <c r="E20" s="15">
        <f>E18*C10</f>
        <v>303325.39982363861</v>
      </c>
      <c r="G20" s="4" t="s">
        <v>136</v>
      </c>
      <c r="H20" s="69" t="s">
        <v>184</v>
      </c>
    </row>
    <row r="21" spans="2:8" x14ac:dyDescent="0.35">
      <c r="B21" t="s">
        <v>175</v>
      </c>
      <c r="C21" s="15">
        <f>C18*C11</f>
        <v>404433.86643151811</v>
      </c>
      <c r="D21" s="15">
        <f>D18*C11</f>
        <v>322065.33113458176</v>
      </c>
      <c r="E21" s="15">
        <f>+E18*C11</f>
        <v>404433.86643151811</v>
      </c>
    </row>
    <row r="22" spans="2:8" x14ac:dyDescent="0.35">
      <c r="B22" t="s">
        <v>176</v>
      </c>
      <c r="C22" s="15">
        <f>100-((C17-C18)/C17)*100</f>
        <v>36.156644904830223</v>
      </c>
      <c r="D22" s="15">
        <f>100-((D17-D18)/D17)*100</f>
        <v>33.029236623323527</v>
      </c>
      <c r="E22" s="15">
        <f>100-((E17-E18)/E17)*100</f>
        <v>33.029236623323541</v>
      </c>
    </row>
    <row r="23" spans="2:8" x14ac:dyDescent="0.35">
      <c r="B23" t="s">
        <v>177</v>
      </c>
      <c r="C23" s="15">
        <f>100-(((C17-C18)+C19)/C17)*100</f>
        <v>22.055553391946432</v>
      </c>
      <c r="D23" s="15">
        <f>100-(((D17-D18)+D19)/D17)*100</f>
        <v>20.147834340227348</v>
      </c>
      <c r="E23" s="15">
        <f>100-(((E17-E18)+E19)/E17)*100</f>
        <v>20.147834340227348</v>
      </c>
    </row>
    <row r="24" spans="2:8" x14ac:dyDescent="0.35">
      <c r="B24" t="s">
        <v>178</v>
      </c>
      <c r="C24" s="15">
        <f>100-(((C17-C18)+C20)/C17)*100</f>
        <v>19.886154697656622</v>
      </c>
      <c r="D24" s="15">
        <f>100-(((D17-D18)+D20)/D17)*100</f>
        <v>18.166080142827937</v>
      </c>
      <c r="E24" s="15">
        <f>100-(((E17-E18)+E20)/E17)*100</f>
        <v>18.166080142827951</v>
      </c>
    </row>
    <row r="25" spans="2:8" x14ac:dyDescent="0.35">
      <c r="B25" t="s">
        <v>179</v>
      </c>
      <c r="C25" s="15">
        <f>100-(((C17-C18)+C21)/C17)*100</f>
        <v>14.462657961932095</v>
      </c>
      <c r="D25" s="15">
        <f>100-(((D17-D18)+D21)/D17)*100</f>
        <v>13.211694649329402</v>
      </c>
      <c r="E25" s="15">
        <f>100-(((E17-E18)+E21)/E17)*100</f>
        <v>13.211694649329417</v>
      </c>
    </row>
  </sheetData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"/>
  <sheetViews>
    <sheetView workbookViewId="0">
      <selection activeCell="I8" sqref="I8"/>
    </sheetView>
  </sheetViews>
  <sheetFormatPr defaultRowHeight="14.5" x14ac:dyDescent="0.35"/>
  <cols>
    <col min="3" max="3" width="15.36328125" customWidth="1"/>
    <col min="4" max="4" width="26.54296875" customWidth="1"/>
    <col min="5" max="5" width="12.90625" customWidth="1"/>
    <col min="9" max="9" width="60.453125" customWidth="1"/>
  </cols>
  <sheetData>
    <row r="2" spans="2:9" x14ac:dyDescent="0.35">
      <c r="B2" s="4"/>
      <c r="C2" s="4" t="s">
        <v>124</v>
      </c>
      <c r="D2" s="4" t="s">
        <v>125</v>
      </c>
      <c r="E2" t="s">
        <v>136</v>
      </c>
    </row>
    <row r="3" spans="2:9" x14ac:dyDescent="0.35">
      <c r="B3" s="4" t="s">
        <v>145</v>
      </c>
      <c r="C3" s="13">
        <f>CEA.!D7</f>
        <v>1864267.1238627064</v>
      </c>
      <c r="D3" s="13">
        <f>CEA.!E7</f>
        <v>1625152.7639361985</v>
      </c>
      <c r="E3" s="13">
        <f>CEA.!F7</f>
        <v>2040787.2326560111</v>
      </c>
      <c r="H3" s="4" t="s">
        <v>181</v>
      </c>
    </row>
    <row r="4" spans="2:9" x14ac:dyDescent="0.35">
      <c r="B4" s="4" t="s">
        <v>146</v>
      </c>
      <c r="C4">
        <f>C3*1.05</f>
        <v>1957480.4800558419</v>
      </c>
      <c r="D4">
        <f>D3*1.05</f>
        <v>1706410.4021330085</v>
      </c>
      <c r="E4">
        <f>E3*1.05</f>
        <v>2142826.5942888116</v>
      </c>
      <c r="H4" s="4" t="s">
        <v>124</v>
      </c>
      <c r="I4" s="69" t="s">
        <v>182</v>
      </c>
    </row>
    <row r="5" spans="2:9" ht="29" x14ac:dyDescent="0.35">
      <c r="B5" s="4" t="s">
        <v>147</v>
      </c>
      <c r="C5" s="49">
        <f>C3*1.05^2</f>
        <v>2055354.5040586339</v>
      </c>
      <c r="D5">
        <f>D3*1.05^2</f>
        <v>1791730.9222396589</v>
      </c>
      <c r="E5">
        <f>E3*1.05^2</f>
        <v>2249967.9240032523</v>
      </c>
      <c r="H5" s="4" t="s">
        <v>125</v>
      </c>
      <c r="I5" s="69" t="s">
        <v>183</v>
      </c>
    </row>
    <row r="6" spans="2:9" ht="29" x14ac:dyDescent="0.35">
      <c r="B6" s="4" t="s">
        <v>68</v>
      </c>
      <c r="C6" s="13">
        <f>SUM(C3:C5)</f>
        <v>5877102.1079771817</v>
      </c>
      <c r="D6" s="13">
        <f>SUM(D3:D5)</f>
        <v>5123294.0883088652</v>
      </c>
      <c r="E6" s="13">
        <f>SUM(E3:E5)</f>
        <v>6433581.7509480752</v>
      </c>
      <c r="H6" s="4" t="s">
        <v>136</v>
      </c>
      <c r="I6" s="69" t="s">
        <v>184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4"/>
  <sheetViews>
    <sheetView zoomScale="85" zoomScaleNormal="85" workbookViewId="0">
      <selection activeCell="C5" sqref="C5:D12"/>
    </sheetView>
  </sheetViews>
  <sheetFormatPr defaultRowHeight="14.5" x14ac:dyDescent="0.35"/>
  <cols>
    <col min="3" max="3" width="22.453125" bestFit="1" customWidth="1"/>
    <col min="4" max="4" width="19.08984375" customWidth="1"/>
    <col min="5" max="5" width="13.26953125" customWidth="1"/>
    <col min="6" max="6" width="17.90625" customWidth="1"/>
    <col min="7" max="8" width="17.453125" customWidth="1"/>
    <col min="9" max="9" width="13.54296875" bestFit="1" customWidth="1"/>
    <col min="10" max="10" width="15.36328125" customWidth="1"/>
  </cols>
  <sheetData>
    <row r="3" spans="1:10" x14ac:dyDescent="0.35">
      <c r="C3" s="70" t="s">
        <v>85</v>
      </c>
      <c r="D3" s="71"/>
      <c r="F3" s="4" t="s">
        <v>94</v>
      </c>
      <c r="G3" s="4" t="s">
        <v>16</v>
      </c>
      <c r="H3" s="4" t="s">
        <v>18</v>
      </c>
      <c r="I3" s="4" t="s">
        <v>55</v>
      </c>
      <c r="J3" s="44" t="s">
        <v>95</v>
      </c>
    </row>
    <row r="4" spans="1:10" x14ac:dyDescent="0.35">
      <c r="B4" t="s">
        <v>84</v>
      </c>
      <c r="C4" s="17" t="s">
        <v>36</v>
      </c>
      <c r="D4" s="6" t="s">
        <v>83</v>
      </c>
      <c r="F4" s="38">
        <v>5000</v>
      </c>
      <c r="G4" s="29">
        <f>$D$12</f>
        <v>19026.507251492902</v>
      </c>
      <c r="H4" s="29">
        <f>F4*$D$20</f>
        <v>110000.40045188664</v>
      </c>
      <c r="I4" s="29">
        <f>G4+H4</f>
        <v>129026.90770337955</v>
      </c>
      <c r="J4" s="41">
        <f>I4/F4</f>
        <v>25.80538154067591</v>
      </c>
    </row>
    <row r="5" spans="1:10" ht="15.5" x14ac:dyDescent="0.35">
      <c r="A5" s="7"/>
      <c r="B5">
        <v>1</v>
      </c>
      <c r="C5" s="3" t="s">
        <v>6</v>
      </c>
      <c r="D5" s="19">
        <f>660/14.1074</f>
        <v>46.783957355714023</v>
      </c>
      <c r="F5" s="38">
        <v>10000</v>
      </c>
      <c r="G5" s="29">
        <f t="shared" ref="G5:G17" si="0">$D$12</f>
        <v>19026.507251492902</v>
      </c>
      <c r="H5" s="29">
        <f t="shared" ref="H5:H17" si="1">F5*$D$20</f>
        <v>220000.80090377328</v>
      </c>
      <c r="I5" s="29">
        <f t="shared" ref="I5:I17" si="2">G5+H5</f>
        <v>239027.30815526619</v>
      </c>
      <c r="J5" s="41">
        <f t="shared" ref="J5:J17" si="3">I5/F5</f>
        <v>23.90273081552662</v>
      </c>
    </row>
    <row r="6" spans="1:10" ht="15.5" x14ac:dyDescent="0.35">
      <c r="A6" s="11"/>
      <c r="B6">
        <v>2</v>
      </c>
      <c r="C6" s="3" t="s">
        <v>9</v>
      </c>
      <c r="D6" s="19"/>
      <c r="F6" s="38">
        <v>15000</v>
      </c>
      <c r="G6" s="29">
        <f t="shared" si="0"/>
        <v>19026.507251492902</v>
      </c>
      <c r="H6" s="29">
        <f t="shared" si="1"/>
        <v>330001.20135565993</v>
      </c>
      <c r="I6" s="29">
        <f t="shared" si="2"/>
        <v>349027.7086071528</v>
      </c>
      <c r="J6" s="41">
        <f t="shared" si="3"/>
        <v>23.268513907143522</v>
      </c>
    </row>
    <row r="7" spans="1:10" ht="15.5" x14ac:dyDescent="0.35">
      <c r="A7" s="8"/>
      <c r="B7">
        <v>3</v>
      </c>
      <c r="C7" s="3" t="s">
        <v>10</v>
      </c>
      <c r="D7" s="20">
        <f>15000/14.1074</f>
        <v>1063.2717580844096</v>
      </c>
      <c r="F7" s="38">
        <v>20000</v>
      </c>
      <c r="G7" s="29">
        <f t="shared" si="0"/>
        <v>19026.507251492902</v>
      </c>
      <c r="H7" s="29">
        <f t="shared" si="1"/>
        <v>440001.60180754657</v>
      </c>
      <c r="I7" s="29">
        <f t="shared" si="2"/>
        <v>459028.10905903945</v>
      </c>
      <c r="J7" s="41">
        <f t="shared" si="3"/>
        <v>22.951405452951974</v>
      </c>
    </row>
    <row r="8" spans="1:10" ht="15.5" x14ac:dyDescent="0.35">
      <c r="A8" s="10"/>
      <c r="B8">
        <v>4</v>
      </c>
      <c r="C8" s="3" t="s">
        <v>49</v>
      </c>
      <c r="D8" s="19"/>
      <c r="F8" s="38">
        <v>25000</v>
      </c>
      <c r="G8" s="29">
        <f t="shared" si="0"/>
        <v>19026.507251492902</v>
      </c>
      <c r="H8" s="29">
        <f t="shared" si="1"/>
        <v>550002.00225943315</v>
      </c>
      <c r="I8" s="29">
        <f t="shared" si="2"/>
        <v>569028.50951092609</v>
      </c>
      <c r="J8" s="41">
        <f t="shared" si="3"/>
        <v>22.761140380437045</v>
      </c>
    </row>
    <row r="9" spans="1:10" ht="15.5" x14ac:dyDescent="0.35">
      <c r="A9" s="9"/>
      <c r="B9">
        <v>5</v>
      </c>
      <c r="C9" s="3" t="s">
        <v>13</v>
      </c>
      <c r="D9" s="19">
        <f>Labour!G9</f>
        <v>17032.33763840254</v>
      </c>
      <c r="F9" s="38">
        <v>30000</v>
      </c>
      <c r="G9" s="29">
        <f t="shared" si="0"/>
        <v>19026.507251492902</v>
      </c>
      <c r="H9" s="29">
        <f t="shared" si="1"/>
        <v>660002.40271131985</v>
      </c>
      <c r="I9" s="29">
        <f t="shared" si="2"/>
        <v>679028.90996281279</v>
      </c>
      <c r="J9" s="41">
        <f t="shared" si="3"/>
        <v>22.634296998760426</v>
      </c>
    </row>
    <row r="10" spans="1:10" ht="15.5" x14ac:dyDescent="0.35">
      <c r="A10" s="10"/>
      <c r="B10">
        <v>6</v>
      </c>
      <c r="C10" s="3" t="s">
        <v>17</v>
      </c>
      <c r="D10" s="19">
        <f>7020/14.1074</f>
        <v>497.61118278350369</v>
      </c>
      <c r="F10" s="38">
        <v>35000</v>
      </c>
      <c r="G10" s="29">
        <f t="shared" si="0"/>
        <v>19026.507251492902</v>
      </c>
      <c r="H10" s="29">
        <f t="shared" si="1"/>
        <v>770002.80316320644</v>
      </c>
      <c r="I10" s="29">
        <f t="shared" si="2"/>
        <v>789029.31041469937</v>
      </c>
      <c r="J10" s="41">
        <f t="shared" si="3"/>
        <v>22.543694583277126</v>
      </c>
    </row>
    <row r="11" spans="1:10" ht="15.5" x14ac:dyDescent="0.35">
      <c r="A11" s="8"/>
      <c r="B11">
        <v>7</v>
      </c>
      <c r="C11" s="3" t="s">
        <v>75</v>
      </c>
      <c r="D11" s="19">
        <f>'Mobile Clinic'!E10</f>
        <v>386.50271486673216</v>
      </c>
      <c r="F11" s="38">
        <v>40000</v>
      </c>
      <c r="G11" s="29">
        <f t="shared" si="0"/>
        <v>19026.507251492902</v>
      </c>
      <c r="H11" s="29">
        <f t="shared" si="1"/>
        <v>880003.20361509314</v>
      </c>
      <c r="I11" s="29">
        <f t="shared" si="2"/>
        <v>899029.71086658607</v>
      </c>
      <c r="J11" s="41">
        <f t="shared" si="3"/>
        <v>22.475742771664653</v>
      </c>
    </row>
    <row r="12" spans="1:10" ht="15" x14ac:dyDescent="0.35">
      <c r="A12" s="9"/>
      <c r="B12">
        <v>8</v>
      </c>
      <c r="C12" s="24" t="s">
        <v>89</v>
      </c>
      <c r="D12" s="25">
        <f>SUM(D5:D11)</f>
        <v>19026.507251492902</v>
      </c>
      <c r="F12" s="38">
        <v>45000</v>
      </c>
      <c r="G12" s="29">
        <f t="shared" si="0"/>
        <v>19026.507251492902</v>
      </c>
      <c r="H12" s="29">
        <f t="shared" si="1"/>
        <v>990003.60406697972</v>
      </c>
      <c r="I12" s="29">
        <f t="shared" si="2"/>
        <v>1009030.1113184727</v>
      </c>
      <c r="J12" s="41">
        <f t="shared" si="3"/>
        <v>22.422891362632726</v>
      </c>
    </row>
    <row r="13" spans="1:10" x14ac:dyDescent="0.35">
      <c r="A13" s="7"/>
      <c r="F13" s="38">
        <v>50000</v>
      </c>
      <c r="G13" s="29">
        <f t="shared" si="0"/>
        <v>19026.507251492902</v>
      </c>
      <c r="H13" s="29">
        <f t="shared" si="1"/>
        <v>1100004.0045188663</v>
      </c>
      <c r="I13" s="29">
        <f t="shared" si="2"/>
        <v>1119030.5117703592</v>
      </c>
      <c r="J13" s="41">
        <f t="shared" si="3"/>
        <v>22.380610235407186</v>
      </c>
    </row>
    <row r="14" spans="1:10" x14ac:dyDescent="0.35">
      <c r="A14" s="7"/>
      <c r="C14" s="70" t="s">
        <v>90</v>
      </c>
      <c r="D14" s="71"/>
      <c r="F14" s="38">
        <v>55000</v>
      </c>
      <c r="G14" s="29">
        <f t="shared" si="0"/>
        <v>19026.507251492902</v>
      </c>
      <c r="H14" s="29">
        <f t="shared" si="1"/>
        <v>1210004.404970753</v>
      </c>
      <c r="I14" s="29">
        <f t="shared" si="2"/>
        <v>1229030.9122222459</v>
      </c>
      <c r="J14" s="41">
        <f t="shared" si="3"/>
        <v>22.346016585859019</v>
      </c>
    </row>
    <row r="15" spans="1:10" ht="15.5" x14ac:dyDescent="0.35">
      <c r="A15" s="7"/>
      <c r="C15" s="3" t="s">
        <v>3</v>
      </c>
      <c r="D15" s="5">
        <f>'PZQ and ALB'!K3</f>
        <v>9.5590493877917471</v>
      </c>
      <c r="F15" s="38">
        <v>60000</v>
      </c>
      <c r="G15" s="29">
        <f t="shared" si="0"/>
        <v>19026.507251492902</v>
      </c>
      <c r="H15" s="29">
        <f t="shared" si="1"/>
        <v>1320004.8054226397</v>
      </c>
      <c r="I15" s="29">
        <f t="shared" si="2"/>
        <v>1339031.3126741326</v>
      </c>
      <c r="J15" s="41">
        <f t="shared" si="3"/>
        <v>22.317188544568879</v>
      </c>
    </row>
    <row r="16" spans="1:10" ht="15.5" x14ac:dyDescent="0.35">
      <c r="A16" s="7"/>
      <c r="C16" s="26" t="s">
        <v>7</v>
      </c>
      <c r="D16" s="9">
        <f>30/14.1074</f>
        <v>2.1265435161688191</v>
      </c>
      <c r="F16" s="38">
        <v>65000</v>
      </c>
      <c r="G16" s="29">
        <f t="shared" si="0"/>
        <v>19026.507251492902</v>
      </c>
      <c r="H16" s="29">
        <f t="shared" si="1"/>
        <v>1430005.2058745262</v>
      </c>
      <c r="I16" s="29">
        <f t="shared" si="2"/>
        <v>1449031.7131260191</v>
      </c>
      <c r="J16" s="41">
        <f t="shared" si="3"/>
        <v>22.292795586554139</v>
      </c>
    </row>
    <row r="17" spans="1:10" ht="15.5" x14ac:dyDescent="0.35">
      <c r="A17" s="7"/>
      <c r="C17" s="3" t="s">
        <v>12</v>
      </c>
      <c r="D17">
        <f>'Lab Tests'!E3</f>
        <v>6.0493074556615678</v>
      </c>
      <c r="F17" s="38">
        <v>70000</v>
      </c>
      <c r="G17" s="29">
        <f t="shared" si="0"/>
        <v>19026.507251492902</v>
      </c>
      <c r="H17" s="29">
        <f t="shared" si="1"/>
        <v>1540005.6063264129</v>
      </c>
      <c r="I17" s="29">
        <f t="shared" si="2"/>
        <v>1559032.1135779058</v>
      </c>
      <c r="J17" s="41">
        <f t="shared" si="3"/>
        <v>22.271887336827227</v>
      </c>
    </row>
    <row r="18" spans="1:10" ht="15.5" x14ac:dyDescent="0.35">
      <c r="A18" s="7"/>
      <c r="C18" s="3" t="s">
        <v>113</v>
      </c>
      <c r="D18">
        <f>'Mobile Clinic'!E11</f>
        <v>1.2092698417552771E-2</v>
      </c>
    </row>
    <row r="19" spans="1:10" ht="15.5" x14ac:dyDescent="0.35">
      <c r="A19" s="7"/>
      <c r="C19" s="3" t="s">
        <v>8</v>
      </c>
      <c r="D19">
        <f>60/14.1074</f>
        <v>4.2530870323376382</v>
      </c>
    </row>
    <row r="20" spans="1:10" ht="15" x14ac:dyDescent="0.35">
      <c r="C20" s="24" t="s">
        <v>68</v>
      </c>
      <c r="D20" s="19">
        <f>SUM(D15:D19)</f>
        <v>22.000080090377327</v>
      </c>
    </row>
    <row r="21" spans="1:10" ht="15.5" x14ac:dyDescent="0.35">
      <c r="C21" s="3"/>
      <c r="F21" s="4" t="s">
        <v>94</v>
      </c>
      <c r="G21" s="4" t="s">
        <v>95</v>
      </c>
    </row>
    <row r="22" spans="1:10" ht="15.5" x14ac:dyDescent="0.35">
      <c r="C22" s="3"/>
      <c r="F22">
        <v>5000</v>
      </c>
      <c r="G22" s="29">
        <v>555.10643886685</v>
      </c>
    </row>
    <row r="23" spans="1:10" ht="15.5" x14ac:dyDescent="0.35">
      <c r="C23" s="3"/>
      <c r="F23">
        <v>10000</v>
      </c>
      <c r="G23" s="29">
        <v>500.07655276675831</v>
      </c>
    </row>
    <row r="24" spans="1:10" ht="15.5" x14ac:dyDescent="0.35">
      <c r="C24" s="3"/>
      <c r="F24">
        <v>15000</v>
      </c>
      <c r="G24" s="29">
        <v>481.73325740006106</v>
      </c>
    </row>
    <row r="25" spans="1:10" ht="15.5" thickBot="1" x14ac:dyDescent="0.4">
      <c r="D25" s="57"/>
      <c r="F25">
        <v>20000</v>
      </c>
      <c r="G25" s="29">
        <v>472.56160971671238</v>
      </c>
    </row>
    <row r="26" spans="1:10" ht="15.5" thickBot="1" x14ac:dyDescent="0.4">
      <c r="C26" s="1" t="s">
        <v>0</v>
      </c>
      <c r="D26" s="2" t="s">
        <v>1</v>
      </c>
      <c r="E26" s="57"/>
      <c r="F26">
        <v>25000</v>
      </c>
      <c r="G26" s="29">
        <v>467.0586211067033</v>
      </c>
    </row>
    <row r="27" spans="1:10" ht="16" thickBot="1" x14ac:dyDescent="0.4">
      <c r="C27" s="3" t="s">
        <v>3</v>
      </c>
      <c r="D27" s="3" t="s">
        <v>5</v>
      </c>
      <c r="E27" s="2" t="s">
        <v>2</v>
      </c>
      <c r="F27">
        <v>30000</v>
      </c>
      <c r="G27" s="29">
        <v>463.38996203336382</v>
      </c>
    </row>
    <row r="28" spans="1:10" ht="15.5" x14ac:dyDescent="0.35">
      <c r="C28" s="3" t="s">
        <v>6</v>
      </c>
      <c r="D28" s="3" t="s">
        <v>4</v>
      </c>
      <c r="E28" s="3" t="s">
        <v>4</v>
      </c>
      <c r="F28">
        <v>35000</v>
      </c>
      <c r="G28" s="29">
        <v>460.7694912666928</v>
      </c>
    </row>
    <row r="29" spans="1:10" ht="15.5" x14ac:dyDescent="0.35">
      <c r="C29" s="3" t="s">
        <v>7</v>
      </c>
      <c r="D29" s="3" t="s">
        <v>5</v>
      </c>
      <c r="E29" s="3" t="s">
        <v>5</v>
      </c>
      <c r="F29">
        <v>40000</v>
      </c>
      <c r="G29" s="29">
        <v>458.80413819168956</v>
      </c>
    </row>
    <row r="30" spans="1:10" ht="15.5" x14ac:dyDescent="0.35">
      <c r="C30" s="3" t="s">
        <v>8</v>
      </c>
      <c r="D30" s="3" t="s">
        <v>4</v>
      </c>
      <c r="E30" s="3" t="s">
        <v>4</v>
      </c>
      <c r="F30">
        <v>45000</v>
      </c>
      <c r="G30" s="29">
        <v>457.27553024446473</v>
      </c>
    </row>
    <row r="31" spans="1:10" ht="15.5" x14ac:dyDescent="0.35">
      <c r="C31" s="3" t="s">
        <v>9</v>
      </c>
      <c r="D31" s="3" t="s">
        <v>4</v>
      </c>
      <c r="E31" s="3" t="s">
        <v>5</v>
      </c>
      <c r="F31">
        <v>50000</v>
      </c>
      <c r="G31" s="29">
        <v>456.05264388668502</v>
      </c>
    </row>
    <row r="32" spans="1:10" ht="15.5" x14ac:dyDescent="0.35">
      <c r="C32" s="3" t="s">
        <v>10</v>
      </c>
      <c r="D32" s="3" t="s">
        <v>4</v>
      </c>
      <c r="E32" s="3" t="s">
        <v>5</v>
      </c>
      <c r="F32">
        <v>55000</v>
      </c>
      <c r="G32" s="29">
        <v>455.05210050304697</v>
      </c>
    </row>
    <row r="33" spans="3:7" ht="15.5" x14ac:dyDescent="0.35">
      <c r="C33" s="3" t="s">
        <v>11</v>
      </c>
      <c r="D33" s="3" t="s">
        <v>4</v>
      </c>
      <c r="E33" s="3" t="s">
        <v>5</v>
      </c>
      <c r="F33">
        <v>60000</v>
      </c>
      <c r="G33" s="29">
        <v>454.21831435001525</v>
      </c>
    </row>
    <row r="34" spans="3:7" ht="15.5" x14ac:dyDescent="0.35">
      <c r="C34" s="3" t="s">
        <v>12</v>
      </c>
      <c r="D34" s="3" t="s">
        <v>5</v>
      </c>
      <c r="E34" s="3" t="s">
        <v>5</v>
      </c>
      <c r="F34">
        <v>65000</v>
      </c>
      <c r="G34" s="29">
        <v>453.51280298975769</v>
      </c>
    </row>
    <row r="35" spans="3:7" ht="15.5" x14ac:dyDescent="0.35">
      <c r="C35" s="3" t="s">
        <v>13</v>
      </c>
      <c r="D35" s="3" t="s">
        <v>4</v>
      </c>
      <c r="E35" s="3" t="s">
        <v>4</v>
      </c>
      <c r="F35">
        <v>70000</v>
      </c>
      <c r="G35" s="29">
        <v>452.90807896667974</v>
      </c>
    </row>
    <row r="36" spans="3:7" ht="15.5" x14ac:dyDescent="0.35">
      <c r="C36" s="3" t="s">
        <v>14</v>
      </c>
      <c r="D36" s="3" t="s">
        <v>4</v>
      </c>
      <c r="E36" s="3" t="s">
        <v>5</v>
      </c>
      <c r="F36" s="3" t="s">
        <v>53</v>
      </c>
    </row>
    <row r="37" spans="3:7" ht="15.5" x14ac:dyDescent="0.35">
      <c r="C37" s="3" t="s">
        <v>15</v>
      </c>
      <c r="D37" s="3" t="s">
        <v>4</v>
      </c>
      <c r="E37" s="3" t="s">
        <v>5</v>
      </c>
      <c r="F37" s="3" t="s">
        <v>54</v>
      </c>
    </row>
    <row r="38" spans="3:7" ht="15.5" x14ac:dyDescent="0.35">
      <c r="C38" s="3" t="s">
        <v>48</v>
      </c>
      <c r="E38" s="3" t="s">
        <v>5</v>
      </c>
      <c r="F38" s="22" t="s">
        <v>87</v>
      </c>
    </row>
    <row r="39" spans="3:7" ht="15.5" x14ac:dyDescent="0.35">
      <c r="F39" s="3" t="s">
        <v>74</v>
      </c>
    </row>
    <row r="40" spans="3:7" x14ac:dyDescent="0.35">
      <c r="C40" s="4" t="s">
        <v>76</v>
      </c>
    </row>
    <row r="41" spans="3:7" x14ac:dyDescent="0.35">
      <c r="C41" s="28" t="s">
        <v>91</v>
      </c>
    </row>
    <row r="42" spans="3:7" x14ac:dyDescent="0.35">
      <c r="C42" s="5" t="s">
        <v>92</v>
      </c>
      <c r="E42">
        <v>94000</v>
      </c>
    </row>
    <row r="43" spans="3:7" x14ac:dyDescent="0.35">
      <c r="C43" t="s">
        <v>93</v>
      </c>
      <c r="E43" s="27">
        <v>0.7</v>
      </c>
    </row>
    <row r="44" spans="3:7" x14ac:dyDescent="0.35">
      <c r="E44">
        <f>E42*E43</f>
        <v>65800</v>
      </c>
    </row>
  </sheetData>
  <mergeCells count="2">
    <mergeCell ref="C3:D3"/>
    <mergeCell ref="C14:D14"/>
  </mergeCells>
  <hyperlinks>
    <hyperlink ref="F38" r:id="rId1"/>
  </hyperlinks>
  <pageMargins left="0.7" right="0.7" top="0.75" bottom="0.75" header="0.3" footer="0.3"/>
  <pageSetup orientation="portrait" horizontalDpi="1200" verticalDpi="1200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44"/>
  <sheetViews>
    <sheetView topLeftCell="A2" workbookViewId="0">
      <selection activeCell="E20" sqref="E20"/>
    </sheetView>
  </sheetViews>
  <sheetFormatPr defaultRowHeight="14.5" x14ac:dyDescent="0.35"/>
  <cols>
    <col min="3" max="3" width="28.6328125" bestFit="1" customWidth="1"/>
    <col min="4" max="4" width="17.1796875" customWidth="1"/>
    <col min="7" max="7" width="14.6328125" customWidth="1"/>
    <col min="8" max="8" width="12.7265625" bestFit="1" customWidth="1"/>
    <col min="9" max="9" width="11" bestFit="1" customWidth="1"/>
  </cols>
  <sheetData>
    <row r="3" spans="2:10" x14ac:dyDescent="0.35">
      <c r="C3" s="70" t="s">
        <v>85</v>
      </c>
      <c r="D3" s="71"/>
      <c r="F3" s="4" t="s">
        <v>94</v>
      </c>
      <c r="G3" s="4" t="s">
        <v>16</v>
      </c>
      <c r="H3" s="4" t="s">
        <v>18</v>
      </c>
      <c r="I3" s="4" t="s">
        <v>55</v>
      </c>
      <c r="J3" s="44" t="s">
        <v>95</v>
      </c>
    </row>
    <row r="4" spans="2:10" x14ac:dyDescent="0.35">
      <c r="B4" t="s">
        <v>84</v>
      </c>
      <c r="C4" s="17" t="s">
        <v>36</v>
      </c>
      <c r="D4" s="6" t="s">
        <v>83</v>
      </c>
      <c r="F4" s="38">
        <v>5000</v>
      </c>
      <c r="G4" s="29">
        <f>$D$12</f>
        <v>17506.985582014473</v>
      </c>
      <c r="H4" s="29">
        <f>F4*$D$20</f>
        <v>110000.40045188664</v>
      </c>
      <c r="I4" s="29">
        <f>G4+H4</f>
        <v>127507.38603390112</v>
      </c>
      <c r="J4" s="41">
        <f>I4/F4</f>
        <v>25.501477206780223</v>
      </c>
    </row>
    <row r="5" spans="2:10" ht="15.5" x14ac:dyDescent="0.35">
      <c r="B5">
        <v>1</v>
      </c>
      <c r="C5" s="3" t="s">
        <v>6</v>
      </c>
      <c r="D5" s="19">
        <f>660/14.1074</f>
        <v>46.783957355714023</v>
      </c>
      <c r="F5" s="38">
        <v>10000</v>
      </c>
      <c r="G5" s="29">
        <f t="shared" ref="G5:G17" si="0">$D$12</f>
        <v>17506.985582014473</v>
      </c>
      <c r="H5" s="29">
        <f t="shared" ref="H5:H17" si="1">F5*$D$20</f>
        <v>220000.80090377328</v>
      </c>
      <c r="I5" s="29">
        <f t="shared" ref="I5:I17" si="2">G5+H5</f>
        <v>237507.78648578777</v>
      </c>
      <c r="J5" s="41">
        <f t="shared" ref="J5:J17" si="3">I5/F5</f>
        <v>23.750778648578777</v>
      </c>
    </row>
    <row r="6" spans="2:10" ht="15.5" x14ac:dyDescent="0.35">
      <c r="B6">
        <v>2</v>
      </c>
      <c r="C6" s="3" t="s">
        <v>9</v>
      </c>
      <c r="D6" s="19"/>
      <c r="F6" s="38">
        <v>15000</v>
      </c>
      <c r="G6" s="29">
        <f t="shared" si="0"/>
        <v>17506.985582014473</v>
      </c>
      <c r="H6" s="29">
        <f t="shared" si="1"/>
        <v>330001.20135565993</v>
      </c>
      <c r="I6" s="29">
        <f t="shared" si="2"/>
        <v>347508.18693767441</v>
      </c>
      <c r="J6" s="41">
        <f t="shared" si="3"/>
        <v>23.167212462511628</v>
      </c>
    </row>
    <row r="7" spans="2:10" ht="15.5" x14ac:dyDescent="0.35">
      <c r="B7">
        <v>3</v>
      </c>
      <c r="C7" s="3" t="s">
        <v>10</v>
      </c>
      <c r="D7" s="20">
        <f>15000/14.1074</f>
        <v>1063.2717580844096</v>
      </c>
      <c r="F7" s="38">
        <v>20000</v>
      </c>
      <c r="G7" s="29">
        <f t="shared" si="0"/>
        <v>17506.985582014473</v>
      </c>
      <c r="H7" s="29">
        <f t="shared" si="1"/>
        <v>440001.60180754657</v>
      </c>
      <c r="I7" s="29">
        <f t="shared" si="2"/>
        <v>457508.58738956106</v>
      </c>
      <c r="J7" s="41">
        <f t="shared" si="3"/>
        <v>22.875429369478052</v>
      </c>
    </row>
    <row r="8" spans="2:10" ht="15.5" x14ac:dyDescent="0.35">
      <c r="B8">
        <v>4</v>
      </c>
      <c r="C8" s="3" t="s">
        <v>49</v>
      </c>
      <c r="D8" s="19"/>
      <c r="F8" s="38">
        <v>25000</v>
      </c>
      <c r="G8" s="29">
        <f t="shared" si="0"/>
        <v>17506.985582014473</v>
      </c>
      <c r="H8" s="29">
        <f t="shared" si="1"/>
        <v>550002.00225943315</v>
      </c>
      <c r="I8" s="29">
        <f t="shared" si="2"/>
        <v>567508.98784144758</v>
      </c>
      <c r="J8" s="41">
        <f t="shared" si="3"/>
        <v>22.700359513657904</v>
      </c>
    </row>
    <row r="9" spans="2:10" ht="15.5" x14ac:dyDescent="0.35">
      <c r="B9">
        <v>5</v>
      </c>
      <c r="C9" s="3" t="s">
        <v>13</v>
      </c>
      <c r="D9" s="19">
        <f>Labour!I9</f>
        <v>15512.815968924111</v>
      </c>
      <c r="F9" s="38">
        <v>30000</v>
      </c>
      <c r="G9" s="29">
        <f t="shared" si="0"/>
        <v>17506.985582014473</v>
      </c>
      <c r="H9" s="29">
        <f t="shared" si="1"/>
        <v>660002.40271131985</v>
      </c>
      <c r="I9" s="29">
        <f t="shared" si="2"/>
        <v>677509.38829333428</v>
      </c>
      <c r="J9" s="41">
        <f t="shared" si="3"/>
        <v>22.583646276444476</v>
      </c>
    </row>
    <row r="10" spans="2:10" ht="15.5" x14ac:dyDescent="0.35">
      <c r="B10">
        <v>6</v>
      </c>
      <c r="C10" s="3" t="s">
        <v>17</v>
      </c>
      <c r="D10" s="19">
        <f>7020/14.1074</f>
        <v>497.61118278350369</v>
      </c>
      <c r="F10" s="38">
        <v>35000</v>
      </c>
      <c r="G10" s="29">
        <f t="shared" si="0"/>
        <v>17506.985582014473</v>
      </c>
      <c r="H10" s="29">
        <f t="shared" si="1"/>
        <v>770002.80316320644</v>
      </c>
      <c r="I10" s="29">
        <f t="shared" si="2"/>
        <v>787509.78874522087</v>
      </c>
      <c r="J10" s="41">
        <f t="shared" si="3"/>
        <v>22.500279678434882</v>
      </c>
    </row>
    <row r="11" spans="2:10" ht="15.5" x14ac:dyDescent="0.35">
      <c r="B11">
        <v>7</v>
      </c>
      <c r="C11" s="3" t="s">
        <v>75</v>
      </c>
      <c r="D11" s="19">
        <f>'Mobile Clinic'!E10</f>
        <v>386.50271486673216</v>
      </c>
      <c r="F11" s="38">
        <v>40000</v>
      </c>
      <c r="G11" s="29">
        <f t="shared" si="0"/>
        <v>17506.985582014473</v>
      </c>
      <c r="H11" s="29">
        <f t="shared" si="1"/>
        <v>880003.20361509314</v>
      </c>
      <c r="I11" s="29">
        <f t="shared" si="2"/>
        <v>897510.18919710757</v>
      </c>
      <c r="J11" s="41">
        <f t="shared" si="3"/>
        <v>22.43775472992769</v>
      </c>
    </row>
    <row r="12" spans="2:10" ht="15" x14ac:dyDescent="0.35">
      <c r="B12">
        <v>8</v>
      </c>
      <c r="C12" s="24" t="s">
        <v>89</v>
      </c>
      <c r="D12" s="25">
        <f>SUM(D5:D11)</f>
        <v>17506.985582014473</v>
      </c>
      <c r="F12" s="38">
        <v>45000</v>
      </c>
      <c r="G12" s="29">
        <f t="shared" si="0"/>
        <v>17506.985582014473</v>
      </c>
      <c r="H12" s="29">
        <f t="shared" si="1"/>
        <v>990003.60406697972</v>
      </c>
      <c r="I12" s="29">
        <f t="shared" si="2"/>
        <v>1007510.5896489942</v>
      </c>
      <c r="J12" s="41">
        <f t="shared" si="3"/>
        <v>22.389124214422093</v>
      </c>
    </row>
    <row r="13" spans="2:10" x14ac:dyDescent="0.35">
      <c r="F13" s="38">
        <v>50000</v>
      </c>
      <c r="G13" s="29">
        <f t="shared" si="0"/>
        <v>17506.985582014473</v>
      </c>
      <c r="H13" s="29">
        <f t="shared" si="1"/>
        <v>1100004.0045188663</v>
      </c>
      <c r="I13" s="29">
        <f t="shared" si="2"/>
        <v>1117510.9901008809</v>
      </c>
      <c r="J13" s="41">
        <f t="shared" si="3"/>
        <v>22.350219802017616</v>
      </c>
    </row>
    <row r="14" spans="2:10" x14ac:dyDescent="0.35">
      <c r="C14" s="70" t="s">
        <v>90</v>
      </c>
      <c r="D14" s="71"/>
      <c r="F14" s="38">
        <v>55000</v>
      </c>
      <c r="G14" s="29">
        <f t="shared" si="0"/>
        <v>17506.985582014473</v>
      </c>
      <c r="H14" s="29">
        <f t="shared" si="1"/>
        <v>1210004.404970753</v>
      </c>
      <c r="I14" s="29">
        <f t="shared" si="2"/>
        <v>1227511.3905527676</v>
      </c>
      <c r="J14" s="41">
        <f t="shared" si="3"/>
        <v>22.318388919141228</v>
      </c>
    </row>
    <row r="15" spans="2:10" ht="15.5" x14ac:dyDescent="0.35">
      <c r="C15" s="3" t="s">
        <v>3</v>
      </c>
      <c r="D15" s="5">
        <f>'PZQ and ALB'!K3</f>
        <v>9.5590493877917471</v>
      </c>
      <c r="F15" s="38">
        <v>60000</v>
      </c>
      <c r="G15" s="29">
        <f t="shared" si="0"/>
        <v>17506.985582014473</v>
      </c>
      <c r="H15" s="29">
        <f t="shared" si="1"/>
        <v>1320004.8054226397</v>
      </c>
      <c r="I15" s="29">
        <f t="shared" si="2"/>
        <v>1337511.7910046543</v>
      </c>
      <c r="J15" s="41">
        <f t="shared" si="3"/>
        <v>22.291863183410904</v>
      </c>
    </row>
    <row r="16" spans="2:10" ht="15.5" x14ac:dyDescent="0.35">
      <c r="C16" s="26" t="s">
        <v>7</v>
      </c>
      <c r="D16" s="9">
        <f>30/14.1074</f>
        <v>2.1265435161688191</v>
      </c>
      <c r="F16" s="38">
        <v>65000</v>
      </c>
      <c r="G16" s="29">
        <f t="shared" si="0"/>
        <v>17506.985582014473</v>
      </c>
      <c r="H16" s="29">
        <f t="shared" si="1"/>
        <v>1430005.2058745262</v>
      </c>
      <c r="I16" s="29">
        <f t="shared" si="2"/>
        <v>1447512.1914565407</v>
      </c>
      <c r="J16" s="41">
        <f t="shared" si="3"/>
        <v>22.269418330100628</v>
      </c>
    </row>
    <row r="17" spans="3:10" ht="15.5" x14ac:dyDescent="0.35">
      <c r="C17" s="3" t="s">
        <v>12</v>
      </c>
      <c r="D17">
        <f>'Lab Tests'!E3</f>
        <v>6.0493074556615678</v>
      </c>
      <c r="F17" s="38">
        <v>70000</v>
      </c>
      <c r="G17" s="29">
        <f t="shared" si="0"/>
        <v>17506.985582014473</v>
      </c>
      <c r="H17" s="29">
        <f t="shared" si="1"/>
        <v>1540005.6063264129</v>
      </c>
      <c r="I17" s="29">
        <f t="shared" si="2"/>
        <v>1557512.5919084274</v>
      </c>
      <c r="J17" s="41">
        <f t="shared" si="3"/>
        <v>22.250179884406105</v>
      </c>
    </row>
    <row r="18" spans="3:10" ht="15.5" x14ac:dyDescent="0.35">
      <c r="C18" s="3" t="s">
        <v>86</v>
      </c>
      <c r="D18">
        <f>'Mobile Clinic'!E11</f>
        <v>1.2092698417552771E-2</v>
      </c>
    </row>
    <row r="19" spans="3:10" ht="15.5" x14ac:dyDescent="0.35">
      <c r="C19" s="3" t="s">
        <v>8</v>
      </c>
      <c r="D19">
        <f>60/14.1074</f>
        <v>4.2530870323376382</v>
      </c>
    </row>
    <row r="20" spans="3:10" ht="15" x14ac:dyDescent="0.35">
      <c r="C20" s="24" t="s">
        <v>68</v>
      </c>
      <c r="D20" s="19">
        <f>SUM(D15:D19)</f>
        <v>22.000080090377327</v>
      </c>
    </row>
    <row r="21" spans="3:10" ht="15.5" x14ac:dyDescent="0.35">
      <c r="C21" s="3"/>
      <c r="F21" s="4" t="s">
        <v>94</v>
      </c>
      <c r="G21" s="4" t="s">
        <v>95</v>
      </c>
    </row>
    <row r="22" spans="3:10" ht="15.5" x14ac:dyDescent="0.35">
      <c r="C22" s="3"/>
      <c r="F22">
        <v>5000</v>
      </c>
      <c r="G22" s="29">
        <v>555.10643886685</v>
      </c>
    </row>
    <row r="23" spans="3:10" ht="15.5" x14ac:dyDescent="0.35">
      <c r="C23" s="3"/>
      <c r="F23">
        <v>10000</v>
      </c>
      <c r="G23" s="29">
        <v>500.07655276675831</v>
      </c>
    </row>
    <row r="24" spans="3:10" ht="15.5" x14ac:dyDescent="0.35">
      <c r="C24" s="3"/>
      <c r="F24">
        <v>15000</v>
      </c>
      <c r="G24" s="29">
        <v>481.73325740006106</v>
      </c>
    </row>
    <row r="25" spans="3:10" ht="15.5" thickBot="1" x14ac:dyDescent="0.4">
      <c r="D25" s="57"/>
      <c r="F25">
        <v>20000</v>
      </c>
      <c r="G25" s="29">
        <v>472.56160971671238</v>
      </c>
    </row>
    <row r="26" spans="3:10" ht="15.5" thickBot="1" x14ac:dyDescent="0.4">
      <c r="C26" s="1" t="s">
        <v>0</v>
      </c>
      <c r="D26" s="2" t="s">
        <v>1</v>
      </c>
      <c r="E26" s="57"/>
      <c r="F26">
        <v>25000</v>
      </c>
      <c r="G26" s="29">
        <v>467.0586211067033</v>
      </c>
    </row>
    <row r="27" spans="3:10" ht="16" thickBot="1" x14ac:dyDescent="0.4">
      <c r="C27" s="3" t="s">
        <v>3</v>
      </c>
      <c r="D27" s="3" t="s">
        <v>5</v>
      </c>
      <c r="E27" s="2" t="s">
        <v>2</v>
      </c>
      <c r="F27">
        <v>30000</v>
      </c>
      <c r="G27" s="29">
        <v>463.38996203336382</v>
      </c>
    </row>
    <row r="28" spans="3:10" ht="15.5" x14ac:dyDescent="0.35">
      <c r="C28" s="3" t="s">
        <v>6</v>
      </c>
      <c r="D28" s="3" t="s">
        <v>4</v>
      </c>
      <c r="E28" s="3" t="s">
        <v>4</v>
      </c>
      <c r="F28">
        <v>35000</v>
      </c>
      <c r="G28" s="29">
        <v>460.7694912666928</v>
      </c>
    </row>
    <row r="29" spans="3:10" ht="15.5" x14ac:dyDescent="0.35">
      <c r="C29" s="3" t="s">
        <v>7</v>
      </c>
      <c r="D29" s="3" t="s">
        <v>5</v>
      </c>
      <c r="E29" s="3" t="s">
        <v>5</v>
      </c>
      <c r="F29">
        <v>40000</v>
      </c>
      <c r="G29" s="29">
        <v>458.80413819168956</v>
      </c>
    </row>
    <row r="30" spans="3:10" ht="15.5" x14ac:dyDescent="0.35">
      <c r="C30" s="3" t="s">
        <v>8</v>
      </c>
      <c r="D30" s="3" t="s">
        <v>4</v>
      </c>
      <c r="E30" s="3" t="s">
        <v>4</v>
      </c>
      <c r="F30">
        <v>45000</v>
      </c>
      <c r="G30" s="29">
        <v>457.27553024446473</v>
      </c>
    </row>
    <row r="31" spans="3:10" ht="15.5" x14ac:dyDescent="0.35">
      <c r="C31" s="3" t="s">
        <v>9</v>
      </c>
      <c r="D31" s="3" t="s">
        <v>4</v>
      </c>
      <c r="E31" s="3" t="s">
        <v>5</v>
      </c>
      <c r="F31">
        <v>50000</v>
      </c>
      <c r="G31" s="29">
        <v>456.05264388668502</v>
      </c>
    </row>
    <row r="32" spans="3:10" ht="15.5" x14ac:dyDescent="0.35">
      <c r="C32" s="3" t="s">
        <v>10</v>
      </c>
      <c r="D32" s="3" t="s">
        <v>4</v>
      </c>
      <c r="E32" s="3" t="s">
        <v>5</v>
      </c>
      <c r="F32">
        <v>55000</v>
      </c>
      <c r="G32" s="29">
        <v>455.05210050304697</v>
      </c>
    </row>
    <row r="33" spans="3:7" ht="15.5" x14ac:dyDescent="0.35">
      <c r="C33" s="3" t="s">
        <v>11</v>
      </c>
      <c r="D33" s="3" t="s">
        <v>4</v>
      </c>
      <c r="E33" s="3" t="s">
        <v>5</v>
      </c>
      <c r="F33">
        <v>60000</v>
      </c>
      <c r="G33" s="29">
        <v>454.21831435001525</v>
      </c>
    </row>
    <row r="34" spans="3:7" ht="15.5" x14ac:dyDescent="0.35">
      <c r="C34" s="3" t="s">
        <v>12</v>
      </c>
      <c r="D34" s="3" t="s">
        <v>5</v>
      </c>
      <c r="E34" s="3" t="s">
        <v>5</v>
      </c>
      <c r="F34">
        <v>65000</v>
      </c>
      <c r="G34" s="29">
        <v>453.51280298975769</v>
      </c>
    </row>
    <row r="35" spans="3:7" ht="15.5" x14ac:dyDescent="0.35">
      <c r="C35" s="3" t="s">
        <v>13</v>
      </c>
      <c r="D35" s="3" t="s">
        <v>4</v>
      </c>
      <c r="E35" s="3" t="s">
        <v>4</v>
      </c>
      <c r="F35">
        <v>70000</v>
      </c>
      <c r="G35" s="29">
        <v>452.90807896667974</v>
      </c>
    </row>
    <row r="36" spans="3:7" ht="15.5" x14ac:dyDescent="0.35">
      <c r="C36" s="3" t="s">
        <v>14</v>
      </c>
      <c r="D36" s="3" t="s">
        <v>4</v>
      </c>
      <c r="E36" s="3" t="s">
        <v>5</v>
      </c>
      <c r="F36" s="3" t="s">
        <v>53</v>
      </c>
    </row>
    <row r="37" spans="3:7" ht="15.5" x14ac:dyDescent="0.35">
      <c r="C37" s="3" t="s">
        <v>15</v>
      </c>
      <c r="D37" s="3" t="s">
        <v>4</v>
      </c>
      <c r="E37" s="3" t="s">
        <v>5</v>
      </c>
      <c r="F37" s="3" t="s">
        <v>54</v>
      </c>
    </row>
    <row r="38" spans="3:7" ht="15.5" x14ac:dyDescent="0.35">
      <c r="C38" s="3" t="s">
        <v>48</v>
      </c>
      <c r="E38" s="3" t="s">
        <v>5</v>
      </c>
      <c r="F38" s="22" t="s">
        <v>87</v>
      </c>
    </row>
    <row r="39" spans="3:7" ht="15.5" x14ac:dyDescent="0.35">
      <c r="F39" s="3" t="s">
        <v>74</v>
      </c>
    </row>
    <row r="40" spans="3:7" x14ac:dyDescent="0.35">
      <c r="C40" s="4" t="s">
        <v>76</v>
      </c>
    </row>
    <row r="41" spans="3:7" x14ac:dyDescent="0.35">
      <c r="C41" s="28" t="s">
        <v>91</v>
      </c>
    </row>
    <row r="42" spans="3:7" x14ac:dyDescent="0.35">
      <c r="C42" s="5" t="s">
        <v>92</v>
      </c>
      <c r="E42">
        <v>94000</v>
      </c>
    </row>
    <row r="43" spans="3:7" x14ac:dyDescent="0.35">
      <c r="C43" t="s">
        <v>93</v>
      </c>
      <c r="E43" s="27">
        <v>0.7</v>
      </c>
    </row>
    <row r="44" spans="3:7" x14ac:dyDescent="0.35">
      <c r="E44">
        <f>E42*E43</f>
        <v>65800</v>
      </c>
    </row>
  </sheetData>
  <mergeCells count="2">
    <mergeCell ref="C3:D3"/>
    <mergeCell ref="C14:D14"/>
  </mergeCells>
  <hyperlinks>
    <hyperlink ref="F38" r:id="rId1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44"/>
  <sheetViews>
    <sheetView topLeftCell="A2" workbookViewId="0">
      <selection activeCell="C5" sqref="C5:D12"/>
    </sheetView>
  </sheetViews>
  <sheetFormatPr defaultRowHeight="14.5" x14ac:dyDescent="0.35"/>
  <cols>
    <col min="3" max="3" width="28.6328125" bestFit="1" customWidth="1"/>
    <col min="4" max="4" width="21" customWidth="1"/>
    <col min="8" max="8" width="12.7265625" bestFit="1" customWidth="1"/>
    <col min="9" max="9" width="11" bestFit="1" customWidth="1"/>
  </cols>
  <sheetData>
    <row r="3" spans="2:10" x14ac:dyDescent="0.35">
      <c r="C3" s="70" t="s">
        <v>85</v>
      </c>
      <c r="D3" s="71"/>
      <c r="F3" s="4" t="s">
        <v>94</v>
      </c>
      <c r="G3" s="4" t="s">
        <v>16</v>
      </c>
      <c r="H3" s="4" t="s">
        <v>18</v>
      </c>
      <c r="I3" s="4" t="s">
        <v>55</v>
      </c>
      <c r="J3" s="44" t="s">
        <v>95</v>
      </c>
    </row>
    <row r="4" spans="2:10" x14ac:dyDescent="0.35">
      <c r="B4" t="s">
        <v>84</v>
      </c>
      <c r="C4" s="17" t="s">
        <v>36</v>
      </c>
      <c r="D4" s="6" t="s">
        <v>83</v>
      </c>
      <c r="F4" s="38">
        <v>5000</v>
      </c>
      <c r="G4" s="29">
        <f>$D$12</f>
        <v>13092.505869033534</v>
      </c>
      <c r="H4" s="29">
        <f>F4*$D$20</f>
        <v>110000.40045188664</v>
      </c>
      <c r="I4" s="29">
        <f>G4+H4</f>
        <v>123092.90632092017</v>
      </c>
      <c r="J4" s="41">
        <f>I4/F4</f>
        <v>24.618581264184034</v>
      </c>
    </row>
    <row r="5" spans="2:10" ht="15.5" x14ac:dyDescent="0.35">
      <c r="B5">
        <v>1</v>
      </c>
      <c r="C5" s="3" t="s">
        <v>6</v>
      </c>
      <c r="D5" s="19">
        <f>660/14.1074</f>
        <v>46.783957355714023</v>
      </c>
      <c r="F5" s="38">
        <v>10000</v>
      </c>
      <c r="G5" s="29">
        <f t="shared" ref="G5:G17" si="0">$D$12</f>
        <v>13092.505869033534</v>
      </c>
      <c r="H5" s="29">
        <f t="shared" ref="H5:H17" si="1">F5*$D$20</f>
        <v>220000.80090377328</v>
      </c>
      <c r="I5" s="29">
        <f t="shared" ref="I5:I17" si="2">G5+H5</f>
        <v>233093.30677280683</v>
      </c>
      <c r="J5" s="41">
        <f t="shared" ref="J5:J17" si="3">I5/F5</f>
        <v>23.309330677280684</v>
      </c>
    </row>
    <row r="6" spans="2:10" ht="15.5" x14ac:dyDescent="0.35">
      <c r="B6">
        <v>2</v>
      </c>
      <c r="C6" s="3" t="s">
        <v>9</v>
      </c>
      <c r="D6" s="19"/>
      <c r="F6" s="38">
        <v>15000</v>
      </c>
      <c r="G6" s="29">
        <f t="shared" si="0"/>
        <v>13092.505869033534</v>
      </c>
      <c r="H6" s="29">
        <f t="shared" si="1"/>
        <v>330001.20135565993</v>
      </c>
      <c r="I6" s="29">
        <f t="shared" si="2"/>
        <v>343093.70722469344</v>
      </c>
      <c r="J6" s="41">
        <f t="shared" si="3"/>
        <v>22.872913814979562</v>
      </c>
    </row>
    <row r="7" spans="2:10" ht="15.5" x14ac:dyDescent="0.35">
      <c r="B7">
        <v>3</v>
      </c>
      <c r="C7" s="3" t="s">
        <v>10</v>
      </c>
      <c r="D7" s="20">
        <f>15000/14.1074</f>
        <v>1063.2717580844096</v>
      </c>
      <c r="F7" s="38">
        <v>20000</v>
      </c>
      <c r="G7" s="29">
        <f t="shared" si="0"/>
        <v>13092.505869033534</v>
      </c>
      <c r="H7" s="29">
        <f t="shared" si="1"/>
        <v>440001.60180754657</v>
      </c>
      <c r="I7" s="29">
        <f t="shared" si="2"/>
        <v>453094.10767658008</v>
      </c>
      <c r="J7" s="41">
        <f t="shared" si="3"/>
        <v>22.654705383829004</v>
      </c>
    </row>
    <row r="8" spans="2:10" ht="15.5" x14ac:dyDescent="0.35">
      <c r="B8">
        <v>4</v>
      </c>
      <c r="C8" s="3" t="s">
        <v>49</v>
      </c>
      <c r="D8" s="19"/>
      <c r="F8" s="38">
        <v>25000</v>
      </c>
      <c r="G8" s="29">
        <f t="shared" si="0"/>
        <v>13092.505869033534</v>
      </c>
      <c r="H8" s="29">
        <f t="shared" si="1"/>
        <v>550002.00225943315</v>
      </c>
      <c r="I8" s="29">
        <f t="shared" si="2"/>
        <v>563094.50812846667</v>
      </c>
      <c r="J8" s="41">
        <f t="shared" si="3"/>
        <v>22.523780325138667</v>
      </c>
    </row>
    <row r="9" spans="2:10" ht="15.5" x14ac:dyDescent="0.35">
      <c r="B9">
        <v>5</v>
      </c>
      <c r="C9" s="3" t="s">
        <v>13</v>
      </c>
      <c r="D9" s="19">
        <f>Labour!K9</f>
        <v>11098.336255943175</v>
      </c>
      <c r="F9" s="38">
        <v>30000</v>
      </c>
      <c r="G9" s="29">
        <f t="shared" si="0"/>
        <v>13092.505869033534</v>
      </c>
      <c r="H9" s="29">
        <f t="shared" si="1"/>
        <v>660002.40271131985</v>
      </c>
      <c r="I9" s="29">
        <f t="shared" si="2"/>
        <v>673094.90858035337</v>
      </c>
      <c r="J9" s="41">
        <f t="shared" si="3"/>
        <v>22.436496952678446</v>
      </c>
    </row>
    <row r="10" spans="2:10" ht="15.5" x14ac:dyDescent="0.35">
      <c r="B10">
        <v>6</v>
      </c>
      <c r="C10" s="3" t="s">
        <v>17</v>
      </c>
      <c r="D10" s="19">
        <f>7020/14.1074</f>
        <v>497.61118278350369</v>
      </c>
      <c r="F10" s="38">
        <v>35000</v>
      </c>
      <c r="G10" s="29">
        <f t="shared" si="0"/>
        <v>13092.505869033534</v>
      </c>
      <c r="H10" s="29">
        <f t="shared" si="1"/>
        <v>770002.80316320644</v>
      </c>
      <c r="I10" s="29">
        <f t="shared" si="2"/>
        <v>783095.30903223995</v>
      </c>
      <c r="J10" s="41">
        <f t="shared" si="3"/>
        <v>22.374151686635429</v>
      </c>
    </row>
    <row r="11" spans="2:10" ht="15.5" x14ac:dyDescent="0.35">
      <c r="B11">
        <v>7</v>
      </c>
      <c r="C11" s="3" t="s">
        <v>75</v>
      </c>
      <c r="D11" s="19">
        <f>'Mobile Clinic'!E10</f>
        <v>386.50271486673216</v>
      </c>
      <c r="F11" s="38">
        <v>40000</v>
      </c>
      <c r="G11" s="29">
        <f t="shared" si="0"/>
        <v>13092.505869033534</v>
      </c>
      <c r="H11" s="29">
        <f t="shared" si="1"/>
        <v>880003.20361509314</v>
      </c>
      <c r="I11" s="29">
        <f t="shared" si="2"/>
        <v>893095.70948412665</v>
      </c>
      <c r="J11" s="41">
        <f t="shared" si="3"/>
        <v>22.327392737103168</v>
      </c>
    </row>
    <row r="12" spans="2:10" ht="15" x14ac:dyDescent="0.35">
      <c r="B12">
        <v>8</v>
      </c>
      <c r="C12" s="24" t="s">
        <v>89</v>
      </c>
      <c r="D12" s="25">
        <f>SUM(D5:D11)</f>
        <v>13092.505869033534</v>
      </c>
      <c r="F12" s="38">
        <v>45000</v>
      </c>
      <c r="G12" s="29">
        <f t="shared" si="0"/>
        <v>13092.505869033534</v>
      </c>
      <c r="H12" s="29">
        <f t="shared" si="1"/>
        <v>990003.60406697972</v>
      </c>
      <c r="I12" s="29">
        <f t="shared" si="2"/>
        <v>1003096.1099360132</v>
      </c>
      <c r="J12" s="41">
        <f t="shared" si="3"/>
        <v>22.291024665244738</v>
      </c>
    </row>
    <row r="13" spans="2:10" x14ac:dyDescent="0.35">
      <c r="F13" s="38">
        <v>50000</v>
      </c>
      <c r="G13" s="29">
        <f t="shared" si="0"/>
        <v>13092.505869033534</v>
      </c>
      <c r="H13" s="29">
        <f t="shared" si="1"/>
        <v>1100004.0045188663</v>
      </c>
      <c r="I13" s="29">
        <f t="shared" si="2"/>
        <v>1113096.5103878998</v>
      </c>
      <c r="J13" s="41">
        <f t="shared" si="3"/>
        <v>22.261930207757995</v>
      </c>
    </row>
    <row r="14" spans="2:10" x14ac:dyDescent="0.35">
      <c r="C14" s="70" t="s">
        <v>90</v>
      </c>
      <c r="D14" s="71"/>
      <c r="F14" s="38">
        <v>55000</v>
      </c>
      <c r="G14" s="29">
        <f t="shared" si="0"/>
        <v>13092.505869033534</v>
      </c>
      <c r="H14" s="29">
        <f t="shared" si="1"/>
        <v>1210004.404970753</v>
      </c>
      <c r="I14" s="29">
        <f t="shared" si="2"/>
        <v>1223096.9108397865</v>
      </c>
      <c r="J14" s="41">
        <f t="shared" si="3"/>
        <v>22.238125651632483</v>
      </c>
    </row>
    <row r="15" spans="2:10" ht="15.5" x14ac:dyDescent="0.35">
      <c r="C15" s="3" t="s">
        <v>3</v>
      </c>
      <c r="D15" s="5">
        <f>'PZQ and ALB'!K3</f>
        <v>9.5590493877917471</v>
      </c>
      <c r="F15" s="38">
        <v>60000</v>
      </c>
      <c r="G15" s="29">
        <f t="shared" si="0"/>
        <v>13092.505869033534</v>
      </c>
      <c r="H15" s="29">
        <f t="shared" si="1"/>
        <v>1320004.8054226397</v>
      </c>
      <c r="I15" s="29">
        <f t="shared" si="2"/>
        <v>1333097.3112916732</v>
      </c>
      <c r="J15" s="41">
        <f t="shared" si="3"/>
        <v>22.218288521527889</v>
      </c>
    </row>
    <row r="16" spans="2:10" ht="15.5" x14ac:dyDescent="0.35">
      <c r="C16" s="26" t="s">
        <v>7</v>
      </c>
      <c r="D16" s="9">
        <f>30/14.1074</f>
        <v>2.1265435161688191</v>
      </c>
      <c r="F16" s="38">
        <v>65000</v>
      </c>
      <c r="G16" s="29">
        <f t="shared" si="0"/>
        <v>13092.505869033534</v>
      </c>
      <c r="H16" s="29">
        <f t="shared" si="1"/>
        <v>1430005.2058745262</v>
      </c>
      <c r="I16" s="29">
        <f t="shared" si="2"/>
        <v>1443097.7117435597</v>
      </c>
      <c r="J16" s="41">
        <f t="shared" si="3"/>
        <v>22.201503257593227</v>
      </c>
    </row>
    <row r="17" spans="3:10" ht="15.5" x14ac:dyDescent="0.35">
      <c r="C17" s="3" t="s">
        <v>12</v>
      </c>
      <c r="D17">
        <f>'Lab Tests'!E3</f>
        <v>6.0493074556615678</v>
      </c>
      <c r="F17" s="38">
        <v>70000</v>
      </c>
      <c r="G17" s="29">
        <f t="shared" si="0"/>
        <v>13092.505869033534</v>
      </c>
      <c r="H17" s="29">
        <f t="shared" si="1"/>
        <v>1540005.6063264129</v>
      </c>
      <c r="I17" s="29">
        <f t="shared" si="2"/>
        <v>1553098.1121954464</v>
      </c>
      <c r="J17" s="41">
        <f t="shared" si="3"/>
        <v>22.187115888506376</v>
      </c>
    </row>
    <row r="18" spans="3:10" ht="15.5" x14ac:dyDescent="0.35">
      <c r="C18" s="3" t="s">
        <v>86</v>
      </c>
      <c r="D18">
        <f>'Mobile Clinic'!E11</f>
        <v>1.2092698417552771E-2</v>
      </c>
    </row>
    <row r="19" spans="3:10" ht="15.5" x14ac:dyDescent="0.35">
      <c r="C19" s="3" t="s">
        <v>8</v>
      </c>
      <c r="D19">
        <f>60/14.1074</f>
        <v>4.2530870323376382</v>
      </c>
    </row>
    <row r="20" spans="3:10" ht="15" x14ac:dyDescent="0.35">
      <c r="C20" s="24" t="s">
        <v>68</v>
      </c>
      <c r="D20" s="19">
        <f>SUM(D15:D19)</f>
        <v>22.000080090377327</v>
      </c>
    </row>
    <row r="21" spans="3:10" ht="15.5" x14ac:dyDescent="0.35">
      <c r="C21" s="3"/>
      <c r="F21" s="4" t="s">
        <v>94</v>
      </c>
      <c r="G21" s="4" t="s">
        <v>95</v>
      </c>
    </row>
    <row r="22" spans="3:10" ht="15.5" x14ac:dyDescent="0.35">
      <c r="C22" s="3"/>
      <c r="F22">
        <v>5000</v>
      </c>
      <c r="G22" s="29">
        <v>555.10643886685</v>
      </c>
    </row>
    <row r="23" spans="3:10" ht="15.5" x14ac:dyDescent="0.35">
      <c r="C23" s="3"/>
      <c r="F23">
        <v>10000</v>
      </c>
      <c r="G23" s="29">
        <v>500.07655276675831</v>
      </c>
    </row>
    <row r="24" spans="3:10" ht="15.5" x14ac:dyDescent="0.35">
      <c r="C24" s="3"/>
      <c r="F24">
        <v>15000</v>
      </c>
      <c r="G24" s="29">
        <v>481.73325740006106</v>
      </c>
    </row>
    <row r="25" spans="3:10" ht="15.5" thickBot="1" x14ac:dyDescent="0.4">
      <c r="D25" s="57"/>
      <c r="F25">
        <v>20000</v>
      </c>
      <c r="G25" s="29">
        <v>472.56160971671238</v>
      </c>
    </row>
    <row r="26" spans="3:10" ht="15.5" thickBot="1" x14ac:dyDescent="0.4">
      <c r="C26" s="1" t="s">
        <v>0</v>
      </c>
      <c r="D26" s="2" t="s">
        <v>1</v>
      </c>
      <c r="E26" s="57"/>
      <c r="F26">
        <v>25000</v>
      </c>
      <c r="G26" s="29">
        <v>467.0586211067033</v>
      </c>
    </row>
    <row r="27" spans="3:10" ht="16" thickBot="1" x14ac:dyDescent="0.4">
      <c r="C27" s="3" t="s">
        <v>3</v>
      </c>
      <c r="D27" s="3" t="s">
        <v>5</v>
      </c>
      <c r="E27" s="2" t="s">
        <v>2</v>
      </c>
      <c r="F27">
        <v>30000</v>
      </c>
      <c r="G27" s="29">
        <v>463.38996203336382</v>
      </c>
    </row>
    <row r="28" spans="3:10" ht="15.5" x14ac:dyDescent="0.35">
      <c r="C28" s="3" t="s">
        <v>6</v>
      </c>
      <c r="D28" s="3" t="s">
        <v>4</v>
      </c>
      <c r="E28" s="3" t="s">
        <v>4</v>
      </c>
      <c r="F28">
        <v>35000</v>
      </c>
      <c r="G28" s="29">
        <v>460.7694912666928</v>
      </c>
    </row>
    <row r="29" spans="3:10" ht="15.5" x14ac:dyDescent="0.35">
      <c r="C29" s="3" t="s">
        <v>7</v>
      </c>
      <c r="D29" s="3" t="s">
        <v>5</v>
      </c>
      <c r="E29" s="3" t="s">
        <v>5</v>
      </c>
      <c r="F29">
        <v>40000</v>
      </c>
      <c r="G29" s="29">
        <v>458.80413819168956</v>
      </c>
    </row>
    <row r="30" spans="3:10" ht="15.5" x14ac:dyDescent="0.35">
      <c r="C30" s="3" t="s">
        <v>8</v>
      </c>
      <c r="D30" s="3" t="s">
        <v>4</v>
      </c>
      <c r="E30" s="3" t="s">
        <v>4</v>
      </c>
      <c r="F30">
        <v>45000</v>
      </c>
      <c r="G30" s="29">
        <v>457.27553024446473</v>
      </c>
    </row>
    <row r="31" spans="3:10" ht="15.5" x14ac:dyDescent="0.35">
      <c r="C31" s="3" t="s">
        <v>9</v>
      </c>
      <c r="D31" s="3" t="s">
        <v>4</v>
      </c>
      <c r="E31" s="3" t="s">
        <v>5</v>
      </c>
      <c r="F31">
        <v>50000</v>
      </c>
      <c r="G31" s="29">
        <v>456.05264388668502</v>
      </c>
    </row>
    <row r="32" spans="3:10" ht="15.5" x14ac:dyDescent="0.35">
      <c r="C32" s="3" t="s">
        <v>10</v>
      </c>
      <c r="D32" s="3" t="s">
        <v>4</v>
      </c>
      <c r="E32" s="3" t="s">
        <v>5</v>
      </c>
      <c r="F32">
        <v>55000</v>
      </c>
      <c r="G32" s="29">
        <v>455.05210050304697</v>
      </c>
    </row>
    <row r="33" spans="3:7" ht="15.5" x14ac:dyDescent="0.35">
      <c r="C33" s="3" t="s">
        <v>11</v>
      </c>
      <c r="D33" s="3" t="s">
        <v>4</v>
      </c>
      <c r="E33" s="3" t="s">
        <v>5</v>
      </c>
      <c r="F33">
        <v>60000</v>
      </c>
      <c r="G33" s="29">
        <v>454.21831435001525</v>
      </c>
    </row>
    <row r="34" spans="3:7" ht="15.5" x14ac:dyDescent="0.35">
      <c r="C34" s="3" t="s">
        <v>12</v>
      </c>
      <c r="D34" s="3" t="s">
        <v>5</v>
      </c>
      <c r="E34" s="3" t="s">
        <v>5</v>
      </c>
      <c r="F34">
        <v>65000</v>
      </c>
      <c r="G34" s="29">
        <v>453.51280298975769</v>
      </c>
    </row>
    <row r="35" spans="3:7" ht="15.5" x14ac:dyDescent="0.35">
      <c r="C35" s="3" t="s">
        <v>13</v>
      </c>
      <c r="D35" s="3" t="s">
        <v>4</v>
      </c>
      <c r="E35" s="3" t="s">
        <v>4</v>
      </c>
      <c r="F35">
        <v>70000</v>
      </c>
      <c r="G35" s="29">
        <v>452.90807896667974</v>
      </c>
    </row>
    <row r="36" spans="3:7" ht="15.5" x14ac:dyDescent="0.35">
      <c r="C36" s="3" t="s">
        <v>14</v>
      </c>
      <c r="D36" s="3" t="s">
        <v>4</v>
      </c>
      <c r="E36" s="3" t="s">
        <v>5</v>
      </c>
      <c r="F36" s="3" t="s">
        <v>53</v>
      </c>
    </row>
    <row r="37" spans="3:7" ht="15.5" x14ac:dyDescent="0.35">
      <c r="C37" s="3" t="s">
        <v>15</v>
      </c>
      <c r="D37" s="3" t="s">
        <v>4</v>
      </c>
      <c r="E37" s="3" t="s">
        <v>5</v>
      </c>
      <c r="F37" s="3" t="s">
        <v>54</v>
      </c>
    </row>
    <row r="38" spans="3:7" ht="15.5" x14ac:dyDescent="0.35">
      <c r="C38" s="3" t="s">
        <v>48</v>
      </c>
      <c r="E38" s="3" t="s">
        <v>5</v>
      </c>
      <c r="F38" s="22" t="s">
        <v>87</v>
      </c>
    </row>
    <row r="39" spans="3:7" ht="15.5" x14ac:dyDescent="0.35">
      <c r="F39" s="3" t="s">
        <v>74</v>
      </c>
    </row>
    <row r="40" spans="3:7" x14ac:dyDescent="0.35">
      <c r="C40" s="4" t="s">
        <v>76</v>
      </c>
    </row>
    <row r="41" spans="3:7" x14ac:dyDescent="0.35">
      <c r="C41" s="28" t="s">
        <v>91</v>
      </c>
    </row>
    <row r="42" spans="3:7" x14ac:dyDescent="0.35">
      <c r="C42" s="5" t="s">
        <v>92</v>
      </c>
      <c r="E42">
        <v>94000</v>
      </c>
    </row>
    <row r="43" spans="3:7" x14ac:dyDescent="0.35">
      <c r="C43" t="s">
        <v>93</v>
      </c>
      <c r="E43" s="27">
        <v>0.7</v>
      </c>
    </row>
    <row r="44" spans="3:7" x14ac:dyDescent="0.35">
      <c r="E44">
        <f>E42*E43</f>
        <v>65800</v>
      </c>
    </row>
  </sheetData>
  <mergeCells count="2">
    <mergeCell ref="C3:D3"/>
    <mergeCell ref="C14:D14"/>
  </mergeCells>
  <hyperlinks>
    <hyperlink ref="F38" r:id="rId1"/>
  </hyperlinks>
  <pageMargins left="0.7" right="0.7" top="0.75" bottom="0.75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68"/>
  <sheetViews>
    <sheetView topLeftCell="A12" workbookViewId="0">
      <selection activeCell="L3" sqref="L3"/>
    </sheetView>
  </sheetViews>
  <sheetFormatPr defaultRowHeight="14.5" x14ac:dyDescent="0.35"/>
  <cols>
    <col min="3" max="3" width="38.26953125" bestFit="1" customWidth="1"/>
    <col min="4" max="4" width="17.54296875" customWidth="1"/>
    <col min="7" max="7" width="16.7265625" bestFit="1" customWidth="1"/>
    <col min="8" max="8" width="12.54296875" bestFit="1" customWidth="1"/>
    <col min="9" max="9" width="11" bestFit="1" customWidth="1"/>
  </cols>
  <sheetData>
    <row r="3" spans="2:10" x14ac:dyDescent="0.35">
      <c r="C3" t="s">
        <v>85</v>
      </c>
      <c r="F3" s="38" t="s">
        <v>94</v>
      </c>
      <c r="G3" t="s">
        <v>16</v>
      </c>
      <c r="H3" t="s">
        <v>18</v>
      </c>
      <c r="I3" t="s">
        <v>55</v>
      </c>
      <c r="J3" s="36" t="s">
        <v>95</v>
      </c>
    </row>
    <row r="4" spans="2:10" x14ac:dyDescent="0.35">
      <c r="B4" t="s">
        <v>84</v>
      </c>
      <c r="C4" t="s">
        <v>36</v>
      </c>
      <c r="D4" t="s">
        <v>83</v>
      </c>
      <c r="F4" s="38">
        <v>5000</v>
      </c>
      <c r="G4" s="29">
        <f>$D$12</f>
        <v>16117.159596864318</v>
      </c>
      <c r="H4" s="29">
        <f>F4*$D$19</f>
        <v>79753.863173578793</v>
      </c>
      <c r="I4" s="29">
        <f>G4+H4</f>
        <v>95871.022770443116</v>
      </c>
      <c r="J4" s="41">
        <f>I4/F4</f>
        <v>19.174204554088622</v>
      </c>
    </row>
    <row r="5" spans="2:10" x14ac:dyDescent="0.35">
      <c r="B5">
        <v>1</v>
      </c>
      <c r="C5" t="s">
        <v>6</v>
      </c>
      <c r="D5" s="23">
        <f>660/14.1074</f>
        <v>46.783957355714023</v>
      </c>
      <c r="F5" s="38">
        <v>10000</v>
      </c>
      <c r="G5" s="29">
        <f t="shared" ref="G5:G42" si="0">$D$12</f>
        <v>16117.159596864318</v>
      </c>
      <c r="H5" s="29">
        <f t="shared" ref="H5:H17" si="1">F5*$D$19</f>
        <v>159507.72634715759</v>
      </c>
      <c r="I5" s="29">
        <f t="shared" ref="I5:I17" si="2">G5+H5</f>
        <v>175624.88594402189</v>
      </c>
      <c r="J5" s="41">
        <f t="shared" ref="J5:J17" si="3">I5/F5</f>
        <v>17.56248859440219</v>
      </c>
    </row>
    <row r="6" spans="2:10" x14ac:dyDescent="0.35">
      <c r="B6">
        <v>2</v>
      </c>
      <c r="C6" t="s">
        <v>9</v>
      </c>
      <c r="D6" s="23">
        <v>0</v>
      </c>
      <c r="F6" s="38">
        <v>15000</v>
      </c>
      <c r="G6" s="29">
        <f t="shared" si="0"/>
        <v>16117.159596864318</v>
      </c>
      <c r="H6" s="29">
        <f t="shared" si="1"/>
        <v>239261.58952073636</v>
      </c>
      <c r="I6" s="29">
        <f t="shared" si="2"/>
        <v>255378.74911760067</v>
      </c>
      <c r="J6" s="41">
        <f t="shared" si="3"/>
        <v>17.025249941173378</v>
      </c>
    </row>
    <row r="7" spans="2:10" x14ac:dyDescent="0.35">
      <c r="B7">
        <v>3</v>
      </c>
      <c r="C7" t="s">
        <v>10</v>
      </c>
      <c r="D7" s="23">
        <f>15000/14.1074</f>
        <v>1063.2717580844096</v>
      </c>
      <c r="F7" s="38">
        <v>20000</v>
      </c>
      <c r="G7" s="29">
        <f t="shared" si="0"/>
        <v>16117.159596864318</v>
      </c>
      <c r="H7" s="29">
        <f t="shared" si="1"/>
        <v>319015.45269431517</v>
      </c>
      <c r="I7" s="29">
        <f t="shared" si="2"/>
        <v>335132.61229117948</v>
      </c>
      <c r="J7" s="41">
        <f t="shared" si="3"/>
        <v>16.756630614558976</v>
      </c>
    </row>
    <row r="8" spans="2:10" x14ac:dyDescent="0.35">
      <c r="B8">
        <v>4</v>
      </c>
      <c r="C8" t="s">
        <v>49</v>
      </c>
      <c r="D8" s="23">
        <v>0</v>
      </c>
      <c r="F8" s="38">
        <v>25000</v>
      </c>
      <c r="G8" s="29">
        <f t="shared" si="0"/>
        <v>16117.159596864318</v>
      </c>
      <c r="H8" s="29">
        <f t="shared" si="1"/>
        <v>398769.31586789392</v>
      </c>
      <c r="I8" s="29">
        <f t="shared" si="2"/>
        <v>414886.47546475823</v>
      </c>
      <c r="J8" s="41">
        <f t="shared" si="3"/>
        <v>16.595459018590329</v>
      </c>
    </row>
    <row r="9" spans="2:10" x14ac:dyDescent="0.35">
      <c r="B9">
        <v>5</v>
      </c>
      <c r="C9" t="s">
        <v>13</v>
      </c>
      <c r="D9" s="23">
        <f>Labour!K9</f>
        <v>11098.336255943175</v>
      </c>
      <c r="F9" s="38">
        <v>30000</v>
      </c>
      <c r="G9" s="29">
        <f t="shared" si="0"/>
        <v>16117.159596864318</v>
      </c>
      <c r="H9" s="29">
        <f t="shared" si="1"/>
        <v>478523.17904147273</v>
      </c>
      <c r="I9" s="29">
        <f t="shared" si="2"/>
        <v>494640.33863833704</v>
      </c>
      <c r="J9" s="41">
        <f t="shared" si="3"/>
        <v>16.488011287944566</v>
      </c>
    </row>
    <row r="10" spans="2:10" x14ac:dyDescent="0.35">
      <c r="B10">
        <v>6</v>
      </c>
      <c r="C10" t="s">
        <v>17</v>
      </c>
      <c r="D10" s="23">
        <f>7020/14.1074</f>
        <v>497.61118278350369</v>
      </c>
      <c r="F10" s="38">
        <v>35000</v>
      </c>
      <c r="G10" s="29">
        <f t="shared" si="0"/>
        <v>16117.159596864318</v>
      </c>
      <c r="H10" s="29">
        <f t="shared" si="1"/>
        <v>558277.04221505148</v>
      </c>
      <c r="I10" s="29">
        <f t="shared" si="2"/>
        <v>574394.20181191585</v>
      </c>
      <c r="J10" s="41">
        <f t="shared" si="3"/>
        <v>16.41126290891188</v>
      </c>
    </row>
    <row r="11" spans="2:10" x14ac:dyDescent="0.35">
      <c r="B11">
        <v>7</v>
      </c>
      <c r="C11" t="s">
        <v>75</v>
      </c>
      <c r="D11" s="23">
        <f>'Mobile Clinic'!E10</f>
        <v>386.50271486673216</v>
      </c>
      <c r="F11" s="38">
        <v>40000</v>
      </c>
      <c r="G11" s="29">
        <f t="shared" si="0"/>
        <v>16117.159596864318</v>
      </c>
      <c r="H11" s="29">
        <f t="shared" si="1"/>
        <v>638030.90538863034</v>
      </c>
      <c r="I11" s="29">
        <f t="shared" si="2"/>
        <v>654148.06498549471</v>
      </c>
      <c r="J11" s="41">
        <f t="shared" si="3"/>
        <v>16.353701624637367</v>
      </c>
    </row>
    <row r="12" spans="2:10" x14ac:dyDescent="0.35">
      <c r="B12">
        <v>8</v>
      </c>
      <c r="C12" s="4" t="s">
        <v>89</v>
      </c>
      <c r="D12" s="25">
        <f>SUM(D5:D11)+D22</f>
        <v>16117.159596864318</v>
      </c>
      <c r="F12" s="38">
        <v>45000</v>
      </c>
      <c r="G12" s="29">
        <f t="shared" si="0"/>
        <v>16117.159596864318</v>
      </c>
      <c r="H12" s="29">
        <f t="shared" si="1"/>
        <v>717784.76856220909</v>
      </c>
      <c r="I12" s="29">
        <f t="shared" si="2"/>
        <v>733901.92815907346</v>
      </c>
      <c r="J12" s="41">
        <f t="shared" si="3"/>
        <v>16.308931736868299</v>
      </c>
    </row>
    <row r="13" spans="2:10" x14ac:dyDescent="0.35">
      <c r="E13" s="4"/>
      <c r="F13" s="38">
        <v>50000</v>
      </c>
      <c r="G13" s="29">
        <f t="shared" si="0"/>
        <v>16117.159596864318</v>
      </c>
      <c r="H13" s="29">
        <f t="shared" si="1"/>
        <v>797538.63173578784</v>
      </c>
      <c r="I13" s="29">
        <f t="shared" si="2"/>
        <v>813655.79133265221</v>
      </c>
      <c r="J13" s="41">
        <f t="shared" si="3"/>
        <v>16.273115826653044</v>
      </c>
    </row>
    <row r="14" spans="2:10" x14ac:dyDescent="0.35">
      <c r="C14" t="s">
        <v>90</v>
      </c>
      <c r="F14" s="38">
        <v>55000</v>
      </c>
      <c r="G14" s="29">
        <f t="shared" si="0"/>
        <v>16117.159596864318</v>
      </c>
      <c r="H14" s="29">
        <f t="shared" si="1"/>
        <v>877292.49490936671</v>
      </c>
      <c r="I14" s="29">
        <f t="shared" si="2"/>
        <v>893409.65450623108</v>
      </c>
      <c r="J14" s="41">
        <f t="shared" si="3"/>
        <v>16.243811900113293</v>
      </c>
    </row>
    <row r="15" spans="2:10" x14ac:dyDescent="0.35">
      <c r="C15" t="s">
        <v>3</v>
      </c>
      <c r="D15">
        <f>'PZQ and ALB'!K3</f>
        <v>9.5590493877917471</v>
      </c>
      <c r="F15" s="38">
        <v>60000</v>
      </c>
      <c r="G15" s="29">
        <f t="shared" si="0"/>
        <v>16117.159596864318</v>
      </c>
      <c r="H15" s="29">
        <f t="shared" si="1"/>
        <v>957046.35808294546</v>
      </c>
      <c r="I15" s="29">
        <f t="shared" si="2"/>
        <v>973163.51767980983</v>
      </c>
      <c r="J15" s="41">
        <f t="shared" si="3"/>
        <v>16.219391961330164</v>
      </c>
    </row>
    <row r="16" spans="2:10" x14ac:dyDescent="0.35">
      <c r="C16" t="s">
        <v>7</v>
      </c>
      <c r="D16">
        <f>30/14.1074</f>
        <v>2.1265435161688191</v>
      </c>
      <c r="F16" s="38">
        <v>65000</v>
      </c>
      <c r="G16" s="29">
        <f t="shared" si="0"/>
        <v>16117.159596864318</v>
      </c>
      <c r="H16" s="29">
        <f t="shared" si="1"/>
        <v>1036800.2212565242</v>
      </c>
      <c r="I16" s="29">
        <f t="shared" si="2"/>
        <v>1052917.3808533885</v>
      </c>
      <c r="J16" s="41">
        <f t="shared" si="3"/>
        <v>16.198728936205978</v>
      </c>
    </row>
    <row r="17" spans="3:10" x14ac:dyDescent="0.35">
      <c r="C17" t="s">
        <v>86</v>
      </c>
      <c r="D17">
        <f>'Mobile Clinic'!E11</f>
        <v>1.2092698417552771E-2</v>
      </c>
      <c r="F17" s="38">
        <v>70000</v>
      </c>
      <c r="G17" s="29">
        <f t="shared" si="0"/>
        <v>16117.159596864318</v>
      </c>
      <c r="H17" s="29">
        <f t="shared" si="1"/>
        <v>1116554.084430103</v>
      </c>
      <c r="I17" s="29">
        <f t="shared" si="2"/>
        <v>1132671.2440269673</v>
      </c>
      <c r="J17" s="41">
        <f t="shared" si="3"/>
        <v>16.181017771813821</v>
      </c>
    </row>
    <row r="18" spans="3:10" x14ac:dyDescent="0.35">
      <c r="C18" t="s">
        <v>8</v>
      </c>
      <c r="D18">
        <f>60/14.1074</f>
        <v>4.2530870323376382</v>
      </c>
      <c r="F18" s="38">
        <v>75000</v>
      </c>
      <c r="G18" s="29">
        <f t="shared" si="0"/>
        <v>16117.159596864318</v>
      </c>
      <c r="H18" s="29">
        <f t="shared" ref="H18:H42" si="4">F18*$D$19</f>
        <v>1196307.9476036818</v>
      </c>
      <c r="I18" s="29">
        <f t="shared" ref="I18:I42" si="5">G18+H18</f>
        <v>1212425.1072005462</v>
      </c>
      <c r="J18" s="41">
        <f t="shared" ref="J18:J42" si="6">I18/F18</f>
        <v>16.165668096007284</v>
      </c>
    </row>
    <row r="19" spans="3:10" x14ac:dyDescent="0.35">
      <c r="C19" s="4" t="s">
        <v>68</v>
      </c>
      <c r="D19" s="25">
        <f>SUM(D15:D18)</f>
        <v>15.950772634715758</v>
      </c>
      <c r="F19" s="38">
        <v>80000</v>
      </c>
      <c r="G19" s="29">
        <f t="shared" si="0"/>
        <v>16117.159596864318</v>
      </c>
      <c r="H19" s="29">
        <f t="shared" si="4"/>
        <v>1276061.8107772607</v>
      </c>
      <c r="I19" s="29">
        <f t="shared" si="5"/>
        <v>1292178.9703741251</v>
      </c>
      <c r="J19" s="41">
        <f t="shared" si="6"/>
        <v>16.152237129676564</v>
      </c>
    </row>
    <row r="20" spans="3:10" x14ac:dyDescent="0.35">
      <c r="E20" s="4"/>
      <c r="F20" s="38">
        <v>85000</v>
      </c>
      <c r="G20" s="29">
        <f t="shared" si="0"/>
        <v>16117.159596864318</v>
      </c>
      <c r="H20" s="29">
        <f t="shared" si="4"/>
        <v>1355815.6739508393</v>
      </c>
      <c r="I20" s="29">
        <f t="shared" si="5"/>
        <v>1371932.8335477037</v>
      </c>
      <c r="J20" s="41">
        <f t="shared" si="6"/>
        <v>16.140386277031809</v>
      </c>
    </row>
    <row r="21" spans="3:10" x14ac:dyDescent="0.35">
      <c r="F21" s="38">
        <v>90000</v>
      </c>
      <c r="G21" s="29">
        <f t="shared" si="0"/>
        <v>16117.159596864318</v>
      </c>
      <c r="H21" s="29">
        <f t="shared" si="4"/>
        <v>1435569.5371244182</v>
      </c>
      <c r="I21" s="29">
        <f t="shared" si="5"/>
        <v>1451686.6967212826</v>
      </c>
      <c r="J21" s="41">
        <f t="shared" si="6"/>
        <v>16.129852185792029</v>
      </c>
    </row>
    <row r="22" spans="3:10" x14ac:dyDescent="0.35">
      <c r="C22" t="s">
        <v>12</v>
      </c>
      <c r="D22">
        <f>D23*WBOT!D17</f>
        <v>3024.6537278307837</v>
      </c>
      <c r="F22" s="38">
        <v>95000</v>
      </c>
      <c r="G22" s="29">
        <f t="shared" si="0"/>
        <v>16117.159596864318</v>
      </c>
      <c r="H22" s="29">
        <f t="shared" si="4"/>
        <v>1515323.4002979971</v>
      </c>
      <c r="I22" s="29">
        <f t="shared" si="5"/>
        <v>1531440.5598948614</v>
      </c>
      <c r="J22" s="41">
        <f t="shared" si="6"/>
        <v>16.120426946261698</v>
      </c>
    </row>
    <row r="23" spans="3:10" x14ac:dyDescent="0.35">
      <c r="C23" t="s">
        <v>96</v>
      </c>
      <c r="D23">
        <v>500</v>
      </c>
      <c r="F23" s="38">
        <v>100000</v>
      </c>
      <c r="G23" s="29">
        <f t="shared" si="0"/>
        <v>16117.159596864318</v>
      </c>
      <c r="H23" s="29">
        <f t="shared" si="4"/>
        <v>1595077.2634715757</v>
      </c>
      <c r="I23" s="29">
        <f t="shared" si="5"/>
        <v>1611194.4230684401</v>
      </c>
      <c r="J23" s="41">
        <f t="shared" si="6"/>
        <v>16.111944230684401</v>
      </c>
    </row>
    <row r="24" spans="3:10" x14ac:dyDescent="0.35">
      <c r="F24" s="38">
        <v>105000</v>
      </c>
      <c r="G24" s="29">
        <f t="shared" si="0"/>
        <v>16117.159596864318</v>
      </c>
      <c r="H24" s="29">
        <f t="shared" si="4"/>
        <v>1674831.1266451546</v>
      </c>
      <c r="I24" s="29">
        <f t="shared" si="5"/>
        <v>1690948.2862420189</v>
      </c>
      <c r="J24" s="41">
        <f t="shared" si="6"/>
        <v>16.104269392781134</v>
      </c>
    </row>
    <row r="25" spans="3:10" x14ac:dyDescent="0.35">
      <c r="C25" t="s">
        <v>0</v>
      </c>
      <c r="F25" s="38">
        <v>110000</v>
      </c>
      <c r="G25" s="29">
        <f t="shared" si="0"/>
        <v>16117.159596864318</v>
      </c>
      <c r="H25" s="29">
        <f t="shared" si="4"/>
        <v>1754584.9898187334</v>
      </c>
      <c r="I25" s="29">
        <f t="shared" si="5"/>
        <v>1770702.1494155978</v>
      </c>
      <c r="J25" s="41">
        <f t="shared" si="6"/>
        <v>16.097292267414524</v>
      </c>
    </row>
    <row r="26" spans="3:10" x14ac:dyDescent="0.35">
      <c r="C26" t="s">
        <v>3</v>
      </c>
      <c r="F26" s="38">
        <v>115000</v>
      </c>
      <c r="G26" s="29">
        <f t="shared" si="0"/>
        <v>16117.159596864318</v>
      </c>
      <c r="H26" s="29">
        <f t="shared" si="4"/>
        <v>1834338.8529923121</v>
      </c>
      <c r="I26" s="29">
        <f t="shared" si="5"/>
        <v>1850456.0125891764</v>
      </c>
      <c r="J26" s="41">
        <f t="shared" si="6"/>
        <v>16.090921848601536</v>
      </c>
    </row>
    <row r="27" spans="3:10" x14ac:dyDescent="0.35">
      <c r="C27" t="s">
        <v>6</v>
      </c>
      <c r="F27" s="38">
        <v>120000</v>
      </c>
      <c r="G27" s="29">
        <f t="shared" si="0"/>
        <v>16117.159596864318</v>
      </c>
      <c r="H27" s="29">
        <f t="shared" si="4"/>
        <v>1914092.7161658909</v>
      </c>
      <c r="I27" s="29">
        <f t="shared" si="5"/>
        <v>1930209.8757627553</v>
      </c>
      <c r="J27" s="41">
        <f t="shared" si="6"/>
        <v>16.085082298022961</v>
      </c>
    </row>
    <row r="28" spans="3:10" x14ac:dyDescent="0.35">
      <c r="C28" t="s">
        <v>7</v>
      </c>
      <c r="F28" s="38">
        <v>125000</v>
      </c>
      <c r="G28" s="29">
        <f t="shared" si="0"/>
        <v>16117.159596864318</v>
      </c>
      <c r="H28" s="29">
        <f t="shared" si="4"/>
        <v>1993846.5793394698</v>
      </c>
      <c r="I28" s="29">
        <f t="shared" si="5"/>
        <v>2009963.7389363341</v>
      </c>
      <c r="J28" s="41">
        <f t="shared" si="6"/>
        <v>16.079709911490674</v>
      </c>
    </row>
    <row r="29" spans="3:10" x14ac:dyDescent="0.35">
      <c r="C29" t="s">
        <v>8</v>
      </c>
      <c r="F29" s="38">
        <v>130000</v>
      </c>
      <c r="G29" s="29">
        <f t="shared" si="0"/>
        <v>16117.159596864318</v>
      </c>
      <c r="H29" s="29">
        <f t="shared" si="4"/>
        <v>2073600.4425130484</v>
      </c>
      <c r="I29" s="29">
        <f t="shared" si="5"/>
        <v>2089717.6021099128</v>
      </c>
      <c r="J29" s="41">
        <f t="shared" si="6"/>
        <v>16.074750785460868</v>
      </c>
    </row>
    <row r="30" spans="3:10" x14ac:dyDescent="0.35">
      <c r="C30" t="s">
        <v>9</v>
      </c>
      <c r="F30" s="38">
        <v>135000</v>
      </c>
      <c r="G30" s="29">
        <f t="shared" si="0"/>
        <v>16117.159596864318</v>
      </c>
      <c r="H30" s="29">
        <f t="shared" si="4"/>
        <v>2153354.3056866275</v>
      </c>
      <c r="I30" s="29">
        <f t="shared" si="5"/>
        <v>2169471.4652834916</v>
      </c>
      <c r="J30" s="41">
        <f t="shared" si="6"/>
        <v>16.070159002099938</v>
      </c>
    </row>
    <row r="31" spans="3:10" x14ac:dyDescent="0.35">
      <c r="C31" t="s">
        <v>10</v>
      </c>
      <c r="F31" s="38">
        <v>140000</v>
      </c>
      <c r="G31" s="29">
        <f t="shared" si="0"/>
        <v>16117.159596864318</v>
      </c>
      <c r="H31" s="29">
        <f t="shared" si="4"/>
        <v>2233108.1688602059</v>
      </c>
      <c r="I31" s="29">
        <f t="shared" si="5"/>
        <v>2249225.32845707</v>
      </c>
      <c r="J31" s="41">
        <f t="shared" si="6"/>
        <v>16.065895203264787</v>
      </c>
    </row>
    <row r="32" spans="3:10" x14ac:dyDescent="0.35">
      <c r="C32" t="s">
        <v>11</v>
      </c>
      <c r="F32" s="38">
        <v>145000</v>
      </c>
      <c r="G32" s="29">
        <f t="shared" si="0"/>
        <v>16117.159596864318</v>
      </c>
      <c r="H32" s="29">
        <f t="shared" si="4"/>
        <v>2312862.0320337848</v>
      </c>
      <c r="I32" s="29">
        <f t="shared" si="5"/>
        <v>2328979.1916306489</v>
      </c>
      <c r="J32" s="41">
        <f t="shared" si="6"/>
        <v>16.061925459521717</v>
      </c>
    </row>
    <row r="33" spans="3:10" x14ac:dyDescent="0.35">
      <c r="C33" t="s">
        <v>12</v>
      </c>
      <c r="F33" s="38">
        <v>150000</v>
      </c>
      <c r="G33" s="29">
        <f t="shared" si="0"/>
        <v>16117.159596864318</v>
      </c>
      <c r="H33" s="29">
        <f t="shared" si="4"/>
        <v>2392615.8952073636</v>
      </c>
      <c r="I33" s="29">
        <f t="shared" si="5"/>
        <v>2408733.0548042278</v>
      </c>
      <c r="J33" s="41">
        <f t="shared" si="6"/>
        <v>16.058220365361517</v>
      </c>
    </row>
    <row r="34" spans="3:10" x14ac:dyDescent="0.35">
      <c r="C34" t="s">
        <v>13</v>
      </c>
      <c r="F34" s="38">
        <v>155000</v>
      </c>
      <c r="G34" s="29">
        <f t="shared" si="0"/>
        <v>16117.159596864318</v>
      </c>
      <c r="H34" s="29">
        <f t="shared" si="4"/>
        <v>2472369.7583809425</v>
      </c>
      <c r="I34" s="29">
        <f t="shared" si="5"/>
        <v>2488486.9179778066</v>
      </c>
      <c r="J34" s="41">
        <f t="shared" si="6"/>
        <v>16.054754309534236</v>
      </c>
    </row>
    <row r="35" spans="3:10" x14ac:dyDescent="0.35">
      <c r="C35" t="s">
        <v>14</v>
      </c>
      <c r="F35" s="38">
        <v>160000</v>
      </c>
      <c r="G35" s="29">
        <f t="shared" si="0"/>
        <v>16117.159596864318</v>
      </c>
      <c r="H35" s="29">
        <f t="shared" si="4"/>
        <v>2552123.6215545214</v>
      </c>
      <c r="I35" s="29">
        <f t="shared" si="5"/>
        <v>2568240.7811513855</v>
      </c>
      <c r="J35" s="41">
        <f t="shared" si="6"/>
        <v>16.051504882196159</v>
      </c>
    </row>
    <row r="36" spans="3:10" x14ac:dyDescent="0.35">
      <c r="C36" t="s">
        <v>15</v>
      </c>
      <c r="F36" s="38">
        <v>165000</v>
      </c>
      <c r="G36" s="29">
        <f t="shared" si="0"/>
        <v>16117.159596864318</v>
      </c>
      <c r="H36" s="29">
        <f t="shared" si="4"/>
        <v>2631877.4847281002</v>
      </c>
      <c r="I36" s="29">
        <f t="shared" si="5"/>
        <v>2647994.6443249644</v>
      </c>
      <c r="J36" s="41">
        <f t="shared" si="6"/>
        <v>16.048452389848268</v>
      </c>
    </row>
    <row r="37" spans="3:10" x14ac:dyDescent="0.35">
      <c r="C37" t="s">
        <v>48</v>
      </c>
      <c r="F37" s="38">
        <v>170000</v>
      </c>
      <c r="G37" s="29">
        <f t="shared" si="0"/>
        <v>16117.159596864318</v>
      </c>
      <c r="H37" s="29">
        <f t="shared" si="4"/>
        <v>2711631.3479016786</v>
      </c>
      <c r="I37" s="29">
        <f t="shared" si="5"/>
        <v>2727748.5074985428</v>
      </c>
      <c r="J37" s="41">
        <f t="shared" si="6"/>
        <v>16.045579455873781</v>
      </c>
    </row>
    <row r="38" spans="3:10" x14ac:dyDescent="0.35">
      <c r="F38" s="38">
        <v>175000</v>
      </c>
      <c r="G38" s="29">
        <f t="shared" si="0"/>
        <v>16117.159596864318</v>
      </c>
      <c r="H38" s="29">
        <f t="shared" si="4"/>
        <v>2791385.2110752575</v>
      </c>
      <c r="I38" s="29">
        <f t="shared" si="5"/>
        <v>2807502.3706721216</v>
      </c>
      <c r="J38" s="41">
        <f t="shared" si="6"/>
        <v>16.042870689554981</v>
      </c>
    </row>
    <row r="39" spans="3:10" x14ac:dyDescent="0.35">
      <c r="F39" s="38">
        <v>180000</v>
      </c>
      <c r="G39" s="29">
        <f t="shared" si="0"/>
        <v>16117.159596864318</v>
      </c>
      <c r="H39" s="29">
        <f t="shared" si="4"/>
        <v>2871139.0742488364</v>
      </c>
      <c r="I39" s="29">
        <f t="shared" si="5"/>
        <v>2887256.2338457005</v>
      </c>
      <c r="J39" s="41">
        <f t="shared" si="6"/>
        <v>16.040312410253893</v>
      </c>
    </row>
    <row r="40" spans="3:10" x14ac:dyDescent="0.35">
      <c r="F40" s="38">
        <v>185000</v>
      </c>
      <c r="G40" s="29">
        <f t="shared" si="0"/>
        <v>16117.159596864318</v>
      </c>
      <c r="H40" s="29">
        <f t="shared" si="4"/>
        <v>2950892.9374224152</v>
      </c>
      <c r="I40" s="29">
        <f t="shared" si="5"/>
        <v>2967010.0970192794</v>
      </c>
      <c r="J40" s="41">
        <f t="shared" si="6"/>
        <v>16.037892416320428</v>
      </c>
    </row>
    <row r="41" spans="3:10" x14ac:dyDescent="0.35">
      <c r="F41" s="38">
        <v>190000</v>
      </c>
      <c r="G41" s="29">
        <f t="shared" si="0"/>
        <v>16117.159596864318</v>
      </c>
      <c r="H41" s="29">
        <f t="shared" si="4"/>
        <v>3030646.8005959941</v>
      </c>
      <c r="I41" s="29">
        <f t="shared" si="5"/>
        <v>3046763.9601928582</v>
      </c>
      <c r="J41" s="41">
        <f t="shared" si="6"/>
        <v>16.035599790488728</v>
      </c>
    </row>
    <row r="42" spans="3:10" x14ac:dyDescent="0.35">
      <c r="F42" s="38">
        <v>195000</v>
      </c>
      <c r="G42" s="29">
        <f t="shared" si="0"/>
        <v>16117.159596864318</v>
      </c>
      <c r="H42" s="29">
        <f t="shared" si="4"/>
        <v>3110400.663769573</v>
      </c>
      <c r="I42" s="29">
        <f t="shared" si="5"/>
        <v>3126517.8233664371</v>
      </c>
      <c r="J42" s="41">
        <f t="shared" si="6"/>
        <v>16.033424735212499</v>
      </c>
    </row>
    <row r="47" spans="3:10" x14ac:dyDescent="0.35">
      <c r="D47" t="s">
        <v>94</v>
      </c>
    </row>
    <row r="48" spans="3:10" x14ac:dyDescent="0.35">
      <c r="D48">
        <v>5000</v>
      </c>
      <c r="E48" t="s">
        <v>95</v>
      </c>
      <c r="H48" t="s">
        <v>1</v>
      </c>
      <c r="I48" t="s">
        <v>2</v>
      </c>
    </row>
    <row r="49" spans="3:10" x14ac:dyDescent="0.35">
      <c r="D49">
        <v>10000</v>
      </c>
      <c r="E49" s="29">
        <v>555.10643886685</v>
      </c>
      <c r="H49" t="s">
        <v>5</v>
      </c>
      <c r="I49" t="s">
        <v>4</v>
      </c>
    </row>
    <row r="50" spans="3:10" x14ac:dyDescent="0.35">
      <c r="D50">
        <v>15000</v>
      </c>
      <c r="E50" s="29">
        <v>500.07655276675831</v>
      </c>
      <c r="H50" t="s">
        <v>4</v>
      </c>
      <c r="I50" t="s">
        <v>5</v>
      </c>
    </row>
    <row r="51" spans="3:10" x14ac:dyDescent="0.35">
      <c r="D51">
        <v>20000</v>
      </c>
      <c r="E51" s="29">
        <v>481.73325740006106</v>
      </c>
      <c r="H51" t="s">
        <v>5</v>
      </c>
      <c r="I51" t="s">
        <v>4</v>
      </c>
    </row>
    <row r="52" spans="3:10" x14ac:dyDescent="0.35">
      <c r="D52">
        <v>25000</v>
      </c>
      <c r="E52" s="29">
        <v>472.56160971671238</v>
      </c>
      <c r="H52" t="s">
        <v>4</v>
      </c>
      <c r="I52" t="s">
        <v>5</v>
      </c>
    </row>
    <row r="53" spans="3:10" x14ac:dyDescent="0.35">
      <c r="D53">
        <v>30000</v>
      </c>
      <c r="E53" s="29">
        <v>467.0586211067033</v>
      </c>
      <c r="H53" t="s">
        <v>4</v>
      </c>
      <c r="I53" t="s">
        <v>5</v>
      </c>
    </row>
    <row r="54" spans="3:10" x14ac:dyDescent="0.35">
      <c r="D54">
        <v>35000</v>
      </c>
      <c r="E54" s="29">
        <v>463.38996203336382</v>
      </c>
      <c r="H54" t="s">
        <v>4</v>
      </c>
      <c r="I54" t="s">
        <v>5</v>
      </c>
    </row>
    <row r="55" spans="3:10" x14ac:dyDescent="0.35">
      <c r="D55">
        <v>40000</v>
      </c>
      <c r="E55" s="29">
        <v>460.7694912666928</v>
      </c>
      <c r="H55" t="s">
        <v>4</v>
      </c>
      <c r="I55" t="s">
        <v>5</v>
      </c>
    </row>
    <row r="56" spans="3:10" x14ac:dyDescent="0.35">
      <c r="D56">
        <v>45000</v>
      </c>
      <c r="E56" s="29">
        <v>458.80413819168956</v>
      </c>
      <c r="H56" t="s">
        <v>5</v>
      </c>
      <c r="I56" t="s">
        <v>4</v>
      </c>
    </row>
    <row r="57" spans="3:10" x14ac:dyDescent="0.35">
      <c r="D57">
        <v>50000</v>
      </c>
      <c r="E57" s="29">
        <v>457.27553024446473</v>
      </c>
      <c r="H57" t="s">
        <v>4</v>
      </c>
      <c r="I57" t="s">
        <v>5</v>
      </c>
      <c r="J57" t="s">
        <v>53</v>
      </c>
    </row>
    <row r="58" spans="3:10" x14ac:dyDescent="0.35">
      <c r="D58">
        <v>55000</v>
      </c>
      <c r="E58" s="29">
        <v>456.05264388668502</v>
      </c>
      <c r="H58" t="s">
        <v>4</v>
      </c>
      <c r="I58" t="s">
        <v>5</v>
      </c>
      <c r="J58" t="s">
        <v>54</v>
      </c>
    </row>
    <row r="59" spans="3:10" x14ac:dyDescent="0.35">
      <c r="D59">
        <v>60000</v>
      </c>
      <c r="E59" s="29">
        <v>455.05210050304697</v>
      </c>
      <c r="H59" t="s">
        <v>4</v>
      </c>
      <c r="I59" t="s">
        <v>5</v>
      </c>
      <c r="J59" t="s">
        <v>87</v>
      </c>
    </row>
    <row r="60" spans="3:10" x14ac:dyDescent="0.35">
      <c r="D60">
        <v>65000</v>
      </c>
      <c r="E60" s="29">
        <v>454.21831435001525</v>
      </c>
      <c r="J60" t="s">
        <v>74</v>
      </c>
    </row>
    <row r="61" spans="3:10" x14ac:dyDescent="0.35">
      <c r="D61">
        <v>70000</v>
      </c>
      <c r="E61" s="29">
        <v>453.51280298975769</v>
      </c>
    </row>
    <row r="62" spans="3:10" x14ac:dyDescent="0.35">
      <c r="E62" s="29">
        <v>452.90807896667974</v>
      </c>
    </row>
    <row r="64" spans="3:10" x14ac:dyDescent="0.35">
      <c r="C64" t="s">
        <v>76</v>
      </c>
    </row>
    <row r="65" spans="3:5" x14ac:dyDescent="0.35">
      <c r="C65" t="s">
        <v>91</v>
      </c>
    </row>
    <row r="66" spans="3:5" x14ac:dyDescent="0.35">
      <c r="C66" t="s">
        <v>92</v>
      </c>
      <c r="E66">
        <v>94000</v>
      </c>
    </row>
    <row r="67" spans="3:5" x14ac:dyDescent="0.35">
      <c r="C67" t="s">
        <v>93</v>
      </c>
      <c r="E67" s="27">
        <v>0.7</v>
      </c>
    </row>
    <row r="68" spans="3:5" x14ac:dyDescent="0.35">
      <c r="E68">
        <f>E66*E67</f>
        <v>65800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"/>
  <sheetViews>
    <sheetView workbookViewId="0">
      <selection activeCell="E4" sqref="E4"/>
    </sheetView>
  </sheetViews>
  <sheetFormatPr defaultRowHeight="14.5" x14ac:dyDescent="0.35"/>
  <cols>
    <col min="2" max="2" width="13.36328125" customWidth="1"/>
    <col min="3" max="3" width="15.81640625" customWidth="1"/>
    <col min="4" max="4" width="17.6328125" customWidth="1"/>
    <col min="5" max="5" width="17" customWidth="1"/>
    <col min="6" max="6" width="16.7265625" customWidth="1"/>
    <col min="8" max="8" width="11.7265625" customWidth="1"/>
  </cols>
  <sheetData>
    <row r="1" spans="2:12" x14ac:dyDescent="0.35">
      <c r="F1" s="70" t="s">
        <v>69</v>
      </c>
      <c r="G1" s="70"/>
      <c r="H1" s="70" t="s">
        <v>70</v>
      </c>
      <c r="I1" s="70"/>
      <c r="J1" s="70" t="s">
        <v>71</v>
      </c>
      <c r="K1" s="71"/>
    </row>
    <row r="2" spans="2:12" x14ac:dyDescent="0.35">
      <c r="B2" s="4" t="s">
        <v>43</v>
      </c>
      <c r="C2" s="4" t="s">
        <v>50</v>
      </c>
      <c r="D2" s="4" t="s">
        <v>106</v>
      </c>
      <c r="E2" s="4" t="s">
        <v>51</v>
      </c>
      <c r="F2" s="4" t="s">
        <v>72</v>
      </c>
      <c r="G2" s="4" t="s">
        <v>38</v>
      </c>
      <c r="H2" s="4" t="s">
        <v>72</v>
      </c>
      <c r="I2" s="4" t="s">
        <v>38</v>
      </c>
      <c r="J2" s="4" t="s">
        <v>72</v>
      </c>
      <c r="K2" s="4" t="s">
        <v>38</v>
      </c>
    </row>
    <row r="3" spans="2:12" x14ac:dyDescent="0.35">
      <c r="B3" t="s">
        <v>44</v>
      </c>
      <c r="C3" s="13">
        <f>256905/14.1074</f>
        <v>18210.655400711683</v>
      </c>
      <c r="D3" s="13">
        <f>C3/4</f>
        <v>4552.6638501779207</v>
      </c>
      <c r="E3" s="13">
        <f>256905</f>
        <v>256905</v>
      </c>
      <c r="F3">
        <v>1</v>
      </c>
      <c r="G3">
        <f>D3*F3</f>
        <v>4552.6638501779207</v>
      </c>
      <c r="H3">
        <v>1</v>
      </c>
      <c r="I3">
        <f>D3*H3</f>
        <v>4552.6638501779207</v>
      </c>
      <c r="J3">
        <v>1</v>
      </c>
      <c r="K3">
        <f>D3*J3</f>
        <v>4552.6638501779207</v>
      </c>
    </row>
    <row r="4" spans="2:12" x14ac:dyDescent="0.35">
      <c r="B4" t="s">
        <v>45</v>
      </c>
      <c r="C4" s="13">
        <f>171381/14.1074</f>
        <v>12148.305144817614</v>
      </c>
      <c r="D4">
        <f>C4/4</f>
        <v>3037.0762862044035</v>
      </c>
      <c r="E4">
        <f>D4/21.67</f>
        <v>140.15118994944177</v>
      </c>
      <c r="F4">
        <v>1</v>
      </c>
      <c r="G4">
        <f t="shared" ref="G4:G10" si="0">D4*F4</f>
        <v>3037.0762862044035</v>
      </c>
      <c r="H4">
        <v>1</v>
      </c>
      <c r="I4">
        <f>D4*H4</f>
        <v>3037.0762862044035</v>
      </c>
      <c r="J4">
        <v>1</v>
      </c>
      <c r="K4">
        <f>D4*J4</f>
        <v>3037.0762862044035</v>
      </c>
    </row>
    <row r="5" spans="2:12" x14ac:dyDescent="0.35">
      <c r="B5" s="9" t="s">
        <v>52</v>
      </c>
      <c r="C5" s="13">
        <f t="shared" ref="C5" si="1">256905/14.1074</f>
        <v>18210.655400711683</v>
      </c>
      <c r="D5" s="9">
        <f>(E5*22*3)/14.1074</f>
        <v>842.11123240285235</v>
      </c>
      <c r="E5" s="9">
        <v>180</v>
      </c>
      <c r="F5" s="9">
        <v>4</v>
      </c>
      <c r="G5">
        <f t="shared" si="0"/>
        <v>3368.4449296114094</v>
      </c>
      <c r="H5" s="9">
        <v>4</v>
      </c>
      <c r="I5" s="9">
        <f>D5*H5</f>
        <v>3368.4449296114094</v>
      </c>
      <c r="J5" s="9">
        <v>4</v>
      </c>
      <c r="K5" s="9">
        <f>D5*4</f>
        <v>3368.4449296114094</v>
      </c>
    </row>
    <row r="6" spans="2:12" x14ac:dyDescent="0.35">
      <c r="B6" t="s">
        <v>46</v>
      </c>
      <c r="C6" s="13">
        <f t="shared" ref="C6" si="2">171381/14.1074</f>
        <v>12148.305144817614</v>
      </c>
      <c r="D6">
        <f>C6/4</f>
        <v>3037.0762862044035</v>
      </c>
      <c r="E6">
        <f t="shared" ref="E6:E9" si="3">D6/21.67</f>
        <v>140.15118994944177</v>
      </c>
      <c r="F6">
        <v>1</v>
      </c>
      <c r="G6">
        <f t="shared" si="0"/>
        <v>3037.0762862044035</v>
      </c>
      <c r="H6">
        <v>0</v>
      </c>
      <c r="I6">
        <f t="shared" ref="I6" si="4">H6*E6</f>
        <v>0</v>
      </c>
      <c r="J6">
        <v>0</v>
      </c>
      <c r="K6">
        <f t="shared" ref="K6:K8" si="5">J6*E6</f>
        <v>0</v>
      </c>
    </row>
    <row r="7" spans="2:12" x14ac:dyDescent="0.35">
      <c r="B7" t="s">
        <v>47</v>
      </c>
      <c r="C7" s="13">
        <f t="shared" ref="C7" si="6">256905/14.1074</f>
        <v>18210.655400711683</v>
      </c>
      <c r="D7">
        <f t="shared" ref="D7" si="7">C7/12</f>
        <v>1517.5546167259736</v>
      </c>
      <c r="E7">
        <f t="shared" si="3"/>
        <v>70.030208432209207</v>
      </c>
      <c r="F7">
        <v>0</v>
      </c>
      <c r="G7">
        <f t="shared" si="0"/>
        <v>0</v>
      </c>
      <c r="H7">
        <v>1</v>
      </c>
      <c r="I7">
        <f>D7*H7</f>
        <v>1517.5546167259736</v>
      </c>
      <c r="J7">
        <v>0</v>
      </c>
      <c r="K7">
        <f t="shared" si="5"/>
        <v>0</v>
      </c>
    </row>
    <row r="8" spans="2:12" x14ac:dyDescent="0.35">
      <c r="B8" t="s">
        <v>56</v>
      </c>
      <c r="C8" s="13">
        <f>171381/14.1074</f>
        <v>12148.305144817614</v>
      </c>
      <c r="D8" s="14">
        <f>C8/4</f>
        <v>3037.0762862044035</v>
      </c>
      <c r="E8">
        <f t="shared" si="3"/>
        <v>140.15118994944177</v>
      </c>
      <c r="F8">
        <v>1</v>
      </c>
      <c r="G8">
        <f t="shared" si="0"/>
        <v>3037.0762862044035</v>
      </c>
      <c r="H8">
        <v>1</v>
      </c>
      <c r="I8" s="14">
        <f>D8*H8</f>
        <v>3037.0762862044035</v>
      </c>
      <c r="J8">
        <v>1</v>
      </c>
      <c r="K8">
        <f t="shared" si="5"/>
        <v>140.15118994944177</v>
      </c>
    </row>
    <row r="9" spans="2:12" x14ac:dyDescent="0.35">
      <c r="B9" s="4" t="s">
        <v>68</v>
      </c>
      <c r="C9" s="4"/>
      <c r="D9" s="4">
        <f>SUM(D3:D8)</f>
        <v>16023.558557919958</v>
      </c>
      <c r="E9" s="4">
        <f t="shared" si="3"/>
        <v>739.43509727364824</v>
      </c>
      <c r="F9" s="4">
        <f>SUM(F3:F8)</f>
        <v>8</v>
      </c>
      <c r="G9">
        <f>SUM(G3:G8)</f>
        <v>17032.33763840254</v>
      </c>
      <c r="H9" s="4">
        <f t="shared" ref="H9:J9" si="8">SUM(H3:H8)</f>
        <v>8</v>
      </c>
      <c r="I9" s="4">
        <f>SUM(I3:I8)</f>
        <v>15512.815968924111</v>
      </c>
      <c r="J9" s="4">
        <f t="shared" si="8"/>
        <v>7</v>
      </c>
      <c r="K9" s="4">
        <f>SUM(K3:K8)</f>
        <v>11098.336255943175</v>
      </c>
      <c r="L9" s="4"/>
    </row>
    <row r="10" spans="2:12" x14ac:dyDescent="0.35">
      <c r="B10" s="4" t="s">
        <v>88</v>
      </c>
      <c r="G10">
        <f t="shared" si="0"/>
        <v>0</v>
      </c>
    </row>
    <row r="13" spans="2:12" x14ac:dyDescent="0.35">
      <c r="C13" s="12"/>
    </row>
  </sheetData>
  <mergeCells count="3">
    <mergeCell ref="F1:G1"/>
    <mergeCell ref="H1:I1"/>
    <mergeCell ref="J1:K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"/>
  <sheetViews>
    <sheetView workbookViewId="0">
      <selection activeCell="E4" sqref="E4"/>
    </sheetView>
  </sheetViews>
  <sheetFormatPr defaultRowHeight="14.5" x14ac:dyDescent="0.35"/>
  <sheetData>
    <row r="2" spans="2:4" x14ac:dyDescent="0.35">
      <c r="B2" s="4" t="s">
        <v>36</v>
      </c>
      <c r="C2" s="4" t="s">
        <v>37</v>
      </c>
      <c r="D2" s="4" t="s">
        <v>38</v>
      </c>
    </row>
    <row r="3" spans="2:4" x14ac:dyDescent="0.35">
      <c r="B3" t="s">
        <v>39</v>
      </c>
      <c r="C3" t="s">
        <v>40</v>
      </c>
    </row>
    <row r="4" spans="2:4" x14ac:dyDescent="0.35">
      <c r="B4" t="s">
        <v>41</v>
      </c>
      <c r="C4" t="s">
        <v>42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"/>
  <sheetViews>
    <sheetView workbookViewId="0">
      <selection activeCell="M2" sqref="M2"/>
    </sheetView>
  </sheetViews>
  <sheetFormatPr defaultRowHeight="14.5" x14ac:dyDescent="0.35"/>
  <cols>
    <col min="1" max="1" width="6.81640625" customWidth="1"/>
    <col min="2" max="2" width="12.6328125" customWidth="1"/>
    <col min="3" max="3" width="13.81640625" customWidth="1"/>
    <col min="4" max="5" width="14.81640625" customWidth="1"/>
    <col min="6" max="6" width="21.6328125" customWidth="1"/>
    <col min="7" max="7" width="13.26953125" customWidth="1"/>
    <col min="8" max="8" width="12.6328125" customWidth="1"/>
    <col min="9" max="9" width="14.453125" customWidth="1"/>
    <col min="10" max="10" width="15.54296875" customWidth="1"/>
    <col min="11" max="11" width="11.54296875" customWidth="1"/>
  </cols>
  <sheetData>
    <row r="2" spans="1:11" x14ac:dyDescent="0.35">
      <c r="B2" s="4" t="s">
        <v>20</v>
      </c>
      <c r="C2" s="4" t="s">
        <v>23</v>
      </c>
      <c r="D2" s="4" t="s">
        <v>19</v>
      </c>
      <c r="E2" s="4" t="s">
        <v>24</v>
      </c>
      <c r="F2" s="4" t="s">
        <v>25</v>
      </c>
      <c r="G2" s="4" t="s">
        <v>26</v>
      </c>
      <c r="H2" s="4" t="s">
        <v>27</v>
      </c>
      <c r="I2" s="4" t="s">
        <v>29</v>
      </c>
      <c r="J2" s="4" t="s">
        <v>28</v>
      </c>
      <c r="K2" s="4" t="s">
        <v>30</v>
      </c>
    </row>
    <row r="3" spans="1:11" x14ac:dyDescent="0.35">
      <c r="A3" s="4" t="s">
        <v>21</v>
      </c>
      <c r="B3">
        <v>155.6</v>
      </c>
      <c r="C3">
        <v>600</v>
      </c>
      <c r="D3">
        <f>(B3/C3)</f>
        <v>0.2593333333333333</v>
      </c>
      <c r="E3">
        <v>40</v>
      </c>
      <c r="F3">
        <f>(D3*E3)</f>
        <v>10.373333333333331</v>
      </c>
      <c r="G3">
        <v>13</v>
      </c>
      <c r="H3">
        <f>E3*G3</f>
        <v>520</v>
      </c>
      <c r="I3">
        <f>F3*G3</f>
        <v>134.8533333333333</v>
      </c>
      <c r="J3">
        <v>1</v>
      </c>
      <c r="K3">
        <f>(I3*J3)/14.1074</f>
        <v>9.5590493877917471</v>
      </c>
    </row>
    <row r="4" spans="1:11" x14ac:dyDescent="0.35">
      <c r="A4" s="4" t="s">
        <v>22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"/>
  <sheetViews>
    <sheetView workbookViewId="0">
      <selection activeCell="F10" sqref="F10"/>
    </sheetView>
  </sheetViews>
  <sheetFormatPr defaultRowHeight="14.5" x14ac:dyDescent="0.35"/>
  <cols>
    <col min="2" max="2" width="17.26953125" customWidth="1"/>
    <col min="4" max="4" width="16.54296875" customWidth="1"/>
  </cols>
  <sheetData>
    <row r="2" spans="2:5" x14ac:dyDescent="0.35">
      <c r="B2" s="4" t="s">
        <v>31</v>
      </c>
      <c r="C2" s="4" t="s">
        <v>57</v>
      </c>
      <c r="D2" s="4" t="s">
        <v>58</v>
      </c>
      <c r="E2" s="4" t="s">
        <v>59</v>
      </c>
    </row>
    <row r="3" spans="2:5" x14ac:dyDescent="0.35">
      <c r="B3" t="s">
        <v>34</v>
      </c>
      <c r="C3">
        <v>42.67</v>
      </c>
      <c r="D3">
        <v>2</v>
      </c>
      <c r="E3">
        <f>(C3*D3)/14.1074</f>
        <v>6.0493074556615678</v>
      </c>
    </row>
    <row r="4" spans="2:5" x14ac:dyDescent="0.35">
      <c r="B4" t="s">
        <v>32</v>
      </c>
      <c r="C4">
        <v>104.25</v>
      </c>
      <c r="D4">
        <v>2</v>
      </c>
      <c r="E4">
        <f>(C4*D4)/14.1074</f>
        <v>14.779477437373293</v>
      </c>
    </row>
    <row r="5" spans="2:5" x14ac:dyDescent="0.35">
      <c r="B5" t="s">
        <v>33</v>
      </c>
      <c r="C5">
        <v>112.53</v>
      </c>
      <c r="D5">
        <v>2</v>
      </c>
      <c r="E5">
        <f>(C5*D5)/14.1074</f>
        <v>15.953329458298482</v>
      </c>
    </row>
    <row r="6" spans="2:5" x14ac:dyDescent="0.35">
      <c r="B6" t="s">
        <v>35</v>
      </c>
      <c r="C6">
        <v>29.67</v>
      </c>
      <c r="D6">
        <v>2</v>
      </c>
      <c r="E6">
        <f>(C6*D6)/14.1074</f>
        <v>4.2063030749819248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"/>
  <sheetViews>
    <sheetView topLeftCell="B1" workbookViewId="0">
      <pane xSplit="1" topLeftCell="C1" activePane="topRight" state="frozen"/>
      <selection activeCell="B22" sqref="B22"/>
      <selection pane="topRight" activeCell="B2" sqref="B2"/>
    </sheetView>
  </sheetViews>
  <sheetFormatPr defaultRowHeight="14.5" x14ac:dyDescent="0.35"/>
  <cols>
    <col min="4" max="4" width="11.453125" bestFit="1" customWidth="1"/>
    <col min="5" max="5" width="12.453125" bestFit="1" customWidth="1"/>
    <col min="7" max="7" width="11" bestFit="1" customWidth="1"/>
    <col min="8" max="8" width="12.453125" bestFit="1" customWidth="1"/>
    <col min="9" max="9" width="14" customWidth="1"/>
    <col min="11" max="11" width="11" bestFit="1" customWidth="1"/>
    <col min="12" max="13" width="12.453125" bestFit="1" customWidth="1"/>
    <col min="15" max="15" width="11" bestFit="1" customWidth="1"/>
    <col min="16" max="17" width="12.453125" bestFit="1" customWidth="1"/>
    <col min="18" max="18" width="9" bestFit="1" customWidth="1"/>
    <col min="19" max="19" width="12.26953125" customWidth="1"/>
  </cols>
  <sheetData>
    <row r="1" spans="2:25" x14ac:dyDescent="0.35">
      <c r="F1" t="s">
        <v>105</v>
      </c>
      <c r="J1" t="s">
        <v>104</v>
      </c>
      <c r="N1" t="s">
        <v>103</v>
      </c>
      <c r="R1" t="s">
        <v>102</v>
      </c>
    </row>
    <row r="2" spans="2:25" x14ac:dyDescent="0.35">
      <c r="C2" t="s">
        <v>101</v>
      </c>
      <c r="D2" t="s">
        <v>100</v>
      </c>
      <c r="E2" t="s">
        <v>99</v>
      </c>
      <c r="F2" s="36" t="s">
        <v>107</v>
      </c>
      <c r="G2" t="s">
        <v>101</v>
      </c>
      <c r="H2" t="s">
        <v>100</v>
      </c>
      <c r="I2" t="s">
        <v>99</v>
      </c>
      <c r="J2" s="36" t="s">
        <v>108</v>
      </c>
      <c r="K2" t="s">
        <v>101</v>
      </c>
      <c r="L2" t="s">
        <v>100</v>
      </c>
      <c r="M2" t="s">
        <v>99</v>
      </c>
      <c r="N2" s="36" t="s">
        <v>109</v>
      </c>
      <c r="O2" t="s">
        <v>101</v>
      </c>
      <c r="P2" t="s">
        <v>100</v>
      </c>
      <c r="Q2" t="s">
        <v>99</v>
      </c>
      <c r="R2" s="36" t="s">
        <v>110</v>
      </c>
      <c r="S2" s="36" t="s">
        <v>114</v>
      </c>
      <c r="T2" s="36" t="s">
        <v>116</v>
      </c>
      <c r="U2" s="36" t="s">
        <v>129</v>
      </c>
      <c r="V2" s="36" t="s">
        <v>130</v>
      </c>
      <c r="W2" s="36" t="s">
        <v>131</v>
      </c>
      <c r="X2" s="36" t="s">
        <v>132</v>
      </c>
    </row>
    <row r="3" spans="2:25" x14ac:dyDescent="0.35">
      <c r="B3" s="38">
        <v>50</v>
      </c>
      <c r="C3">
        <f>Pediatrician!$G$4</f>
        <v>19026.507251492902</v>
      </c>
      <c r="D3" s="29">
        <f>B3*Pediatrician!$D$20</f>
        <v>1100.0040045188664</v>
      </c>
      <c r="E3" s="30">
        <f t="shared" ref="E3:E41" si="0">D3+C3</f>
        <v>20126.511256011767</v>
      </c>
      <c r="F3" s="41">
        <f t="shared" ref="F3:F41" si="1">E3/B3</f>
        <v>402.53022512023534</v>
      </c>
      <c r="G3" s="23">
        <f>'GP or MO'!$D$12</f>
        <v>17506.985582014473</v>
      </c>
      <c r="H3" s="23">
        <f>B3*'GP or MO'!$D$20</f>
        <v>1100.0040045188664</v>
      </c>
      <c r="I3" s="19">
        <f t="shared" ref="I3:I41" si="2">G3+H3</f>
        <v>18606.989586533338</v>
      </c>
      <c r="J3" s="41">
        <f t="shared" ref="J3:J41" si="3">I3/B3</f>
        <v>372.13979173066679</v>
      </c>
      <c r="K3" s="23">
        <f>WBOT!$D$12</f>
        <v>13092.505869033534</v>
      </c>
      <c r="L3" s="19">
        <f>B3*WBOT!$D$20</f>
        <v>1100.0040045188664</v>
      </c>
      <c r="M3" s="19">
        <f t="shared" ref="M3:M41" si="4">L3+K3</f>
        <v>14192.509873552401</v>
      </c>
      <c r="N3" s="41">
        <f>M3/B3</f>
        <v>283.85019747104803</v>
      </c>
      <c r="O3" s="23">
        <f>'WBOT + Sampling'!$D$12</f>
        <v>16117.159596864318</v>
      </c>
      <c r="P3" s="19">
        <f>'WBOT + Sampling'!$D$19*B3</f>
        <v>797.53863173578793</v>
      </c>
      <c r="Q3" s="19">
        <f t="shared" ref="Q3:Q41" si="5">P3+O3</f>
        <v>16914.698228600108</v>
      </c>
      <c r="R3" s="41">
        <f>Q3/B3</f>
        <v>338.29396457200215</v>
      </c>
      <c r="S3" s="41">
        <f>(F3-N3)</f>
        <v>118.68002764918731</v>
      </c>
      <c r="T3" s="29">
        <f>(F3-R3)</f>
        <v>64.23626054823319</v>
      </c>
      <c r="U3" s="23"/>
      <c r="V3" s="49">
        <f>((J3-F3)/F3)*100</f>
        <v>-7.5498512889289158</v>
      </c>
      <c r="W3" s="29">
        <f>((N3-F3)/F3)*100</f>
        <v>-29.483507136324409</v>
      </c>
    </row>
    <row r="4" spans="2:25" x14ac:dyDescent="0.35">
      <c r="B4" s="38">
        <v>100</v>
      </c>
      <c r="C4">
        <f>Pediatrician!$G$4</f>
        <v>19026.507251492902</v>
      </c>
      <c r="D4" s="29">
        <f>B4*Pediatrician!$D$20</f>
        <v>2200.0080090377328</v>
      </c>
      <c r="E4" s="30">
        <f t="shared" si="0"/>
        <v>21226.515260530636</v>
      </c>
      <c r="F4" s="41">
        <f t="shared" si="1"/>
        <v>212.26515260530635</v>
      </c>
      <c r="G4" s="23">
        <f>'GP or MO'!$D$12</f>
        <v>17506.985582014473</v>
      </c>
      <c r="H4" s="23">
        <f>B4*'GP or MO'!$D$20</f>
        <v>2200.0080090377328</v>
      </c>
      <c r="I4" s="19">
        <f t="shared" si="2"/>
        <v>19706.993591052207</v>
      </c>
      <c r="J4" s="41">
        <f t="shared" si="3"/>
        <v>197.06993591052208</v>
      </c>
      <c r="K4" s="23">
        <f>WBOT!$D$12</f>
        <v>13092.505869033534</v>
      </c>
      <c r="L4" s="19">
        <f>B4*WBOT!$D$20</f>
        <v>2200.0080090377328</v>
      </c>
      <c r="M4" s="19">
        <f t="shared" si="4"/>
        <v>15292.513878071266</v>
      </c>
      <c r="N4" s="41">
        <f t="shared" ref="N4:N41" si="6">M4/B4</f>
        <v>152.92513878071267</v>
      </c>
      <c r="O4" s="23">
        <f>'WBOT + Sampling'!$D$12</f>
        <v>16117.159596864318</v>
      </c>
      <c r="P4" s="19">
        <f>'WBOT + Sampling'!$D$19*B4</f>
        <v>1595.0772634715759</v>
      </c>
      <c r="Q4" s="19">
        <f t="shared" si="5"/>
        <v>17712.236860335892</v>
      </c>
      <c r="R4" s="41">
        <f t="shared" ref="R4:R41" si="7">Q4/B4</f>
        <v>177.12236860335892</v>
      </c>
      <c r="S4" s="41">
        <f t="shared" ref="S4:S41" si="8">(F4-N4)</f>
        <v>59.340013824593683</v>
      </c>
      <c r="T4" s="29">
        <f>(F4-R4)</f>
        <v>35.142784001947433</v>
      </c>
      <c r="U4" s="23"/>
    </row>
    <row r="5" spans="2:25" x14ac:dyDescent="0.35">
      <c r="B5" s="38">
        <v>150</v>
      </c>
      <c r="C5">
        <f>Pediatrician!$G$4</f>
        <v>19026.507251492902</v>
      </c>
      <c r="D5" s="29">
        <f>B5*Pediatrician!$D$20</f>
        <v>3300.012013556599</v>
      </c>
      <c r="E5" s="30">
        <f t="shared" si="0"/>
        <v>22326.519265049501</v>
      </c>
      <c r="F5" s="41">
        <f t="shared" si="1"/>
        <v>148.84346176699668</v>
      </c>
      <c r="G5" s="23">
        <f>'GP or MO'!$D$12</f>
        <v>17506.985582014473</v>
      </c>
      <c r="H5" s="23">
        <f>B5*'GP or MO'!$D$20</f>
        <v>3300.012013556599</v>
      </c>
      <c r="I5" s="19">
        <f t="shared" si="2"/>
        <v>20806.997595571072</v>
      </c>
      <c r="J5" s="41">
        <f t="shared" si="3"/>
        <v>138.71331730380714</v>
      </c>
      <c r="K5" s="23">
        <f>WBOT!$D$12</f>
        <v>13092.505869033534</v>
      </c>
      <c r="L5" s="19">
        <f>B5*WBOT!$D$20</f>
        <v>3300.012013556599</v>
      </c>
      <c r="M5" s="19">
        <f t="shared" si="4"/>
        <v>16392.517882590131</v>
      </c>
      <c r="N5" s="41">
        <f t="shared" si="6"/>
        <v>109.28345255060087</v>
      </c>
      <c r="O5" s="23">
        <f>'WBOT + Sampling'!$D$12</f>
        <v>16117.159596864318</v>
      </c>
      <c r="P5" s="19">
        <f>'WBOT + Sampling'!$D$19*B5</f>
        <v>2392.6158952073638</v>
      </c>
      <c r="Q5" s="19">
        <f t="shared" si="5"/>
        <v>18509.775492071683</v>
      </c>
      <c r="R5" s="41">
        <f t="shared" si="7"/>
        <v>123.39850328047788</v>
      </c>
      <c r="S5" s="41">
        <f t="shared" si="8"/>
        <v>39.560009216395812</v>
      </c>
      <c r="T5" s="29">
        <f t="shared" ref="T5:T41" si="9">(F5-R5)</f>
        <v>25.4449584865188</v>
      </c>
    </row>
    <row r="6" spans="2:25" x14ac:dyDescent="0.35">
      <c r="B6" s="38">
        <v>200</v>
      </c>
      <c r="C6">
        <f>Pediatrician!$G$4</f>
        <v>19026.507251492902</v>
      </c>
      <c r="D6" s="29">
        <f>B6*Pediatrician!$D$20</f>
        <v>4400.0160180754656</v>
      </c>
      <c r="E6" s="30">
        <f t="shared" si="0"/>
        <v>23426.523269568366</v>
      </c>
      <c r="F6" s="41">
        <f t="shared" si="1"/>
        <v>117.13261634784183</v>
      </c>
      <c r="G6" s="23">
        <f>'GP or MO'!$D$12</f>
        <v>17506.985582014473</v>
      </c>
      <c r="H6" s="23">
        <f>B6*'GP or MO'!$D$20</f>
        <v>4400.0160180754656</v>
      </c>
      <c r="I6" s="19">
        <f t="shared" si="2"/>
        <v>21907.001600089938</v>
      </c>
      <c r="J6" s="41">
        <f t="shared" si="3"/>
        <v>109.53500800044969</v>
      </c>
      <c r="K6" s="23">
        <f>WBOT!$D$12</f>
        <v>13092.505869033534</v>
      </c>
      <c r="L6" s="19">
        <f>B6*WBOT!$D$20</f>
        <v>4400.0160180754656</v>
      </c>
      <c r="M6" s="19">
        <f t="shared" si="4"/>
        <v>17492.521887109</v>
      </c>
      <c r="N6" s="41">
        <f t="shared" si="6"/>
        <v>87.462609435545005</v>
      </c>
      <c r="O6" s="23">
        <f>'WBOT + Sampling'!$D$12</f>
        <v>16117.159596864318</v>
      </c>
      <c r="P6" s="19">
        <f>'WBOT + Sampling'!$D$19*B6</f>
        <v>3190.1545269431517</v>
      </c>
      <c r="Q6" s="19">
        <f t="shared" si="5"/>
        <v>19307.314123807468</v>
      </c>
      <c r="R6" s="41">
        <f t="shared" si="7"/>
        <v>96.536570619037334</v>
      </c>
      <c r="S6" s="41">
        <f t="shared" si="8"/>
        <v>29.670006912296827</v>
      </c>
      <c r="T6" s="29">
        <f t="shared" si="9"/>
        <v>20.596045728804498</v>
      </c>
    </row>
    <row r="7" spans="2:25" x14ac:dyDescent="0.35">
      <c r="B7" s="38">
        <v>250</v>
      </c>
      <c r="C7" s="8">
        <f>Pediatrician!$G$4</f>
        <v>19026.507251492902</v>
      </c>
      <c r="D7" s="32">
        <f>B7*Pediatrician!$D$20</f>
        <v>5500.0200225943317</v>
      </c>
      <c r="E7" s="33">
        <f t="shared" si="0"/>
        <v>24526.527274087231</v>
      </c>
      <c r="F7" s="42">
        <f t="shared" si="1"/>
        <v>98.106109096348931</v>
      </c>
      <c r="G7" s="34">
        <f>'GP or MO'!$D$12</f>
        <v>17506.985582014473</v>
      </c>
      <c r="H7" s="34">
        <f>B7*'GP or MO'!$D$20</f>
        <v>5500.0200225943317</v>
      </c>
      <c r="I7" s="35">
        <f t="shared" si="2"/>
        <v>23007.005604608807</v>
      </c>
      <c r="J7" s="42">
        <f t="shared" si="3"/>
        <v>92.028022418435228</v>
      </c>
      <c r="K7" s="34">
        <f>WBOT!$D$12</f>
        <v>13092.505869033534</v>
      </c>
      <c r="L7" s="35">
        <f>B7*WBOT!$D$20</f>
        <v>5500.0200225943317</v>
      </c>
      <c r="M7" s="35">
        <f t="shared" si="4"/>
        <v>18592.525891627865</v>
      </c>
      <c r="N7" s="42">
        <f t="shared" si="6"/>
        <v>74.37010356651146</v>
      </c>
      <c r="O7" s="34">
        <f>'WBOT + Sampling'!$D$12</f>
        <v>16117.159596864318</v>
      </c>
      <c r="P7" s="35">
        <f>'WBOT + Sampling'!$D$19*B7</f>
        <v>3987.6931586789397</v>
      </c>
      <c r="Q7" s="35">
        <f t="shared" si="5"/>
        <v>20104.852755543259</v>
      </c>
      <c r="R7" s="42">
        <f t="shared" si="7"/>
        <v>80.419411022173037</v>
      </c>
      <c r="S7" s="41">
        <f t="shared" si="8"/>
        <v>23.73600552983747</v>
      </c>
      <c r="T7" s="29">
        <f t="shared" si="9"/>
        <v>17.686698074175894</v>
      </c>
      <c r="U7" s="29">
        <f>((F7-F3)/F3)*100</f>
        <v>-75.627641609510263</v>
      </c>
      <c r="V7" s="49">
        <f>((J7-J3)/J3)*100</f>
        <v>-75.270577223023821</v>
      </c>
      <c r="W7" s="49">
        <f>((N7-N3)/N3)*100</f>
        <v>-73.799523752631174</v>
      </c>
      <c r="X7" s="49">
        <f>((R7-R3)/R3)*100</f>
        <v>-76.227949817574512</v>
      </c>
      <c r="Y7" s="49">
        <f>((R7-N7)/N7)*100</f>
        <v>8.134058130296264</v>
      </c>
    </row>
    <row r="8" spans="2:25" x14ac:dyDescent="0.35">
      <c r="B8" s="38">
        <v>300</v>
      </c>
      <c r="C8">
        <f>Pediatrician!$G$4</f>
        <v>19026.507251492902</v>
      </c>
      <c r="D8" s="29">
        <f>B8*Pediatrician!$D$20</f>
        <v>6600.0240271131979</v>
      </c>
      <c r="E8" s="30">
        <f t="shared" si="0"/>
        <v>25626.5312786061</v>
      </c>
      <c r="F8" s="41">
        <f t="shared" si="1"/>
        <v>85.421770928686996</v>
      </c>
      <c r="G8" s="23">
        <f>'GP or MO'!$D$12</f>
        <v>17506.985582014473</v>
      </c>
      <c r="H8" s="23">
        <f>B8*'GP or MO'!$D$20</f>
        <v>6600.0240271131979</v>
      </c>
      <c r="I8" s="19">
        <f t="shared" si="2"/>
        <v>24107.009609127672</v>
      </c>
      <c r="J8" s="41">
        <f t="shared" si="3"/>
        <v>80.356698697092241</v>
      </c>
      <c r="K8" s="23">
        <f>WBOT!$D$12</f>
        <v>13092.505869033534</v>
      </c>
      <c r="L8" s="19">
        <f>B8*WBOT!$D$20</f>
        <v>6600.0240271131979</v>
      </c>
      <c r="M8" s="19">
        <f t="shared" si="4"/>
        <v>19692.529896146731</v>
      </c>
      <c r="N8" s="41">
        <f t="shared" si="6"/>
        <v>65.641766320489097</v>
      </c>
      <c r="O8" s="23">
        <f>'WBOT + Sampling'!$D$12</f>
        <v>16117.159596864318</v>
      </c>
      <c r="P8" s="19">
        <f>'WBOT + Sampling'!$D$19*B8</f>
        <v>4785.2317904147276</v>
      </c>
      <c r="Q8" s="19">
        <f t="shared" si="5"/>
        <v>20902.391387279044</v>
      </c>
      <c r="R8" s="41">
        <f t="shared" si="7"/>
        <v>69.674637957596815</v>
      </c>
      <c r="S8" s="41">
        <f t="shared" si="8"/>
        <v>19.780004608197899</v>
      </c>
      <c r="T8" s="29">
        <f t="shared" si="9"/>
        <v>15.747132971090181</v>
      </c>
    </row>
    <row r="9" spans="2:25" x14ac:dyDescent="0.35">
      <c r="B9" s="38">
        <v>350</v>
      </c>
      <c r="C9">
        <f>Pediatrician!$G$4</f>
        <v>19026.507251492902</v>
      </c>
      <c r="D9" s="29">
        <f>B9*Pediatrician!$D$20</f>
        <v>7700.028031632065</v>
      </c>
      <c r="E9" s="30">
        <f t="shared" si="0"/>
        <v>26726.535283124966</v>
      </c>
      <c r="F9" s="41">
        <f t="shared" si="1"/>
        <v>76.361529380357041</v>
      </c>
      <c r="G9" s="23">
        <f>'GP or MO'!$D$12</f>
        <v>17506.985582014473</v>
      </c>
      <c r="H9" s="23">
        <f>B9*'GP or MO'!$D$20</f>
        <v>7700.028031632065</v>
      </c>
      <c r="I9" s="19">
        <f t="shared" si="2"/>
        <v>25207.013613646537</v>
      </c>
      <c r="J9" s="41">
        <f t="shared" si="3"/>
        <v>72.020038896132959</v>
      </c>
      <c r="K9" s="23">
        <f>WBOT!$D$12</f>
        <v>13092.505869033534</v>
      </c>
      <c r="L9" s="19">
        <f>B9*WBOT!$D$20</f>
        <v>7700.028031632065</v>
      </c>
      <c r="M9" s="19">
        <f t="shared" si="4"/>
        <v>20792.5339006656</v>
      </c>
      <c r="N9" s="41">
        <f t="shared" si="6"/>
        <v>59.407239716187426</v>
      </c>
      <c r="O9" s="23">
        <f>'WBOT + Sampling'!$D$12</f>
        <v>16117.159596864318</v>
      </c>
      <c r="P9" s="19">
        <f>'WBOT + Sampling'!$D$19*B9</f>
        <v>5582.7704221505155</v>
      </c>
      <c r="Q9" s="19">
        <f t="shared" si="5"/>
        <v>21699.930019014835</v>
      </c>
      <c r="R9" s="41">
        <f t="shared" si="7"/>
        <v>61.999800054328098</v>
      </c>
      <c r="S9" s="41">
        <f t="shared" si="8"/>
        <v>16.954289664169615</v>
      </c>
      <c r="T9" s="29">
        <f t="shared" si="9"/>
        <v>14.361729326028943</v>
      </c>
    </row>
    <row r="10" spans="2:25" x14ac:dyDescent="0.35">
      <c r="B10" s="38">
        <v>400</v>
      </c>
      <c r="C10">
        <f>Pediatrician!$G$4</f>
        <v>19026.507251492902</v>
      </c>
      <c r="D10" s="29">
        <f>B10*Pediatrician!$D$20</f>
        <v>8800.0320361509312</v>
      </c>
      <c r="E10" s="30">
        <f t="shared" si="0"/>
        <v>27826.539287643835</v>
      </c>
      <c r="F10" s="41">
        <f t="shared" si="1"/>
        <v>69.566348219109585</v>
      </c>
      <c r="G10" s="23">
        <f>'GP or MO'!$D$12</f>
        <v>17506.985582014473</v>
      </c>
      <c r="H10" s="23">
        <f>B10*'GP or MO'!$D$20</f>
        <v>8800.0320361509312</v>
      </c>
      <c r="I10" s="19">
        <f t="shared" si="2"/>
        <v>26307.017618165402</v>
      </c>
      <c r="J10" s="41">
        <f t="shared" si="3"/>
        <v>65.767544045413501</v>
      </c>
      <c r="K10" s="23">
        <f>WBOT!$D$12</f>
        <v>13092.505869033534</v>
      </c>
      <c r="L10" s="19">
        <f>B10*WBOT!$D$20</f>
        <v>8800.0320361509312</v>
      </c>
      <c r="M10" s="19">
        <f t="shared" si="4"/>
        <v>21892.537905184465</v>
      </c>
      <c r="N10" s="41">
        <f t="shared" si="6"/>
        <v>54.731344762961164</v>
      </c>
      <c r="O10" s="23">
        <f>'WBOT + Sampling'!$D$12</f>
        <v>16117.159596864318</v>
      </c>
      <c r="P10" s="19">
        <f>'WBOT + Sampling'!$D$19*B10</f>
        <v>6380.3090538863034</v>
      </c>
      <c r="Q10" s="19">
        <f t="shared" si="5"/>
        <v>22497.468650750619</v>
      </c>
      <c r="R10" s="41">
        <f t="shared" si="7"/>
        <v>56.243671626876548</v>
      </c>
      <c r="S10" s="41">
        <f t="shared" si="8"/>
        <v>14.835003456148421</v>
      </c>
      <c r="T10" s="29">
        <f t="shared" si="9"/>
        <v>13.322676592233037</v>
      </c>
    </row>
    <row r="11" spans="2:25" x14ac:dyDescent="0.35">
      <c r="B11" s="38">
        <v>450</v>
      </c>
      <c r="C11">
        <f>Pediatrician!$G$4</f>
        <v>19026.507251492902</v>
      </c>
      <c r="D11" s="29">
        <f>B11*Pediatrician!$D$20</f>
        <v>9900.0360406697982</v>
      </c>
      <c r="E11" s="30">
        <f t="shared" si="0"/>
        <v>28926.5432921627</v>
      </c>
      <c r="F11" s="41">
        <f t="shared" si="1"/>
        <v>64.281207315917115</v>
      </c>
      <c r="G11" s="23">
        <f>'GP or MO'!$D$12</f>
        <v>17506.985582014473</v>
      </c>
      <c r="H11" s="23">
        <f>B11*'GP or MO'!$D$20</f>
        <v>9900.0360406697982</v>
      </c>
      <c r="I11" s="19">
        <f t="shared" si="2"/>
        <v>27407.021622684271</v>
      </c>
      <c r="J11" s="41">
        <f t="shared" si="3"/>
        <v>60.904492494853933</v>
      </c>
      <c r="K11" s="23">
        <f>WBOT!$D$12</f>
        <v>13092.505869033534</v>
      </c>
      <c r="L11" s="19">
        <f>B11*WBOT!$D$20</f>
        <v>9900.0360406697982</v>
      </c>
      <c r="M11" s="19">
        <f t="shared" si="4"/>
        <v>22992.54190970333</v>
      </c>
      <c r="N11" s="41">
        <f t="shared" si="6"/>
        <v>51.094537577118508</v>
      </c>
      <c r="O11" s="23">
        <f>'WBOT + Sampling'!$D$12</f>
        <v>16117.159596864318</v>
      </c>
      <c r="P11" s="19">
        <f>'WBOT + Sampling'!$D$19*B11</f>
        <v>7177.8476856220914</v>
      </c>
      <c r="Q11" s="19">
        <f t="shared" si="5"/>
        <v>23295.007282486411</v>
      </c>
      <c r="R11" s="41">
        <f t="shared" si="7"/>
        <v>51.766682849969804</v>
      </c>
      <c r="S11" s="41">
        <f t="shared" si="8"/>
        <v>13.186669738798606</v>
      </c>
      <c r="T11" s="29">
        <f t="shared" si="9"/>
        <v>12.514524465947311</v>
      </c>
    </row>
    <row r="12" spans="2:25" x14ac:dyDescent="0.35">
      <c r="B12" s="38">
        <v>500</v>
      </c>
      <c r="C12">
        <f>Pediatrician!$G$4</f>
        <v>19026.507251492902</v>
      </c>
      <c r="D12" s="29">
        <f>B12*Pediatrician!$D$20</f>
        <v>11000.040045188663</v>
      </c>
      <c r="E12" s="30">
        <f t="shared" si="0"/>
        <v>30026.547296681565</v>
      </c>
      <c r="F12" s="41">
        <f t="shared" si="1"/>
        <v>60.053094593363127</v>
      </c>
      <c r="G12" s="23">
        <f>'GP or MO'!$D$12</f>
        <v>17506.985582014473</v>
      </c>
      <c r="H12" s="23">
        <f>B12*'GP or MO'!$D$20</f>
        <v>11000.040045188663</v>
      </c>
      <c r="I12" s="19">
        <f t="shared" si="2"/>
        <v>28507.025627203137</v>
      </c>
      <c r="J12" s="41">
        <f t="shared" si="3"/>
        <v>57.014051254406276</v>
      </c>
      <c r="K12" s="23">
        <f>WBOT!$D$12</f>
        <v>13092.505869033534</v>
      </c>
      <c r="L12" s="19">
        <f>B12*WBOT!$D$20</f>
        <v>11000.040045188663</v>
      </c>
      <c r="M12" s="19">
        <f t="shared" si="4"/>
        <v>24092.545914222195</v>
      </c>
      <c r="N12" s="41">
        <f t="shared" si="6"/>
        <v>48.185091828444392</v>
      </c>
      <c r="O12" s="23">
        <f>'WBOT + Sampling'!$D$12</f>
        <v>16117.159596864318</v>
      </c>
      <c r="P12" s="19">
        <f>'WBOT + Sampling'!$D$19*B12</f>
        <v>7975.3863173578793</v>
      </c>
      <c r="Q12" s="19">
        <f t="shared" si="5"/>
        <v>24092.545914222195</v>
      </c>
      <c r="R12" s="41">
        <f t="shared" si="7"/>
        <v>48.185091828444392</v>
      </c>
      <c r="S12" s="41">
        <f t="shared" si="8"/>
        <v>11.868002764918735</v>
      </c>
      <c r="T12" s="29">
        <f t="shared" si="9"/>
        <v>11.868002764918735</v>
      </c>
    </row>
    <row r="13" spans="2:25" x14ac:dyDescent="0.35">
      <c r="B13" s="38">
        <v>550</v>
      </c>
      <c r="C13">
        <f>Pediatrician!$G$4</f>
        <v>19026.507251492902</v>
      </c>
      <c r="D13" s="29">
        <f>B13*Pediatrician!$D$20</f>
        <v>12100.044049707531</v>
      </c>
      <c r="E13" s="30">
        <f t="shared" si="0"/>
        <v>31126.55130120043</v>
      </c>
      <c r="F13" s="41">
        <f t="shared" si="1"/>
        <v>56.593729638546236</v>
      </c>
      <c r="G13" s="23">
        <f>'GP or MO'!$D$12</f>
        <v>17506.985582014473</v>
      </c>
      <c r="H13" s="23">
        <f>B13*'GP or MO'!$D$20</f>
        <v>12100.044049707531</v>
      </c>
      <c r="I13" s="19">
        <f t="shared" si="2"/>
        <v>29607.029631722005</v>
      </c>
      <c r="J13" s="41">
        <f t="shared" si="3"/>
        <v>53.830962966767281</v>
      </c>
      <c r="K13" s="23">
        <f>WBOT!$D$12</f>
        <v>13092.505869033534</v>
      </c>
      <c r="L13" s="19">
        <f>B13*WBOT!$D$20</f>
        <v>12100.044049707531</v>
      </c>
      <c r="M13" s="19">
        <f t="shared" si="4"/>
        <v>25192.549918741064</v>
      </c>
      <c r="N13" s="41">
        <f t="shared" si="6"/>
        <v>45.804636215892842</v>
      </c>
      <c r="O13" s="23">
        <f>'WBOT + Sampling'!$D$12</f>
        <v>16117.159596864318</v>
      </c>
      <c r="P13" s="19">
        <f>'WBOT + Sampling'!$D$19*B13</f>
        <v>8772.9249490936672</v>
      </c>
      <c r="Q13" s="19">
        <f t="shared" si="5"/>
        <v>24890.084545957987</v>
      </c>
      <c r="R13" s="41">
        <f t="shared" si="7"/>
        <v>45.254699174469067</v>
      </c>
      <c r="S13" s="41">
        <f t="shared" si="8"/>
        <v>10.789093422653394</v>
      </c>
      <c r="T13" s="29">
        <f t="shared" si="9"/>
        <v>11.339030464077169</v>
      </c>
    </row>
    <row r="14" spans="2:25" x14ac:dyDescent="0.35">
      <c r="B14" s="38">
        <v>600</v>
      </c>
      <c r="C14">
        <f>Pediatrician!$G$4</f>
        <v>19026.507251492902</v>
      </c>
      <c r="D14" s="29">
        <f>B14*Pediatrician!$D$20</f>
        <v>13200.048054226396</v>
      </c>
      <c r="E14" s="30">
        <f t="shared" si="0"/>
        <v>32226.555305719296</v>
      </c>
      <c r="F14" s="41">
        <f t="shared" si="1"/>
        <v>53.71092550953216</v>
      </c>
      <c r="G14" s="23">
        <f>'GP or MO'!$D$12</f>
        <v>17506.985582014473</v>
      </c>
      <c r="H14" s="23">
        <f>B14*'GP or MO'!$D$20</f>
        <v>13200.048054226396</v>
      </c>
      <c r="I14" s="19">
        <f t="shared" si="2"/>
        <v>30707.033636240871</v>
      </c>
      <c r="J14" s="41">
        <f t="shared" si="3"/>
        <v>51.178389393734783</v>
      </c>
      <c r="K14" s="23">
        <f>WBOT!$D$12</f>
        <v>13092.505869033534</v>
      </c>
      <c r="L14" s="19">
        <f>B14*WBOT!$D$20</f>
        <v>13200.048054226396</v>
      </c>
      <c r="M14" s="19">
        <f t="shared" si="4"/>
        <v>26292.553923259929</v>
      </c>
      <c r="N14" s="41">
        <f t="shared" si="6"/>
        <v>43.820923205433218</v>
      </c>
      <c r="O14" s="23">
        <f>'WBOT + Sampling'!$D$12</f>
        <v>16117.159596864318</v>
      </c>
      <c r="P14" s="19">
        <f>'WBOT + Sampling'!$D$19*B14</f>
        <v>9570.4635808294552</v>
      </c>
      <c r="Q14" s="19">
        <f t="shared" si="5"/>
        <v>25687.623177693771</v>
      </c>
      <c r="R14" s="41">
        <f t="shared" si="7"/>
        <v>42.812705296156288</v>
      </c>
      <c r="S14" s="41">
        <f t="shared" si="8"/>
        <v>9.8900023040989424</v>
      </c>
      <c r="T14" s="29">
        <f t="shared" si="9"/>
        <v>10.898220213375872</v>
      </c>
    </row>
    <row r="15" spans="2:25" x14ac:dyDescent="0.35">
      <c r="B15" s="38">
        <v>650</v>
      </c>
      <c r="C15">
        <f>Pediatrician!$G$4</f>
        <v>19026.507251492902</v>
      </c>
      <c r="D15" s="29">
        <f>B15*Pediatrician!$D$20</f>
        <v>14300.052058745263</v>
      </c>
      <c r="E15" s="30">
        <f t="shared" si="0"/>
        <v>33326.559310238168</v>
      </c>
      <c r="F15" s="41">
        <f t="shared" si="1"/>
        <v>51.271629708058718</v>
      </c>
      <c r="G15" s="23">
        <f>'GP or MO'!$D$12</f>
        <v>17506.985582014473</v>
      </c>
      <c r="H15" s="23">
        <f>B15*'GP or MO'!$D$20</f>
        <v>14300.052058745263</v>
      </c>
      <c r="I15" s="19">
        <f t="shared" si="2"/>
        <v>31807.037640759736</v>
      </c>
      <c r="J15" s="41">
        <f t="shared" si="3"/>
        <v>48.933904062707285</v>
      </c>
      <c r="K15" s="23">
        <f>WBOT!$D$12</f>
        <v>13092.505869033534</v>
      </c>
      <c r="L15" s="19">
        <f>B15*WBOT!$D$20</f>
        <v>14300.052058745263</v>
      </c>
      <c r="M15" s="19">
        <f t="shared" si="4"/>
        <v>27392.557927778798</v>
      </c>
      <c r="N15" s="41">
        <f t="shared" si="6"/>
        <v>42.14239681196738</v>
      </c>
      <c r="O15" s="23">
        <f>'WBOT + Sampling'!$D$12</f>
        <v>16117.159596864318</v>
      </c>
      <c r="P15" s="19">
        <f>'WBOT + Sampling'!$D$19*B15</f>
        <v>10368.002212565243</v>
      </c>
      <c r="Q15" s="19">
        <f t="shared" si="5"/>
        <v>26485.161809429563</v>
      </c>
      <c r="R15" s="41">
        <f t="shared" si="7"/>
        <v>40.746402783737786</v>
      </c>
      <c r="S15" s="41">
        <f t="shared" si="8"/>
        <v>9.129232896091338</v>
      </c>
      <c r="T15" s="29">
        <f t="shared" si="9"/>
        <v>10.525226924320933</v>
      </c>
    </row>
    <row r="16" spans="2:25" x14ac:dyDescent="0.35">
      <c r="B16" s="38">
        <v>700</v>
      </c>
      <c r="C16">
        <f>Pediatrician!$G$4</f>
        <v>19026.507251492902</v>
      </c>
      <c r="D16" s="29">
        <f>B16*Pediatrician!$D$20</f>
        <v>15400.05606326413</v>
      </c>
      <c r="E16" s="30">
        <f t="shared" si="0"/>
        <v>34426.563314757033</v>
      </c>
      <c r="F16" s="41">
        <f t="shared" si="1"/>
        <v>49.18080473536719</v>
      </c>
      <c r="G16" s="23">
        <f>'GP or MO'!$D$12</f>
        <v>17506.985582014473</v>
      </c>
      <c r="H16" s="23">
        <f>B16*'GP or MO'!$D$20</f>
        <v>15400.05606326413</v>
      </c>
      <c r="I16" s="19">
        <f t="shared" si="2"/>
        <v>32907.041645278601</v>
      </c>
      <c r="J16" s="41">
        <f t="shared" si="3"/>
        <v>47.010059493255142</v>
      </c>
      <c r="K16" s="23">
        <f>WBOT!$D$12</f>
        <v>13092.505869033534</v>
      </c>
      <c r="L16" s="19">
        <f>B16*WBOT!$D$20</f>
        <v>15400.05606326413</v>
      </c>
      <c r="M16" s="19">
        <f t="shared" si="4"/>
        <v>28492.561932297664</v>
      </c>
      <c r="N16" s="41">
        <f t="shared" si="6"/>
        <v>40.703659903282379</v>
      </c>
      <c r="O16" s="23">
        <f>'WBOT + Sampling'!$D$12</f>
        <v>16117.159596864318</v>
      </c>
      <c r="P16" s="19">
        <f>'WBOT + Sampling'!$D$19*B16</f>
        <v>11165.540844301031</v>
      </c>
      <c r="Q16" s="19">
        <f t="shared" si="5"/>
        <v>27282.700441165347</v>
      </c>
      <c r="R16" s="41">
        <f t="shared" si="7"/>
        <v>38.975286344521926</v>
      </c>
      <c r="S16" s="41">
        <f t="shared" si="8"/>
        <v>8.4771448320848108</v>
      </c>
      <c r="T16" s="29">
        <f t="shared" si="9"/>
        <v>10.205518390845263</v>
      </c>
    </row>
    <row r="17" spans="2:20" x14ac:dyDescent="0.35">
      <c r="B17" s="38">
        <v>750</v>
      </c>
      <c r="C17">
        <f>Pediatrician!$G$4</f>
        <v>19026.507251492902</v>
      </c>
      <c r="D17" s="29">
        <f>B17*Pediatrician!$D$20</f>
        <v>16500.060067782997</v>
      </c>
      <c r="E17" s="30">
        <f t="shared" si="0"/>
        <v>35526.567319275899</v>
      </c>
      <c r="F17" s="41">
        <f t="shared" si="1"/>
        <v>47.3687564257012</v>
      </c>
      <c r="G17" s="23">
        <f>'GP or MO'!$D$12</f>
        <v>17506.985582014473</v>
      </c>
      <c r="H17" s="23">
        <f>B17*'GP or MO'!$D$20</f>
        <v>16500.060067782997</v>
      </c>
      <c r="I17" s="19">
        <f t="shared" si="2"/>
        <v>34007.045649797466</v>
      </c>
      <c r="J17" s="41">
        <f t="shared" si="3"/>
        <v>45.34272753306329</v>
      </c>
      <c r="K17" s="23">
        <f>WBOT!$D$12</f>
        <v>13092.505869033534</v>
      </c>
      <c r="L17" s="19">
        <f>B17*WBOT!$D$20</f>
        <v>16500.060067782997</v>
      </c>
      <c r="M17" s="19">
        <f t="shared" si="4"/>
        <v>29592.565936816529</v>
      </c>
      <c r="N17" s="41">
        <f t="shared" si="6"/>
        <v>39.456754582422036</v>
      </c>
      <c r="O17" s="23">
        <f>'WBOT + Sampling'!$D$12</f>
        <v>16117.159596864318</v>
      </c>
      <c r="P17" s="19">
        <f>'WBOT + Sampling'!$D$19*B17</f>
        <v>11963.079476036819</v>
      </c>
      <c r="Q17" s="19">
        <f t="shared" si="5"/>
        <v>28080.239072901139</v>
      </c>
      <c r="R17" s="41">
        <f t="shared" si="7"/>
        <v>37.440318763868184</v>
      </c>
      <c r="S17" s="41">
        <f t="shared" si="8"/>
        <v>7.9120018432791639</v>
      </c>
      <c r="T17" s="29">
        <f t="shared" si="9"/>
        <v>9.9284376618330157</v>
      </c>
    </row>
    <row r="18" spans="2:20" x14ac:dyDescent="0.35">
      <c r="B18" s="38">
        <v>800</v>
      </c>
      <c r="C18">
        <f>Pediatrician!$G$4</f>
        <v>19026.507251492902</v>
      </c>
      <c r="D18" s="29">
        <f>B18*Pediatrician!$D$20</f>
        <v>17600.064072301862</v>
      </c>
      <c r="E18" s="30">
        <f t="shared" si="0"/>
        <v>36626.571323794764</v>
      </c>
      <c r="F18" s="41">
        <f t="shared" si="1"/>
        <v>45.783214154743455</v>
      </c>
      <c r="G18" s="23">
        <f>'GP or MO'!$D$12</f>
        <v>17506.985582014473</v>
      </c>
      <c r="H18" s="23">
        <f>B18*'GP or MO'!$D$20</f>
        <v>17600.064072301862</v>
      </c>
      <c r="I18" s="19">
        <f t="shared" si="2"/>
        <v>35107.049654316332</v>
      </c>
      <c r="J18" s="41">
        <f t="shared" si="3"/>
        <v>43.883812067895413</v>
      </c>
      <c r="K18" s="23">
        <f>WBOT!$D$12</f>
        <v>13092.505869033534</v>
      </c>
      <c r="L18" s="19">
        <f>B18*WBOT!$D$20</f>
        <v>17600.064072301862</v>
      </c>
      <c r="M18" s="19">
        <f t="shared" si="4"/>
        <v>30692.569941335394</v>
      </c>
      <c r="N18" s="41">
        <f t="shared" si="6"/>
        <v>38.365712426669241</v>
      </c>
      <c r="O18" s="23">
        <f>'WBOT + Sampling'!$D$12</f>
        <v>16117.159596864318</v>
      </c>
      <c r="P18" s="19">
        <f>'WBOT + Sampling'!$D$19*B18</f>
        <v>12760.618107772607</v>
      </c>
      <c r="Q18" s="19">
        <f t="shared" si="5"/>
        <v>28877.777704636923</v>
      </c>
      <c r="R18" s="41">
        <f t="shared" si="7"/>
        <v>36.097222130796155</v>
      </c>
      <c r="S18" s="41">
        <f t="shared" si="8"/>
        <v>7.4175017280742139</v>
      </c>
      <c r="T18" s="29">
        <f t="shared" si="9"/>
        <v>9.6859920239472999</v>
      </c>
    </row>
    <row r="19" spans="2:20" x14ac:dyDescent="0.35">
      <c r="B19" s="38">
        <v>850</v>
      </c>
      <c r="C19">
        <f>Pediatrician!$G$4</f>
        <v>19026.507251492902</v>
      </c>
      <c r="D19" s="29">
        <f>B19*Pediatrician!$D$20</f>
        <v>18700.068076820728</v>
      </c>
      <c r="E19" s="30">
        <f t="shared" si="0"/>
        <v>37726.575328313629</v>
      </c>
      <c r="F19" s="41">
        <f t="shared" si="1"/>
        <v>44.384206268604267</v>
      </c>
      <c r="G19" s="23">
        <f>'GP or MO'!$D$12</f>
        <v>17506.985582014473</v>
      </c>
      <c r="H19" s="23">
        <f>B19*'GP or MO'!$D$20</f>
        <v>18700.068076820728</v>
      </c>
      <c r="I19" s="19">
        <f t="shared" si="2"/>
        <v>36207.053658835197</v>
      </c>
      <c r="J19" s="41">
        <f t="shared" si="3"/>
        <v>42.596533716276703</v>
      </c>
      <c r="K19" s="23">
        <f>WBOT!$D$12</f>
        <v>13092.505869033534</v>
      </c>
      <c r="L19" s="19">
        <f>B19*WBOT!$D$20</f>
        <v>18700.068076820728</v>
      </c>
      <c r="M19" s="19">
        <f t="shared" si="4"/>
        <v>31792.573945854259</v>
      </c>
      <c r="N19" s="41">
        <f t="shared" si="6"/>
        <v>37.403028171593249</v>
      </c>
      <c r="O19" s="23">
        <f>'WBOT + Sampling'!$D$12</f>
        <v>16117.159596864318</v>
      </c>
      <c r="P19" s="19">
        <f>'WBOT + Sampling'!$D$19*B19</f>
        <v>13558.156739508395</v>
      </c>
      <c r="Q19" s="19">
        <f t="shared" si="5"/>
        <v>29675.316336372714</v>
      </c>
      <c r="R19" s="41">
        <f t="shared" si="7"/>
        <v>34.912136866320843</v>
      </c>
      <c r="S19" s="41">
        <f t="shared" si="8"/>
        <v>6.9811780970110178</v>
      </c>
      <c r="T19" s="29">
        <f t="shared" si="9"/>
        <v>9.4720694022834238</v>
      </c>
    </row>
    <row r="20" spans="2:20" x14ac:dyDescent="0.35">
      <c r="B20" s="38">
        <v>900</v>
      </c>
      <c r="C20">
        <f>Pediatrician!$G$4</f>
        <v>19026.507251492902</v>
      </c>
      <c r="D20" s="29">
        <f>B20*Pediatrician!$D$20</f>
        <v>19800.072081339596</v>
      </c>
      <c r="E20" s="30">
        <f t="shared" si="0"/>
        <v>38826.579332832494</v>
      </c>
      <c r="F20" s="41">
        <f t="shared" si="1"/>
        <v>43.140643703147219</v>
      </c>
      <c r="G20" s="23">
        <f>'GP or MO'!$D$12</f>
        <v>17506.985582014473</v>
      </c>
      <c r="H20" s="23">
        <f>B20*'GP or MO'!$D$20</f>
        <v>19800.072081339596</v>
      </c>
      <c r="I20" s="19">
        <f t="shared" si="2"/>
        <v>37307.05766335407</v>
      </c>
      <c r="J20" s="41">
        <f t="shared" si="3"/>
        <v>41.452286292615632</v>
      </c>
      <c r="K20" s="23">
        <f>WBOT!$D$12</f>
        <v>13092.505869033534</v>
      </c>
      <c r="L20" s="19">
        <f>B20*WBOT!$D$20</f>
        <v>19800.072081339596</v>
      </c>
      <c r="M20" s="19">
        <f t="shared" si="4"/>
        <v>32892.577950373132</v>
      </c>
      <c r="N20" s="41">
        <f t="shared" si="6"/>
        <v>36.547308833747927</v>
      </c>
      <c r="O20" s="23">
        <f>'WBOT + Sampling'!$D$12</f>
        <v>16117.159596864318</v>
      </c>
      <c r="P20" s="19">
        <f>'WBOT + Sampling'!$D$19*B20</f>
        <v>14355.695371244183</v>
      </c>
      <c r="Q20" s="19">
        <f t="shared" si="5"/>
        <v>30472.854968108499</v>
      </c>
      <c r="R20" s="41">
        <f t="shared" si="7"/>
        <v>33.858727742342779</v>
      </c>
      <c r="S20" s="41">
        <f t="shared" si="8"/>
        <v>6.5933348693992926</v>
      </c>
      <c r="T20" s="29">
        <f t="shared" si="9"/>
        <v>9.2819159608044401</v>
      </c>
    </row>
    <row r="21" spans="2:20" x14ac:dyDescent="0.35">
      <c r="B21" s="38">
        <v>950</v>
      </c>
      <c r="C21">
        <f>Pediatrician!$G$4</f>
        <v>19026.507251492902</v>
      </c>
      <c r="D21" s="29">
        <f>B21*Pediatrician!$D$20</f>
        <v>20900.076085858462</v>
      </c>
      <c r="E21" s="30">
        <f t="shared" si="0"/>
        <v>39926.58333735136</v>
      </c>
      <c r="F21" s="41">
        <f t="shared" si="1"/>
        <v>42.027982460369856</v>
      </c>
      <c r="G21" s="23">
        <f>'GP or MO'!$D$12</f>
        <v>17506.985582014473</v>
      </c>
      <c r="H21" s="23">
        <f>B21*'GP or MO'!$D$20</f>
        <v>20900.076085858462</v>
      </c>
      <c r="I21" s="19">
        <f t="shared" si="2"/>
        <v>38407.061667872935</v>
      </c>
      <c r="J21" s="41">
        <f t="shared" si="3"/>
        <v>40.428485966182038</v>
      </c>
      <c r="K21" s="23">
        <f>WBOT!$D$12</f>
        <v>13092.505869033534</v>
      </c>
      <c r="L21" s="19">
        <f>B21*WBOT!$D$20</f>
        <v>20900.076085858462</v>
      </c>
      <c r="M21" s="19">
        <f t="shared" si="4"/>
        <v>33992.581954891997</v>
      </c>
      <c r="N21" s="41">
        <f t="shared" si="6"/>
        <v>35.781665215675787</v>
      </c>
      <c r="O21" s="23">
        <f>'WBOT + Sampling'!$D$12</f>
        <v>16117.159596864318</v>
      </c>
      <c r="P21" s="19">
        <f>'WBOT + Sampling'!$D$19*B21</f>
        <v>15153.234002979971</v>
      </c>
      <c r="Q21" s="19">
        <f t="shared" si="5"/>
        <v>31270.39359984429</v>
      </c>
      <c r="R21" s="41">
        <f t="shared" si="7"/>
        <v>32.916203789309776</v>
      </c>
      <c r="S21" s="41">
        <f t="shared" si="8"/>
        <v>6.2463172446940689</v>
      </c>
      <c r="T21" s="29">
        <f t="shared" si="9"/>
        <v>9.1117786710600797</v>
      </c>
    </row>
    <row r="22" spans="2:20" x14ac:dyDescent="0.35">
      <c r="B22" s="38">
        <v>1000</v>
      </c>
      <c r="C22">
        <f>Pediatrician!$G$4</f>
        <v>19026.507251492902</v>
      </c>
      <c r="D22" s="29">
        <f>B22*Pediatrician!$D$20</f>
        <v>22000.080090377327</v>
      </c>
      <c r="E22" s="30">
        <f t="shared" si="0"/>
        <v>41026.587341870225</v>
      </c>
      <c r="F22" s="41">
        <f t="shared" si="1"/>
        <v>41.026587341870226</v>
      </c>
      <c r="G22" s="23">
        <f>'GP or MO'!$D$12</f>
        <v>17506.985582014473</v>
      </c>
      <c r="H22" s="23">
        <f>B22*'GP or MO'!$D$20</f>
        <v>22000.080090377327</v>
      </c>
      <c r="I22" s="19">
        <f t="shared" si="2"/>
        <v>39507.0656723918</v>
      </c>
      <c r="J22" s="41">
        <f t="shared" si="3"/>
        <v>39.507065672391803</v>
      </c>
      <c r="K22" s="23">
        <f>WBOT!$D$12</f>
        <v>13092.505869033534</v>
      </c>
      <c r="L22" s="19">
        <f>B22*WBOT!$D$20</f>
        <v>22000.080090377327</v>
      </c>
      <c r="M22" s="19">
        <f t="shared" si="4"/>
        <v>35092.585959410862</v>
      </c>
      <c r="N22" s="41">
        <f t="shared" si="6"/>
        <v>35.092585959410862</v>
      </c>
      <c r="O22" s="23">
        <f>'WBOT + Sampling'!$D$12</f>
        <v>16117.159596864318</v>
      </c>
      <c r="P22" s="19">
        <f>'WBOT + Sampling'!$D$19*B22</f>
        <v>15950.772634715759</v>
      </c>
      <c r="Q22" s="19">
        <f t="shared" si="5"/>
        <v>32067.932231580075</v>
      </c>
      <c r="R22" s="41">
        <f t="shared" si="7"/>
        <v>32.067932231580073</v>
      </c>
      <c r="S22" s="41">
        <f t="shared" si="8"/>
        <v>5.934001382459364</v>
      </c>
      <c r="T22" s="29">
        <f t="shared" si="9"/>
        <v>8.9586551102901524</v>
      </c>
    </row>
    <row r="23" spans="2:20" x14ac:dyDescent="0.35">
      <c r="B23" s="38">
        <v>1050</v>
      </c>
      <c r="C23">
        <f>Pediatrician!$G$4</f>
        <v>19026.507251492902</v>
      </c>
      <c r="D23" s="29">
        <f>B23*Pediatrician!$D$20</f>
        <v>23100.084094896192</v>
      </c>
      <c r="E23" s="30">
        <f t="shared" si="0"/>
        <v>42126.59134638909</v>
      </c>
      <c r="F23" s="41">
        <f t="shared" si="1"/>
        <v>40.120563187037227</v>
      </c>
      <c r="G23" s="23">
        <f>'GP or MO'!$D$12</f>
        <v>17506.985582014473</v>
      </c>
      <c r="H23" s="23">
        <f>B23*'GP or MO'!$D$20</f>
        <v>23100.084094896192</v>
      </c>
      <c r="I23" s="19">
        <f t="shared" si="2"/>
        <v>40607.069676910665</v>
      </c>
      <c r="J23" s="41">
        <f t="shared" si="3"/>
        <v>38.673399692295874</v>
      </c>
      <c r="K23" s="23">
        <f>WBOT!$D$12</f>
        <v>13092.505869033534</v>
      </c>
      <c r="L23" s="19">
        <f>B23*WBOT!$D$20</f>
        <v>23100.084094896192</v>
      </c>
      <c r="M23" s="19">
        <f t="shared" si="4"/>
        <v>36192.589963929728</v>
      </c>
      <c r="N23" s="41">
        <f t="shared" si="6"/>
        <v>34.469133298980694</v>
      </c>
      <c r="O23" s="23">
        <f>'WBOT + Sampling'!$D$12</f>
        <v>16117.159596864318</v>
      </c>
      <c r="P23" s="19">
        <f>'WBOT + Sampling'!$D$19*B23</f>
        <v>16748.311266451547</v>
      </c>
      <c r="Q23" s="19">
        <f t="shared" si="5"/>
        <v>32865.470863315866</v>
      </c>
      <c r="R23" s="41">
        <f t="shared" si="7"/>
        <v>31.300448441253206</v>
      </c>
      <c r="S23" s="41">
        <f t="shared" si="8"/>
        <v>5.6514298880565335</v>
      </c>
      <c r="T23" s="29">
        <f t="shared" si="9"/>
        <v>8.8201147457840214</v>
      </c>
    </row>
    <row r="24" spans="2:20" x14ac:dyDescent="0.35">
      <c r="B24" s="38">
        <v>1100</v>
      </c>
      <c r="C24">
        <f>Pediatrician!$G$4</f>
        <v>19026.507251492902</v>
      </c>
      <c r="D24" s="29">
        <f>B24*Pediatrician!$D$20</f>
        <v>24200.088099415061</v>
      </c>
      <c r="E24" s="30">
        <f t="shared" si="0"/>
        <v>43226.595350907963</v>
      </c>
      <c r="F24" s="41">
        <f t="shared" si="1"/>
        <v>39.296904864461787</v>
      </c>
      <c r="G24" s="23">
        <f>'GP or MO'!$D$12</f>
        <v>17506.985582014473</v>
      </c>
      <c r="H24" s="23">
        <f>B24*'GP or MO'!$D$20</f>
        <v>24200.088099415061</v>
      </c>
      <c r="I24" s="19">
        <f t="shared" si="2"/>
        <v>41707.073681429538</v>
      </c>
      <c r="J24" s="41">
        <f t="shared" si="3"/>
        <v>37.915521528572306</v>
      </c>
      <c r="K24" s="23">
        <f>WBOT!$D$12</f>
        <v>13092.505869033534</v>
      </c>
      <c r="L24" s="19">
        <f>B24*WBOT!$D$20</f>
        <v>24200.088099415061</v>
      </c>
      <c r="M24" s="19">
        <f t="shared" si="4"/>
        <v>37292.593968448593</v>
      </c>
      <c r="N24" s="41">
        <f t="shared" si="6"/>
        <v>33.902358153135083</v>
      </c>
      <c r="O24" s="23">
        <f>'WBOT + Sampling'!$D$12</f>
        <v>16117.159596864318</v>
      </c>
      <c r="P24" s="19">
        <f>'WBOT + Sampling'!$D$19*B24</f>
        <v>17545.849898187334</v>
      </c>
      <c r="Q24" s="19">
        <f t="shared" si="5"/>
        <v>33663.00949505165</v>
      </c>
      <c r="R24" s="41">
        <f t="shared" si="7"/>
        <v>30.602735904592411</v>
      </c>
      <c r="S24" s="41">
        <f t="shared" si="8"/>
        <v>5.3945467113267043</v>
      </c>
      <c r="T24" s="29">
        <f t="shared" si="9"/>
        <v>8.6941689598693763</v>
      </c>
    </row>
    <row r="25" spans="2:20" x14ac:dyDescent="0.35">
      <c r="B25" s="38">
        <v>1150</v>
      </c>
      <c r="C25">
        <f>Pediatrician!$G$4</f>
        <v>19026.507251492902</v>
      </c>
      <c r="D25" s="29">
        <f>B25*Pediatrician!$D$20</f>
        <v>25300.092103933926</v>
      </c>
      <c r="E25" s="30">
        <f t="shared" si="0"/>
        <v>44326.599355426828</v>
      </c>
      <c r="F25" s="41">
        <f t="shared" si="1"/>
        <v>38.544869004718983</v>
      </c>
      <c r="G25" s="23">
        <f>'GP or MO'!$D$12</f>
        <v>17506.985582014473</v>
      </c>
      <c r="H25" s="23">
        <f>B25*'GP or MO'!$D$20</f>
        <v>25300.092103933926</v>
      </c>
      <c r="I25" s="19">
        <f t="shared" si="2"/>
        <v>42807.077685948403</v>
      </c>
      <c r="J25" s="41">
        <f t="shared" si="3"/>
        <v>37.223545813868178</v>
      </c>
      <c r="K25" s="23">
        <f>WBOT!$D$12</f>
        <v>13092.505869033534</v>
      </c>
      <c r="L25" s="19">
        <f>B25*WBOT!$D$20</f>
        <v>25300.092103933926</v>
      </c>
      <c r="M25" s="19">
        <f t="shared" si="4"/>
        <v>38392.597972967458</v>
      </c>
      <c r="N25" s="41">
        <f t="shared" si="6"/>
        <v>33.384867802580395</v>
      </c>
      <c r="O25" s="23">
        <f>'WBOT + Sampling'!$D$12</f>
        <v>16117.159596864318</v>
      </c>
      <c r="P25" s="19">
        <f>'WBOT + Sampling'!$D$19*B25</f>
        <v>18343.388529923122</v>
      </c>
      <c r="Q25" s="19">
        <f t="shared" si="5"/>
        <v>34460.548126787442</v>
      </c>
      <c r="R25" s="41">
        <f t="shared" si="7"/>
        <v>29.965694023293427</v>
      </c>
      <c r="S25" s="41">
        <f t="shared" si="8"/>
        <v>5.1600012021385879</v>
      </c>
      <c r="T25" s="29">
        <f t="shared" si="9"/>
        <v>8.579174981425556</v>
      </c>
    </row>
    <row r="26" spans="2:20" x14ac:dyDescent="0.35">
      <c r="B26" s="38">
        <v>1200</v>
      </c>
      <c r="C26">
        <f>Pediatrician!$G$4</f>
        <v>19026.507251492902</v>
      </c>
      <c r="D26" s="29">
        <f>B26*Pediatrician!$D$20</f>
        <v>26400.096108452792</v>
      </c>
      <c r="E26" s="30">
        <f t="shared" si="0"/>
        <v>45426.603359945693</v>
      </c>
      <c r="F26" s="41">
        <f t="shared" si="1"/>
        <v>37.855502799954742</v>
      </c>
      <c r="G26" s="23">
        <f>'GP or MO'!$D$12</f>
        <v>17506.985582014473</v>
      </c>
      <c r="H26" s="23">
        <f>B26*'GP or MO'!$D$20</f>
        <v>26400.096108452792</v>
      </c>
      <c r="I26" s="19">
        <f t="shared" si="2"/>
        <v>43907.081690467268</v>
      </c>
      <c r="J26" s="41">
        <f t="shared" si="3"/>
        <v>36.589234742056057</v>
      </c>
      <c r="K26" s="23">
        <f>WBOT!$D$12</f>
        <v>13092.505869033534</v>
      </c>
      <c r="L26" s="19">
        <f>B26*WBOT!$D$20</f>
        <v>26400.096108452792</v>
      </c>
      <c r="M26" s="19">
        <f t="shared" si="4"/>
        <v>39492.601977486323</v>
      </c>
      <c r="N26" s="41">
        <f t="shared" si="6"/>
        <v>32.910501647905271</v>
      </c>
      <c r="O26" s="23">
        <f>'WBOT + Sampling'!$D$12</f>
        <v>16117.159596864318</v>
      </c>
      <c r="P26" s="19">
        <f>'WBOT + Sampling'!$D$19*B26</f>
        <v>19140.92716165891</v>
      </c>
      <c r="Q26" s="19">
        <f t="shared" si="5"/>
        <v>35258.086758523226</v>
      </c>
      <c r="R26" s="41">
        <f t="shared" si="7"/>
        <v>29.381738965436021</v>
      </c>
      <c r="S26" s="41">
        <f t="shared" si="8"/>
        <v>4.9450011520494712</v>
      </c>
      <c r="T26" s="29">
        <f t="shared" si="9"/>
        <v>8.4737638345187207</v>
      </c>
    </row>
    <row r="27" spans="2:20" x14ac:dyDescent="0.35">
      <c r="B27" s="38">
        <v>1250</v>
      </c>
      <c r="C27">
        <f>Pediatrician!$G$4</f>
        <v>19026.507251492902</v>
      </c>
      <c r="D27" s="29">
        <f>B27*Pediatrician!$D$20</f>
        <v>27500.100112971661</v>
      </c>
      <c r="E27" s="30">
        <f t="shared" si="0"/>
        <v>46526.607364464566</v>
      </c>
      <c r="F27" s="41">
        <f t="shared" si="1"/>
        <v>37.221285891571654</v>
      </c>
      <c r="G27" s="23">
        <f>'GP or MO'!$D$12</f>
        <v>17506.985582014473</v>
      </c>
      <c r="H27" s="23">
        <f>B27*'GP or MO'!$D$20</f>
        <v>27500.100112971661</v>
      </c>
      <c r="I27" s="19">
        <f t="shared" si="2"/>
        <v>45007.085694986134</v>
      </c>
      <c r="J27" s="41">
        <f t="shared" si="3"/>
        <v>36.005668555988905</v>
      </c>
      <c r="K27" s="23">
        <f>WBOT!$D$12</f>
        <v>13092.505869033534</v>
      </c>
      <c r="L27" s="19">
        <f>B27*WBOT!$D$20</f>
        <v>27500.100112971661</v>
      </c>
      <c r="M27" s="19">
        <f t="shared" si="4"/>
        <v>40592.605982005196</v>
      </c>
      <c r="N27" s="41">
        <f t="shared" si="6"/>
        <v>32.474084785604155</v>
      </c>
      <c r="O27" s="23">
        <f>'WBOT + Sampling'!$D$12</f>
        <v>16117.159596864318</v>
      </c>
      <c r="P27" s="19">
        <f>'WBOT + Sampling'!$D$19*B27</f>
        <v>19938.465793394698</v>
      </c>
      <c r="Q27" s="19">
        <f t="shared" si="5"/>
        <v>36055.625390259018</v>
      </c>
      <c r="R27" s="41">
        <f t="shared" si="7"/>
        <v>28.844500312207213</v>
      </c>
      <c r="S27" s="41">
        <f t="shared" si="8"/>
        <v>4.7472011059674983</v>
      </c>
      <c r="T27" s="29">
        <f t="shared" si="9"/>
        <v>8.3767855793644408</v>
      </c>
    </row>
    <row r="28" spans="2:20" x14ac:dyDescent="0.35">
      <c r="B28" s="38">
        <v>1300</v>
      </c>
      <c r="C28">
        <f>Pediatrician!$G$4</f>
        <v>19026.507251492902</v>
      </c>
      <c r="D28" s="29">
        <f>B28*Pediatrician!$D$20</f>
        <v>28600.104117490526</v>
      </c>
      <c r="E28" s="30">
        <f t="shared" si="0"/>
        <v>47626.611368983431</v>
      </c>
      <c r="F28" s="41">
        <f t="shared" si="1"/>
        <v>36.635854899218025</v>
      </c>
      <c r="G28" s="23">
        <f>'GP or MO'!$D$12</f>
        <v>17506.985582014473</v>
      </c>
      <c r="H28" s="23">
        <f>B28*'GP or MO'!$D$20</f>
        <v>28600.104117490526</v>
      </c>
      <c r="I28" s="19">
        <f t="shared" si="2"/>
        <v>46107.089699504999</v>
      </c>
      <c r="J28" s="41">
        <f t="shared" si="3"/>
        <v>35.466992076542304</v>
      </c>
      <c r="K28" s="23">
        <f>WBOT!$D$12</f>
        <v>13092.505869033534</v>
      </c>
      <c r="L28" s="19">
        <f>B28*WBOT!$D$20</f>
        <v>28600.104117490526</v>
      </c>
      <c r="M28" s="19">
        <f t="shared" si="4"/>
        <v>41692.609986524061</v>
      </c>
      <c r="N28" s="41">
        <f t="shared" si="6"/>
        <v>32.071238451172356</v>
      </c>
      <c r="O28" s="23">
        <f>'WBOT + Sampling'!$D$12</f>
        <v>16117.159596864318</v>
      </c>
      <c r="P28" s="19">
        <f>'WBOT + Sampling'!$D$19*B28</f>
        <v>20736.004425130486</v>
      </c>
      <c r="Q28" s="19">
        <f t="shared" si="5"/>
        <v>36853.164021994802</v>
      </c>
      <c r="R28" s="41">
        <f t="shared" si="7"/>
        <v>28.34858770922677</v>
      </c>
      <c r="S28" s="41">
        <f t="shared" si="8"/>
        <v>4.564616448045669</v>
      </c>
      <c r="T28" s="29">
        <f t="shared" si="9"/>
        <v>8.2872671899912547</v>
      </c>
    </row>
    <row r="29" spans="2:20" x14ac:dyDescent="0.35">
      <c r="B29" s="38">
        <v>1350</v>
      </c>
      <c r="C29">
        <f>Pediatrician!$G$4</f>
        <v>19026.507251492902</v>
      </c>
      <c r="D29" s="29">
        <f>B29*Pediatrician!$D$20</f>
        <v>29700.108122009391</v>
      </c>
      <c r="E29" s="30">
        <f t="shared" si="0"/>
        <v>48726.615373502296</v>
      </c>
      <c r="F29" s="41">
        <f t="shared" si="1"/>
        <v>36.093789165557254</v>
      </c>
      <c r="G29" s="23">
        <f>'GP or MO'!$D$12</f>
        <v>17506.985582014473</v>
      </c>
      <c r="H29" s="23">
        <f>B29*'GP or MO'!$D$20</f>
        <v>29700.108122009391</v>
      </c>
      <c r="I29" s="19">
        <f t="shared" si="2"/>
        <v>47207.093704023864</v>
      </c>
      <c r="J29" s="41">
        <f t="shared" si="3"/>
        <v>34.968217558536196</v>
      </c>
      <c r="K29" s="23">
        <f>WBOT!$D$12</f>
        <v>13092.505869033534</v>
      </c>
      <c r="L29" s="19">
        <f>B29*WBOT!$D$20</f>
        <v>29700.108122009391</v>
      </c>
      <c r="M29" s="19">
        <f t="shared" si="4"/>
        <v>42792.613991042927</v>
      </c>
      <c r="N29" s="41">
        <f t="shared" si="6"/>
        <v>31.698232585957722</v>
      </c>
      <c r="O29" s="23">
        <f>'WBOT + Sampling'!$D$12</f>
        <v>16117.159596864318</v>
      </c>
      <c r="P29" s="19">
        <f>'WBOT + Sampling'!$D$19*B29</f>
        <v>21533.543056866274</v>
      </c>
      <c r="Q29" s="19">
        <f t="shared" si="5"/>
        <v>37650.702653730594</v>
      </c>
      <c r="R29" s="41">
        <f t="shared" si="7"/>
        <v>27.889409373133773</v>
      </c>
      <c r="S29" s="41">
        <f t="shared" si="8"/>
        <v>4.3955565795995319</v>
      </c>
      <c r="T29" s="29">
        <f t="shared" si="9"/>
        <v>8.2043797924234809</v>
      </c>
    </row>
    <row r="30" spans="2:20" x14ac:dyDescent="0.35">
      <c r="B30" s="38">
        <v>1400</v>
      </c>
      <c r="C30">
        <f>Pediatrician!$G$4</f>
        <v>19026.507251492902</v>
      </c>
      <c r="D30" s="29">
        <f>B30*Pediatrician!$D$20</f>
        <v>30800.11212652826</v>
      </c>
      <c r="E30" s="30">
        <f t="shared" si="0"/>
        <v>49826.619378021162</v>
      </c>
      <c r="F30" s="41">
        <f t="shared" si="1"/>
        <v>35.590442412872257</v>
      </c>
      <c r="G30" s="23">
        <f>'GP or MO'!$D$12</f>
        <v>17506.985582014473</v>
      </c>
      <c r="H30" s="23">
        <f>B30*'GP or MO'!$D$20</f>
        <v>30800.11212652826</v>
      </c>
      <c r="I30" s="19">
        <f t="shared" si="2"/>
        <v>48307.097708542729</v>
      </c>
      <c r="J30" s="41">
        <f t="shared" si="3"/>
        <v>34.505069791816233</v>
      </c>
      <c r="K30" s="23">
        <f>WBOT!$D$12</f>
        <v>13092.505869033534</v>
      </c>
      <c r="L30" s="19">
        <f>B30*WBOT!$D$20</f>
        <v>30800.11212652826</v>
      </c>
      <c r="M30" s="19">
        <f t="shared" si="4"/>
        <v>43892.617995561792</v>
      </c>
      <c r="N30" s="41">
        <f t="shared" si="6"/>
        <v>31.351869996829851</v>
      </c>
      <c r="O30" s="23">
        <f>'WBOT + Sampling'!$D$12</f>
        <v>16117.159596864318</v>
      </c>
      <c r="P30" s="19">
        <f>'WBOT + Sampling'!$D$19*B30</f>
        <v>22331.081688602062</v>
      </c>
      <c r="Q30" s="19">
        <f t="shared" si="5"/>
        <v>38448.241285466378</v>
      </c>
      <c r="R30" s="41">
        <f t="shared" si="7"/>
        <v>27.46302948961884</v>
      </c>
      <c r="S30" s="41">
        <f t="shared" si="8"/>
        <v>4.2385724160424054</v>
      </c>
      <c r="T30" s="29">
        <f t="shared" si="9"/>
        <v>8.1274129232534165</v>
      </c>
    </row>
    <row r="31" spans="2:20" x14ac:dyDescent="0.35">
      <c r="B31" s="38">
        <v>1450</v>
      </c>
      <c r="C31">
        <f>Pediatrician!$G$4</f>
        <v>19026.507251492902</v>
      </c>
      <c r="D31" s="29">
        <f>B31*Pediatrician!$D$20</f>
        <v>31900.116131047125</v>
      </c>
      <c r="E31" s="30">
        <f t="shared" si="0"/>
        <v>50926.623382540027</v>
      </c>
      <c r="F31" s="41">
        <f t="shared" si="1"/>
        <v>35.121809229337948</v>
      </c>
      <c r="G31" s="23">
        <f>'GP or MO'!$D$12</f>
        <v>17506.985582014473</v>
      </c>
      <c r="H31" s="23">
        <f>B31*'GP or MO'!$D$20</f>
        <v>31900.116131047125</v>
      </c>
      <c r="I31" s="19">
        <f t="shared" si="2"/>
        <v>49407.101713061595</v>
      </c>
      <c r="J31" s="41">
        <f t="shared" si="3"/>
        <v>34.073863250387305</v>
      </c>
      <c r="K31" s="23">
        <f>WBOT!$D$12</f>
        <v>13092.505869033534</v>
      </c>
      <c r="L31" s="19">
        <f>B31*WBOT!$D$20</f>
        <v>31900.116131047125</v>
      </c>
      <c r="M31" s="19">
        <f t="shared" si="4"/>
        <v>44992.622000080657</v>
      </c>
      <c r="N31" s="41">
        <f t="shared" si="6"/>
        <v>31.029394482814247</v>
      </c>
      <c r="O31" s="23">
        <f>'WBOT + Sampling'!$D$12</f>
        <v>16117.159596864318</v>
      </c>
      <c r="P31" s="19">
        <f>'WBOT + Sampling'!$D$19*B31</f>
        <v>23128.62032033785</v>
      </c>
      <c r="Q31" s="19">
        <f t="shared" si="5"/>
        <v>39245.77991720217</v>
      </c>
      <c r="R31" s="41">
        <f t="shared" si="7"/>
        <v>27.06605511531184</v>
      </c>
      <c r="S31" s="41">
        <f t="shared" si="8"/>
        <v>4.0924147465237013</v>
      </c>
      <c r="T31" s="29">
        <f t="shared" si="9"/>
        <v>8.055754114026108</v>
      </c>
    </row>
    <row r="32" spans="2:20" x14ac:dyDescent="0.35">
      <c r="B32" s="38">
        <v>1500</v>
      </c>
      <c r="C32">
        <f>Pediatrician!$G$4</f>
        <v>19026.507251492902</v>
      </c>
      <c r="D32" s="29">
        <f>B32*Pediatrician!$D$20</f>
        <v>33000.120135565994</v>
      </c>
      <c r="E32" s="30">
        <f t="shared" si="0"/>
        <v>52026.627387058892</v>
      </c>
      <c r="F32" s="41">
        <f t="shared" si="1"/>
        <v>34.684418258039258</v>
      </c>
      <c r="G32" s="23">
        <f>'GP or MO'!$D$12</f>
        <v>17506.985582014473</v>
      </c>
      <c r="H32" s="23">
        <f>B32*'GP or MO'!$D$20</f>
        <v>33000.120135565994</v>
      </c>
      <c r="I32" s="19">
        <f t="shared" si="2"/>
        <v>50507.105717580467</v>
      </c>
      <c r="J32" s="41">
        <f t="shared" si="3"/>
        <v>33.67140381172031</v>
      </c>
      <c r="K32" s="23">
        <f>WBOT!$D$12</f>
        <v>13092.505869033534</v>
      </c>
      <c r="L32" s="19">
        <f>B32*WBOT!$D$20</f>
        <v>33000.120135565994</v>
      </c>
      <c r="M32" s="19">
        <f t="shared" si="4"/>
        <v>46092.62600459953</v>
      </c>
      <c r="N32" s="41">
        <f t="shared" si="6"/>
        <v>30.728417336399687</v>
      </c>
      <c r="O32" s="23">
        <f>'WBOT + Sampling'!$D$12</f>
        <v>16117.159596864318</v>
      </c>
      <c r="P32" s="19">
        <f>'WBOT + Sampling'!$D$19*B32</f>
        <v>23926.158952073638</v>
      </c>
      <c r="Q32" s="19">
        <f t="shared" si="5"/>
        <v>40043.318548937954</v>
      </c>
      <c r="R32" s="41">
        <f t="shared" si="7"/>
        <v>26.695545699291969</v>
      </c>
      <c r="S32" s="41">
        <f t="shared" si="8"/>
        <v>3.9560009216395713</v>
      </c>
      <c r="T32" s="29">
        <f t="shared" si="9"/>
        <v>7.9888725587472891</v>
      </c>
    </row>
    <row r="33" spans="2:25" x14ac:dyDescent="0.35">
      <c r="B33" s="38">
        <v>1550</v>
      </c>
      <c r="C33">
        <f>Pediatrician!$G$4</f>
        <v>19026.507251492902</v>
      </c>
      <c r="D33" s="29">
        <f>B33*Pediatrician!$D$20</f>
        <v>34100.124140084859</v>
      </c>
      <c r="E33" s="30">
        <f t="shared" si="0"/>
        <v>53126.631391577757</v>
      </c>
      <c r="F33" s="41">
        <f t="shared" si="1"/>
        <v>34.275246059082427</v>
      </c>
      <c r="G33" s="23">
        <f>'GP or MO'!$D$12</f>
        <v>17506.985582014473</v>
      </c>
      <c r="H33" s="23">
        <f>B33*'GP or MO'!$D$20</f>
        <v>34100.124140084859</v>
      </c>
      <c r="I33" s="19">
        <f t="shared" si="2"/>
        <v>51607.109722099332</v>
      </c>
      <c r="J33" s="41">
        <f t="shared" si="3"/>
        <v>33.294909498128604</v>
      </c>
      <c r="K33" s="23">
        <f>WBOT!$D$12</f>
        <v>13092.505869033534</v>
      </c>
      <c r="L33" s="19">
        <f>B33*WBOT!$D$20</f>
        <v>34100.124140084859</v>
      </c>
      <c r="M33" s="19">
        <f t="shared" si="4"/>
        <v>47192.630009118395</v>
      </c>
      <c r="N33" s="41">
        <f t="shared" si="6"/>
        <v>30.446858070398964</v>
      </c>
      <c r="O33" s="23">
        <f>'WBOT + Sampling'!$D$12</f>
        <v>16117.159596864318</v>
      </c>
      <c r="P33" s="19">
        <f>'WBOT + Sampling'!$D$19*B33</f>
        <v>24723.697583809426</v>
      </c>
      <c r="Q33" s="19">
        <f t="shared" si="5"/>
        <v>40840.857180673745</v>
      </c>
      <c r="R33" s="41">
        <f t="shared" si="7"/>
        <v>26.348940116563707</v>
      </c>
      <c r="S33" s="41">
        <f t="shared" si="8"/>
        <v>3.8283879886834633</v>
      </c>
      <c r="T33" s="29">
        <f t="shared" si="9"/>
        <v>7.9263059425187201</v>
      </c>
    </row>
    <row r="34" spans="2:25" x14ac:dyDescent="0.35">
      <c r="B34" s="38">
        <v>1600</v>
      </c>
      <c r="C34">
        <f>Pediatrician!$G$4</f>
        <v>19026.507251492902</v>
      </c>
      <c r="D34" s="29">
        <f>B34*Pediatrician!$D$20</f>
        <v>35200.128144603725</v>
      </c>
      <c r="E34" s="30">
        <f t="shared" si="0"/>
        <v>54226.635396096623</v>
      </c>
      <c r="F34" s="41">
        <f t="shared" si="1"/>
        <v>33.891647122560386</v>
      </c>
      <c r="G34" s="23">
        <f>'GP or MO'!$D$12</f>
        <v>17506.985582014473</v>
      </c>
      <c r="H34" s="23">
        <f>B34*'GP or MO'!$D$20</f>
        <v>35200.128144603725</v>
      </c>
      <c r="I34" s="19">
        <f t="shared" si="2"/>
        <v>52707.113726618198</v>
      </c>
      <c r="J34" s="41">
        <f t="shared" si="3"/>
        <v>32.941946079136372</v>
      </c>
      <c r="K34" s="23">
        <f>WBOT!$D$12</f>
        <v>13092.505869033534</v>
      </c>
      <c r="L34" s="19">
        <f>B34*WBOT!$D$20</f>
        <v>35200.128144603725</v>
      </c>
      <c r="M34" s="19">
        <f t="shared" si="4"/>
        <v>48292.63401363726</v>
      </c>
      <c r="N34" s="41">
        <f t="shared" si="6"/>
        <v>30.182896258523286</v>
      </c>
      <c r="O34" s="23">
        <f>'WBOT + Sampling'!$D$12</f>
        <v>16117.159596864318</v>
      </c>
      <c r="P34" s="19">
        <f>'WBOT + Sampling'!$D$19*B34</f>
        <v>25521.236215545214</v>
      </c>
      <c r="Q34" s="19">
        <f t="shared" si="5"/>
        <v>41638.39581240953</v>
      </c>
      <c r="R34" s="41">
        <f t="shared" si="7"/>
        <v>26.023997382755955</v>
      </c>
      <c r="S34" s="41">
        <f t="shared" si="8"/>
        <v>3.7087508640370999</v>
      </c>
      <c r="T34" s="29">
        <f t="shared" si="9"/>
        <v>7.8676497398044312</v>
      </c>
    </row>
    <row r="35" spans="2:25" x14ac:dyDescent="0.35">
      <c r="B35" s="38">
        <v>1650</v>
      </c>
      <c r="C35">
        <f>Pediatrician!$G$4</f>
        <v>19026.507251492902</v>
      </c>
      <c r="D35" s="29">
        <f>B35*Pediatrician!$D$20</f>
        <v>36300.13214912259</v>
      </c>
      <c r="E35" s="30">
        <f t="shared" si="0"/>
        <v>55326.639400615488</v>
      </c>
      <c r="F35" s="41">
        <f t="shared" si="1"/>
        <v>33.531296606433628</v>
      </c>
      <c r="G35" s="23">
        <f>'GP or MO'!$D$12</f>
        <v>17506.985582014473</v>
      </c>
      <c r="H35" s="23">
        <f>B35*'GP or MO'!$D$20</f>
        <v>36300.13214912259</v>
      </c>
      <c r="I35" s="19">
        <f t="shared" si="2"/>
        <v>53807.117731137063</v>
      </c>
      <c r="J35" s="41">
        <f t="shared" si="3"/>
        <v>32.61037438250731</v>
      </c>
      <c r="K35" s="23">
        <f>WBOT!$D$12</f>
        <v>13092.505869033534</v>
      </c>
      <c r="L35" s="19">
        <f>B35*WBOT!$D$20</f>
        <v>36300.13214912259</v>
      </c>
      <c r="M35" s="19">
        <f t="shared" si="4"/>
        <v>49392.638018156125</v>
      </c>
      <c r="N35" s="41">
        <f t="shared" si="6"/>
        <v>29.934932132215835</v>
      </c>
      <c r="O35" s="23">
        <f>'WBOT + Sampling'!$D$12</f>
        <v>16117.159596864318</v>
      </c>
      <c r="P35" s="19">
        <f>'WBOT + Sampling'!$D$19*B35</f>
        <v>26318.774847281002</v>
      </c>
      <c r="Q35" s="19">
        <f t="shared" si="5"/>
        <v>42435.934444145321</v>
      </c>
      <c r="R35" s="41">
        <f t="shared" si="7"/>
        <v>25.71874814796686</v>
      </c>
      <c r="S35" s="41">
        <f t="shared" si="8"/>
        <v>3.5963644742177934</v>
      </c>
      <c r="T35" s="29">
        <f t="shared" si="9"/>
        <v>7.8125484584667682</v>
      </c>
    </row>
    <row r="36" spans="2:25" x14ac:dyDescent="0.35">
      <c r="B36" s="38">
        <v>1700</v>
      </c>
      <c r="C36">
        <f>Pediatrician!$G$4</f>
        <v>19026.507251492902</v>
      </c>
      <c r="D36" s="29">
        <f>B36*Pediatrician!$D$20</f>
        <v>37400.136153641455</v>
      </c>
      <c r="E36" s="30">
        <f t="shared" si="0"/>
        <v>56426.643405134353</v>
      </c>
      <c r="F36" s="41">
        <f t="shared" si="1"/>
        <v>33.192143179490799</v>
      </c>
      <c r="G36" s="23">
        <f>'GP or MO'!$D$12</f>
        <v>17506.985582014473</v>
      </c>
      <c r="H36" s="23">
        <f>B36*'GP or MO'!$D$20</f>
        <v>37400.136153641455</v>
      </c>
      <c r="I36" s="19">
        <f t="shared" si="2"/>
        <v>54907.121735655928</v>
      </c>
      <c r="J36" s="41">
        <f t="shared" si="3"/>
        <v>32.298306903327017</v>
      </c>
      <c r="K36" s="23">
        <f>WBOT!$D$12</f>
        <v>13092.505869033534</v>
      </c>
      <c r="L36" s="19">
        <f>B36*WBOT!$D$20</f>
        <v>37400.136153641455</v>
      </c>
      <c r="M36" s="19">
        <f t="shared" si="4"/>
        <v>50492.642022674991</v>
      </c>
      <c r="N36" s="41">
        <f t="shared" si="6"/>
        <v>29.70155413098529</v>
      </c>
      <c r="O36" s="23">
        <f>'WBOT + Sampling'!$D$12</f>
        <v>16117.159596864318</v>
      </c>
      <c r="P36" s="19">
        <f>'WBOT + Sampling'!$D$19*B36</f>
        <v>27116.31347901679</v>
      </c>
      <c r="Q36" s="19">
        <f t="shared" si="5"/>
        <v>43233.473075881106</v>
      </c>
      <c r="R36" s="41">
        <f t="shared" si="7"/>
        <v>25.431454750518299</v>
      </c>
      <c r="S36" s="41">
        <f t="shared" si="8"/>
        <v>3.4905890485055089</v>
      </c>
      <c r="T36" s="29">
        <f t="shared" si="9"/>
        <v>7.7606884289725002</v>
      </c>
    </row>
    <row r="37" spans="2:25" x14ac:dyDescent="0.35">
      <c r="B37" s="38">
        <v>1750</v>
      </c>
      <c r="C37">
        <f>Pediatrician!$G$4</f>
        <v>19026.507251492902</v>
      </c>
      <c r="D37" s="29">
        <f>B37*Pediatrician!$D$20</f>
        <v>38500.14015816032</v>
      </c>
      <c r="E37" s="30">
        <f t="shared" si="0"/>
        <v>57526.647409653218</v>
      </c>
      <c r="F37" s="41">
        <f t="shared" si="1"/>
        <v>32.872369948373269</v>
      </c>
      <c r="G37" s="23">
        <f>'GP or MO'!$D$12</f>
        <v>17506.985582014473</v>
      </c>
      <c r="H37" s="23">
        <f>B37*'GP or MO'!$D$20</f>
        <v>38500.14015816032</v>
      </c>
      <c r="I37" s="19">
        <f t="shared" si="2"/>
        <v>56007.125740174793</v>
      </c>
      <c r="J37" s="41">
        <f t="shared" si="3"/>
        <v>32.004071851528451</v>
      </c>
      <c r="K37" s="23">
        <f>WBOT!$D$12</f>
        <v>13092.505869033534</v>
      </c>
      <c r="L37" s="19">
        <f>B37*WBOT!$D$20</f>
        <v>38500.14015816032</v>
      </c>
      <c r="M37" s="19">
        <f t="shared" si="4"/>
        <v>51592.646027193856</v>
      </c>
      <c r="N37" s="41">
        <f t="shared" si="6"/>
        <v>29.481512015539348</v>
      </c>
      <c r="O37" s="23">
        <f>'WBOT + Sampling'!$D$12</f>
        <v>16117.159596864318</v>
      </c>
      <c r="P37" s="19">
        <f>'WBOT + Sampling'!$D$19*B37</f>
        <v>27913.852110752578</v>
      </c>
      <c r="Q37" s="19">
        <f t="shared" si="5"/>
        <v>44031.011707616897</v>
      </c>
      <c r="R37" s="41">
        <f t="shared" si="7"/>
        <v>25.160578118638227</v>
      </c>
      <c r="S37" s="41">
        <f t="shared" si="8"/>
        <v>3.3908579328339208</v>
      </c>
      <c r="T37" s="29">
        <f t="shared" si="9"/>
        <v>7.7117918297350414</v>
      </c>
    </row>
    <row r="38" spans="2:25" x14ac:dyDescent="0.35">
      <c r="B38" s="38">
        <v>1800</v>
      </c>
      <c r="C38">
        <f>Pediatrician!$G$4</f>
        <v>19026.507251492902</v>
      </c>
      <c r="D38" s="29">
        <f>B38*Pediatrician!$D$20</f>
        <v>39600.144162679193</v>
      </c>
      <c r="E38" s="30">
        <f t="shared" si="0"/>
        <v>58626.651414172098</v>
      </c>
      <c r="F38" s="41">
        <f t="shared" si="1"/>
        <v>32.570361896762279</v>
      </c>
      <c r="G38" s="23">
        <f>'GP or MO'!$D$12</f>
        <v>17506.985582014473</v>
      </c>
      <c r="H38" s="23">
        <f>B38*'GP or MO'!$D$20</f>
        <v>39600.144162679193</v>
      </c>
      <c r="I38" s="19">
        <f t="shared" si="2"/>
        <v>57107.129744693666</v>
      </c>
      <c r="J38" s="41">
        <f t="shared" si="3"/>
        <v>31.726183191496482</v>
      </c>
      <c r="K38" s="23">
        <f>WBOT!$D$12</f>
        <v>13092.505869033534</v>
      </c>
      <c r="L38" s="19">
        <f>B38*WBOT!$D$20</f>
        <v>39600.144162679193</v>
      </c>
      <c r="M38" s="19">
        <f t="shared" si="4"/>
        <v>52692.650031712728</v>
      </c>
      <c r="N38" s="41">
        <f t="shared" si="6"/>
        <v>29.273694462062625</v>
      </c>
      <c r="O38" s="23">
        <f>'WBOT + Sampling'!$D$12</f>
        <v>16117.159596864318</v>
      </c>
      <c r="P38" s="19">
        <f>'WBOT + Sampling'!$D$19*B38</f>
        <v>28711.390742488366</v>
      </c>
      <c r="Q38" s="19">
        <f t="shared" si="5"/>
        <v>44828.550339352681</v>
      </c>
      <c r="R38" s="41">
        <f t="shared" si="7"/>
        <v>24.904750188529267</v>
      </c>
      <c r="S38" s="41">
        <f t="shared" si="8"/>
        <v>3.2966674346996534</v>
      </c>
      <c r="T38" s="29">
        <f t="shared" si="9"/>
        <v>7.665611708233012</v>
      </c>
    </row>
    <row r="39" spans="2:25" x14ac:dyDescent="0.35">
      <c r="B39" s="38">
        <v>1850</v>
      </c>
      <c r="C39" s="8">
        <f>Pediatrician!$G$4</f>
        <v>19026.507251492902</v>
      </c>
      <c r="D39" s="32">
        <f>B39*Pediatrician!$D$20</f>
        <v>40700.148167198058</v>
      </c>
      <c r="E39" s="33">
        <f t="shared" si="0"/>
        <v>59726.655418690963</v>
      </c>
      <c r="F39" s="42">
        <f t="shared" si="1"/>
        <v>32.284678604697817</v>
      </c>
      <c r="G39" s="34">
        <f>'GP or MO'!$D$12</f>
        <v>17506.985582014473</v>
      </c>
      <c r="H39" s="34">
        <f>B39*'GP or MO'!$D$20</f>
        <v>40700.148167198058</v>
      </c>
      <c r="I39" s="35">
        <f t="shared" si="2"/>
        <v>58207.133749212531</v>
      </c>
      <c r="J39" s="42">
        <f t="shared" si="3"/>
        <v>31.463315540114881</v>
      </c>
      <c r="K39" s="34">
        <f>WBOT!$D$12</f>
        <v>13092.505869033534</v>
      </c>
      <c r="L39" s="35">
        <f>B39*WBOT!$D$20</f>
        <v>40700.148167198058</v>
      </c>
      <c r="M39" s="35">
        <f t="shared" si="4"/>
        <v>53792.654036231594</v>
      </c>
      <c r="N39" s="42">
        <f t="shared" si="6"/>
        <v>29.077110289854915</v>
      </c>
      <c r="O39" s="34">
        <f>'WBOT + Sampling'!$D$12</f>
        <v>16117.159596864318</v>
      </c>
      <c r="P39" s="35">
        <f>'WBOT + Sampling'!$D$19*B39</f>
        <v>29508.929374224153</v>
      </c>
      <c r="Q39" s="35">
        <f t="shared" si="5"/>
        <v>45626.088971088473</v>
      </c>
      <c r="R39" s="42">
        <f t="shared" si="7"/>
        <v>24.662750795182959</v>
      </c>
      <c r="S39" s="41">
        <f t="shared" si="8"/>
        <v>3.2075683148429022</v>
      </c>
      <c r="T39" s="29">
        <f t="shared" si="9"/>
        <v>7.6219278095148582</v>
      </c>
      <c r="U39" s="49">
        <f>((F39-F3)/F3)*100</f>
        <v>-91.979564119674635</v>
      </c>
      <c r="V39" s="49">
        <f>((J39-N3)/N3)*100</f>
        <v>-88.915520996484759</v>
      </c>
      <c r="W39" s="49">
        <f>((N39-N3)/N3)*100</f>
        <v>-89.756177536983856</v>
      </c>
      <c r="X39" s="49">
        <f>((R39-R3)/R3)*100</f>
        <v>-92.709668697050091</v>
      </c>
      <c r="Y39" s="49">
        <f>((R39-N39)/N39)*100</f>
        <v>-15.181561890667444</v>
      </c>
    </row>
    <row r="40" spans="2:25" x14ac:dyDescent="0.35">
      <c r="B40" s="38">
        <v>1900</v>
      </c>
      <c r="C40">
        <f>Pediatrician!$G$4</f>
        <v>19026.507251492902</v>
      </c>
      <c r="D40" s="29">
        <f>B40*Pediatrician!$D$20</f>
        <v>41800.152171716923</v>
      </c>
      <c r="E40" s="30">
        <f t="shared" si="0"/>
        <v>60826.659423209829</v>
      </c>
      <c r="F40" s="41">
        <f t="shared" si="1"/>
        <v>32.014031275373597</v>
      </c>
      <c r="G40" s="23">
        <f>'GP or MO'!$D$12</f>
        <v>17506.985582014473</v>
      </c>
      <c r="H40" s="23">
        <f>B40*'GP or MO'!$D$20</f>
        <v>41800.152171716923</v>
      </c>
      <c r="I40" s="19">
        <f t="shared" si="2"/>
        <v>59307.137753731397</v>
      </c>
      <c r="J40" s="41">
        <f t="shared" si="3"/>
        <v>31.214283028279681</v>
      </c>
      <c r="K40" s="23">
        <f>WBOT!$D$12</f>
        <v>13092.505869033534</v>
      </c>
      <c r="L40" s="19">
        <f>B40*WBOT!$D$20</f>
        <v>41800.152171716923</v>
      </c>
      <c r="M40" s="19">
        <f t="shared" si="4"/>
        <v>54892.658040750459</v>
      </c>
      <c r="N40" s="41">
        <f t="shared" si="6"/>
        <v>28.890872653026559</v>
      </c>
      <c r="O40" s="23">
        <f>'WBOT + Sampling'!$D$12</f>
        <v>16117.159596864318</v>
      </c>
      <c r="P40" s="19">
        <f>'WBOT + Sampling'!$D$19*B40</f>
        <v>30306.468005959941</v>
      </c>
      <c r="Q40" s="19">
        <f t="shared" si="5"/>
        <v>46423.627602824257</v>
      </c>
      <c r="R40" s="41">
        <f t="shared" si="7"/>
        <v>24.433488212012769</v>
      </c>
      <c r="S40" s="41">
        <f t="shared" si="8"/>
        <v>3.123158622347038</v>
      </c>
      <c r="T40" s="29">
        <f t="shared" si="9"/>
        <v>7.5805430633608282</v>
      </c>
    </row>
    <row r="41" spans="2:25" x14ac:dyDescent="0.35">
      <c r="B41" s="38">
        <v>1950</v>
      </c>
      <c r="C41">
        <f>Pediatrician!$G$4</f>
        <v>19026.507251492902</v>
      </c>
      <c r="D41" s="29">
        <f>B41*Pediatrician!$D$20</f>
        <v>42900.156176235789</v>
      </c>
      <c r="E41" s="30">
        <f t="shared" si="0"/>
        <v>61926.663427728694</v>
      </c>
      <c r="F41" s="41">
        <f t="shared" si="1"/>
        <v>31.757263296271127</v>
      </c>
      <c r="G41" s="23">
        <f>'GP or MO'!$D$12</f>
        <v>17506.985582014473</v>
      </c>
      <c r="H41" s="23">
        <f>B41*'GP or MO'!$D$20</f>
        <v>42900.156176235789</v>
      </c>
      <c r="I41" s="19">
        <f t="shared" si="2"/>
        <v>60407.141758250262</v>
      </c>
      <c r="J41" s="41">
        <f t="shared" si="3"/>
        <v>30.978021414487312</v>
      </c>
      <c r="K41" s="23">
        <f>WBOT!$D$12</f>
        <v>13092.505869033534</v>
      </c>
      <c r="L41" s="19">
        <f>B41*WBOT!$D$20</f>
        <v>42900.156176235789</v>
      </c>
      <c r="M41" s="19">
        <f t="shared" si="4"/>
        <v>55992.662045269324</v>
      </c>
      <c r="N41" s="41">
        <f t="shared" si="6"/>
        <v>28.714185664240681</v>
      </c>
      <c r="O41" s="23">
        <f>'WBOT + Sampling'!$D$12</f>
        <v>16117.159596864318</v>
      </c>
      <c r="P41" s="19">
        <f>'WBOT + Sampling'!$D$19*B41</f>
        <v>31104.006637695729</v>
      </c>
      <c r="Q41" s="19">
        <f t="shared" si="5"/>
        <v>47221.166234560049</v>
      </c>
      <c r="R41" s="41">
        <f t="shared" si="7"/>
        <v>24.215982684389768</v>
      </c>
      <c r="S41" s="41">
        <f t="shared" si="8"/>
        <v>3.043077632030446</v>
      </c>
      <c r="T41" s="29">
        <f t="shared" si="9"/>
        <v>7.5412806118813585</v>
      </c>
    </row>
    <row r="42" spans="2:25" x14ac:dyDescent="0.35">
      <c r="O42" s="23"/>
      <c r="Q42" s="48" t="s">
        <v>115</v>
      </c>
      <c r="R42" s="48"/>
      <c r="S42" s="58">
        <f>AVERAGE(S3:S41)</f>
        <v>12.94386167866609</v>
      </c>
      <c r="T42" s="58">
        <f>AVERAGE(T3:T41)</f>
        <v>12.395479488580175</v>
      </c>
    </row>
    <row r="43" spans="2:25" x14ac:dyDescent="0.35">
      <c r="S43" s="23">
        <f>S42*94000</f>
        <v>1216722.9977946125</v>
      </c>
    </row>
    <row r="44" spans="2:25" x14ac:dyDescent="0.35">
      <c r="G44" s="31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>
      <selection activeCell="G23" sqref="G23"/>
    </sheetView>
  </sheetViews>
  <sheetFormatPr defaultRowHeight="14.5" x14ac:dyDescent="0.35"/>
  <cols>
    <col min="2" max="2" width="20.08984375" customWidth="1"/>
    <col min="3" max="3" width="16.36328125" customWidth="1"/>
    <col min="4" max="4" width="21.26953125" customWidth="1"/>
    <col min="5" max="5" width="18" customWidth="1"/>
  </cols>
  <sheetData>
    <row r="2" spans="2:8" x14ac:dyDescent="0.35">
      <c r="B2" s="4" t="s">
        <v>60</v>
      </c>
    </row>
    <row r="3" spans="2:8" x14ac:dyDescent="0.35">
      <c r="B3" s="4" t="s">
        <v>61</v>
      </c>
      <c r="C3" s="4" t="s">
        <v>79</v>
      </c>
      <c r="D3" s="4" t="s">
        <v>80</v>
      </c>
      <c r="E3" s="4" t="s">
        <v>148</v>
      </c>
      <c r="F3" s="4"/>
      <c r="G3" s="4"/>
      <c r="H3" s="4"/>
    </row>
    <row r="4" spans="2:8" x14ac:dyDescent="0.35">
      <c r="B4" t="s">
        <v>63</v>
      </c>
      <c r="C4">
        <f>1606/14.1074</f>
        <v>113.84096289890412</v>
      </c>
      <c r="D4">
        <f>C4/4</f>
        <v>28.460240724726031</v>
      </c>
      <c r="E4" s="15">
        <f>D4*$C$16*(1+$C$17)^C18</f>
        <v>38.139444526343446</v>
      </c>
    </row>
    <row r="5" spans="2:8" x14ac:dyDescent="0.35">
      <c r="B5" t="s">
        <v>62</v>
      </c>
      <c r="C5">
        <f>5482/14.1074</f>
        <v>388.59038518791556</v>
      </c>
      <c r="D5">
        <f>C5/4</f>
        <v>97.14759629697889</v>
      </c>
      <c r="E5" s="15">
        <f t="shared" ref="E5:E9" si="0">D5*$C$16*(1+$C$17)^C19</f>
        <v>97.14759629697889</v>
      </c>
    </row>
    <row r="6" spans="2:8" x14ac:dyDescent="0.35">
      <c r="B6" t="s">
        <v>64</v>
      </c>
      <c r="C6">
        <f t="shared" ref="C6" si="1">1606/14.1074</f>
        <v>113.84096289890412</v>
      </c>
      <c r="D6">
        <f t="shared" ref="D6:D9" si="2">C6/4</f>
        <v>28.460240724726031</v>
      </c>
      <c r="E6" s="15">
        <f t="shared" si="0"/>
        <v>28.460240724726031</v>
      </c>
    </row>
    <row r="7" spans="2:8" x14ac:dyDescent="0.35">
      <c r="B7" t="s">
        <v>65</v>
      </c>
      <c r="C7">
        <f t="shared" ref="C7" si="3">5482/14.1074</f>
        <v>388.59038518791556</v>
      </c>
      <c r="D7">
        <f t="shared" si="2"/>
        <v>97.14759629697889</v>
      </c>
      <c r="E7" s="15">
        <f t="shared" si="0"/>
        <v>97.14759629697889</v>
      </c>
    </row>
    <row r="8" spans="2:8" x14ac:dyDescent="0.35">
      <c r="B8" t="s">
        <v>66</v>
      </c>
      <c r="C8">
        <f t="shared" ref="C8" si="4">1606/14.1074</f>
        <v>113.84096289890412</v>
      </c>
      <c r="D8">
        <f t="shared" si="2"/>
        <v>28.460240724726031</v>
      </c>
      <c r="E8" s="15">
        <f t="shared" si="0"/>
        <v>28.460240724726031</v>
      </c>
    </row>
    <row r="9" spans="2:8" x14ac:dyDescent="0.35">
      <c r="B9" s="9" t="s">
        <v>67</v>
      </c>
      <c r="C9">
        <f t="shared" ref="C9" si="5">5482/14.1074</f>
        <v>388.59038518791556</v>
      </c>
      <c r="D9" s="9">
        <f t="shared" si="2"/>
        <v>97.14759629697889</v>
      </c>
      <c r="E9" s="18">
        <f t="shared" si="0"/>
        <v>97.14759629697889</v>
      </c>
    </row>
    <row r="10" spans="2:8" x14ac:dyDescent="0.35">
      <c r="B10" s="4" t="s">
        <v>68</v>
      </c>
      <c r="C10" s="4">
        <f>SUM(C4:C9)</f>
        <v>1507.294044260459</v>
      </c>
      <c r="D10" s="4">
        <f>SUM(D4:D9)</f>
        <v>376.82351106511476</v>
      </c>
      <c r="E10" s="16">
        <f>SUM(E4:E9)</f>
        <v>386.50271486673216</v>
      </c>
    </row>
    <row r="11" spans="2:8" x14ac:dyDescent="0.35">
      <c r="B11" s="5" t="s">
        <v>113</v>
      </c>
      <c r="C11" s="5">
        <f>1693/14.1074</f>
        <v>120.0079390957937</v>
      </c>
      <c r="D11" s="5">
        <f>C11/4</f>
        <v>30.001984773948426</v>
      </c>
      <c r="E11" s="21">
        <f>(D11*$C$16*(1+$C$17)^C26)/(1185+1296)</f>
        <v>1.2092698417552771E-2</v>
      </c>
    </row>
    <row r="14" spans="2:8" x14ac:dyDescent="0.35">
      <c r="B14" t="s">
        <v>76</v>
      </c>
    </row>
    <row r="15" spans="2:8" x14ac:dyDescent="0.35">
      <c r="B15" t="s">
        <v>77</v>
      </c>
      <c r="C15" t="s">
        <v>78</v>
      </c>
    </row>
    <row r="16" spans="2:8" x14ac:dyDescent="0.35">
      <c r="B16" t="s">
        <v>81</v>
      </c>
      <c r="C16">
        <v>1</v>
      </c>
    </row>
    <row r="17" spans="2:3" x14ac:dyDescent="0.35">
      <c r="B17" t="s">
        <v>73</v>
      </c>
      <c r="C17">
        <v>0.05</v>
      </c>
    </row>
    <row r="18" spans="2:3" x14ac:dyDescent="0.35">
      <c r="B18" t="s">
        <v>82</v>
      </c>
      <c r="C18">
        <v>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4"/>
  <sheetViews>
    <sheetView workbookViewId="0">
      <selection activeCell="J6" sqref="J6"/>
    </sheetView>
  </sheetViews>
  <sheetFormatPr defaultRowHeight="14.5" x14ac:dyDescent="0.35"/>
  <cols>
    <col min="2" max="2" width="8.7265625" customWidth="1"/>
    <col min="3" max="3" width="38.26953125" bestFit="1" customWidth="1"/>
    <col min="4" max="5" width="8.7265625" customWidth="1"/>
    <col min="8" max="9" width="8.7265625" customWidth="1"/>
    <col min="10" max="10" width="16.7265625" bestFit="1" customWidth="1"/>
    <col min="11" max="11" width="17.453125" customWidth="1"/>
    <col min="12" max="13" width="13.54296875" bestFit="1" customWidth="1"/>
    <col min="14" max="14" width="10.6328125" customWidth="1"/>
    <col min="17" max="17" width="10.26953125" bestFit="1" customWidth="1"/>
  </cols>
  <sheetData>
    <row r="2" spans="2:21" x14ac:dyDescent="0.35">
      <c r="J2" t="s">
        <v>98</v>
      </c>
    </row>
    <row r="3" spans="2:21" x14ac:dyDescent="0.35">
      <c r="C3" t="s">
        <v>97</v>
      </c>
      <c r="G3" t="s">
        <v>16</v>
      </c>
      <c r="H3" t="s">
        <v>18</v>
      </c>
      <c r="I3" t="s">
        <v>55</v>
      </c>
      <c r="J3" s="36" t="s">
        <v>111</v>
      </c>
      <c r="K3" t="s">
        <v>16</v>
      </c>
      <c r="L3" t="s">
        <v>18</v>
      </c>
      <c r="M3" t="s">
        <v>55</v>
      </c>
      <c r="N3" s="36" t="s">
        <v>48</v>
      </c>
      <c r="O3" s="45" t="s">
        <v>112</v>
      </c>
      <c r="P3" s="4" t="s">
        <v>124</v>
      </c>
      <c r="Q3" s="4" t="s">
        <v>125</v>
      </c>
      <c r="R3" t="s">
        <v>134</v>
      </c>
      <c r="S3" t="s">
        <v>128</v>
      </c>
      <c r="T3" t="s">
        <v>133</v>
      </c>
      <c r="U3" t="s">
        <v>135</v>
      </c>
    </row>
    <row r="4" spans="2:21" x14ac:dyDescent="0.35">
      <c r="B4" t="s">
        <v>84</v>
      </c>
      <c r="C4" t="s">
        <v>36</v>
      </c>
      <c r="D4" t="s">
        <v>83</v>
      </c>
      <c r="F4" s="38">
        <v>500</v>
      </c>
      <c r="G4">
        <f>$D$12</f>
        <v>15730.656881997586</v>
      </c>
      <c r="H4">
        <f>F4*$D$19</f>
        <v>7975.3863173578793</v>
      </c>
      <c r="I4">
        <f>G4+H4</f>
        <v>23706.043199355467</v>
      </c>
      <c r="J4" s="37">
        <f>I4/F4</f>
        <v>47.412086398710933</v>
      </c>
      <c r="K4" s="23">
        <f>'WBOT + Sampling'!$D$12+Labour!$G$5</f>
        <v>19485.604526475727</v>
      </c>
      <c r="L4" s="23">
        <f>'WBOT + Sampling'!$D$19*F4</f>
        <v>7975.3863173578793</v>
      </c>
      <c r="M4" s="23">
        <f>K4+L4</f>
        <v>27460.990843833606</v>
      </c>
      <c r="N4" s="40">
        <f>M4/F4</f>
        <v>54.921981687667213</v>
      </c>
      <c r="O4" s="46">
        <f>(N4-J4)</f>
        <v>7.5098952889562796</v>
      </c>
      <c r="P4" s="23">
        <f>((G4/2)+H4)/F4</f>
        <v>31.681429516713347</v>
      </c>
      <c r="Q4" s="15">
        <f>((K4/3)+L4)/F4</f>
        <v>28.94117565236624</v>
      </c>
      <c r="R4" s="29">
        <f>((P4-J4)/J4)*100</f>
        <v>-33.178579718494063</v>
      </c>
      <c r="S4" s="29">
        <f>((Q4-N4)/N4)*100</f>
        <v>-47.304931899671402</v>
      </c>
      <c r="T4" s="49">
        <f>((J4-N4)/N4)*100</f>
        <v>-13.673751489274164</v>
      </c>
      <c r="U4" s="49">
        <f>((Q4-P4)/P4)*100</f>
        <v>-8.6494009460700063</v>
      </c>
    </row>
    <row r="5" spans="2:21" x14ac:dyDescent="0.35">
      <c r="B5">
        <v>1</v>
      </c>
      <c r="C5" t="s">
        <v>6</v>
      </c>
      <c r="D5">
        <f>660/14.1074</f>
        <v>46.783957355714023</v>
      </c>
      <c r="F5" s="38">
        <v>1000</v>
      </c>
      <c r="G5">
        <f t="shared" ref="G5:G42" si="0">$D$12</f>
        <v>15730.656881997586</v>
      </c>
      <c r="H5">
        <f t="shared" ref="H5:H42" si="1">F5*$D$19</f>
        <v>15950.772634715759</v>
      </c>
      <c r="I5">
        <f t="shared" ref="I5:I42" si="2">G5+H5</f>
        <v>31681.429516713346</v>
      </c>
      <c r="J5" s="37">
        <f t="shared" ref="J5:J42" si="3">I5/F5</f>
        <v>31.681429516713347</v>
      </c>
      <c r="K5" s="23">
        <f>'WBOT + Sampling'!$D$12+Labour!$G$5</f>
        <v>19485.604526475727</v>
      </c>
      <c r="L5" s="23">
        <f>'WBOT + Sampling'!$D$19*F5</f>
        <v>15950.772634715759</v>
      </c>
      <c r="M5" s="23">
        <f t="shared" ref="M5:M42" si="4">K5+L5</f>
        <v>35436.377161191485</v>
      </c>
      <c r="N5" s="40">
        <f t="shared" ref="N5:N42" si="5">M5/F5</f>
        <v>35.436377161191487</v>
      </c>
      <c r="O5" s="46">
        <f>(N5-J5)</f>
        <v>3.7549476444781398</v>
      </c>
      <c r="P5" s="23">
        <f>((G5/2)+H5)/F5</f>
        <v>23.816101075714553</v>
      </c>
      <c r="Q5" s="15">
        <f>((K5/3)+L5)/F5</f>
        <v>22.445974143541001</v>
      </c>
      <c r="R5" s="29">
        <f t="shared" ref="R5:R42" si="6">((P5-J5)/J5)*100</f>
        <v>-24.826305381357518</v>
      </c>
      <c r="S5" s="29">
        <f t="shared" ref="S5:S42" si="7">((Q5-N5)/N5)*100</f>
        <v>-36.658383441852123</v>
      </c>
      <c r="U5" s="49">
        <f>((Q5-P5)/P5)*100</f>
        <v>-5.7529438921078473</v>
      </c>
    </row>
    <row r="6" spans="2:21" x14ac:dyDescent="0.35">
      <c r="B6">
        <v>2</v>
      </c>
      <c r="C6" t="s">
        <v>9</v>
      </c>
      <c r="D6">
        <v>0</v>
      </c>
      <c r="F6" s="38">
        <v>1500</v>
      </c>
      <c r="G6">
        <f t="shared" si="0"/>
        <v>15730.656881997586</v>
      </c>
      <c r="H6">
        <f t="shared" si="1"/>
        <v>23926.158952073638</v>
      </c>
      <c r="I6">
        <f t="shared" si="2"/>
        <v>39656.815834071225</v>
      </c>
      <c r="J6" s="37">
        <f t="shared" si="3"/>
        <v>26.43787722271415</v>
      </c>
      <c r="K6" s="23">
        <f>'WBOT + Sampling'!$D$12+Labour!$G$5</f>
        <v>19485.604526475727</v>
      </c>
      <c r="L6" s="23">
        <f>'WBOT + Sampling'!$D$19*F6</f>
        <v>23926.158952073638</v>
      </c>
      <c r="M6" s="23">
        <f t="shared" si="4"/>
        <v>43411.763478549365</v>
      </c>
      <c r="N6" s="40">
        <f t="shared" si="5"/>
        <v>28.941175652366244</v>
      </c>
      <c r="O6" s="46">
        <f t="shared" ref="O6:O42" si="8">(N6-J6)</f>
        <v>2.5032984296520944</v>
      </c>
      <c r="P6" s="23">
        <f t="shared" ref="P6:P42" si="9">((G6/2)+H6)/F6</f>
        <v>21.194324928714956</v>
      </c>
      <c r="Q6" s="15">
        <f t="shared" ref="Q6:Q42" si="10">((K6/3)+L6)/F6</f>
        <v>20.280906973932584</v>
      </c>
      <c r="R6" s="29">
        <f t="shared" si="6"/>
        <v>-19.833484548805554</v>
      </c>
      <c r="S6" s="29">
        <f t="shared" si="7"/>
        <v>-29.923693434083393</v>
      </c>
      <c r="U6" s="49">
        <f t="shared" ref="U6:U42" si="11">((Q6-P6)/P6)*100</f>
        <v>-4.3097289385463489</v>
      </c>
    </row>
    <row r="7" spans="2:21" x14ac:dyDescent="0.35">
      <c r="B7">
        <v>3</v>
      </c>
      <c r="C7" t="s">
        <v>10</v>
      </c>
      <c r="D7">
        <f>15000/14.1074</f>
        <v>1063.2717580844096</v>
      </c>
      <c r="F7" s="38">
        <v>2000</v>
      </c>
      <c r="G7">
        <f t="shared" si="0"/>
        <v>15730.656881997586</v>
      </c>
      <c r="H7">
        <f t="shared" si="1"/>
        <v>31901.545269431517</v>
      </c>
      <c r="I7">
        <f t="shared" si="2"/>
        <v>47632.202151429105</v>
      </c>
      <c r="J7" s="37">
        <f t="shared" si="3"/>
        <v>23.816101075714553</v>
      </c>
      <c r="K7" s="23">
        <f>'WBOT + Sampling'!$D$12+Labour!$G$5</f>
        <v>19485.604526475727</v>
      </c>
      <c r="L7" s="23">
        <f>'WBOT + Sampling'!$D$19*F7</f>
        <v>31901.545269431517</v>
      </c>
      <c r="M7" s="23">
        <f t="shared" si="4"/>
        <v>51387.149795907244</v>
      </c>
      <c r="N7" s="40">
        <f t="shared" si="5"/>
        <v>25.693574897953621</v>
      </c>
      <c r="O7" s="46">
        <f t="shared" si="8"/>
        <v>1.8774738222390681</v>
      </c>
      <c r="P7" s="23">
        <f t="shared" si="9"/>
        <v>19.883436855215155</v>
      </c>
      <c r="Q7" s="15">
        <f t="shared" si="10"/>
        <v>19.198373389128381</v>
      </c>
      <c r="R7" s="29">
        <f t="shared" si="6"/>
        <v>-16.512628192150068</v>
      </c>
      <c r="S7" s="29">
        <f t="shared" si="7"/>
        <v>-25.27947759166263</v>
      </c>
      <c r="U7" s="49">
        <f t="shared" si="11"/>
        <v>-3.4453976496879672</v>
      </c>
    </row>
    <row r="8" spans="2:21" x14ac:dyDescent="0.35">
      <c r="B8">
        <v>4</v>
      </c>
      <c r="C8" t="s">
        <v>49</v>
      </c>
      <c r="D8">
        <v>0</v>
      </c>
      <c r="F8" s="39">
        <v>2500</v>
      </c>
      <c r="G8" s="8">
        <f t="shared" si="0"/>
        <v>15730.656881997586</v>
      </c>
      <c r="H8" s="8">
        <f t="shared" si="1"/>
        <v>39876.931586789397</v>
      </c>
      <c r="I8" s="8">
        <f t="shared" si="2"/>
        <v>55607.588468786984</v>
      </c>
      <c r="J8" s="47">
        <f t="shared" si="3"/>
        <v>22.243035387514794</v>
      </c>
      <c r="K8" s="34">
        <f>'WBOT + Sampling'!$D$12+Labour!$G$5</f>
        <v>19485.604526475727</v>
      </c>
      <c r="L8" s="34">
        <f>'WBOT + Sampling'!$D$19*F8</f>
        <v>39876.931586789397</v>
      </c>
      <c r="M8" s="34">
        <f t="shared" si="4"/>
        <v>59362.536113265123</v>
      </c>
      <c r="N8" s="43">
        <f t="shared" si="5"/>
        <v>23.745014445306051</v>
      </c>
      <c r="O8" s="54">
        <f>(N8-J8)</f>
        <v>1.5019790577912566</v>
      </c>
      <c r="P8" s="34">
        <f t="shared" si="9"/>
        <v>19.096904011115274</v>
      </c>
      <c r="Q8" s="55">
        <f t="shared" si="10"/>
        <v>18.548853238245858</v>
      </c>
      <c r="R8" s="29">
        <f t="shared" si="6"/>
        <v>-14.144343708437701</v>
      </c>
      <c r="S8" s="29">
        <f t="shared" si="7"/>
        <v>-21.883167176120114</v>
      </c>
      <c r="T8" s="56">
        <f>((J8-N8)/N8)*100</f>
        <v>-6.3254501750289309</v>
      </c>
      <c r="U8" s="56">
        <f t="shared" si="11"/>
        <v>-2.869840957206601</v>
      </c>
    </row>
    <row r="9" spans="2:21" x14ac:dyDescent="0.35">
      <c r="B9">
        <v>5</v>
      </c>
      <c r="C9" t="s">
        <v>13</v>
      </c>
      <c r="D9">
        <f>Labour!K9</f>
        <v>11098.336255943175</v>
      </c>
      <c r="F9" s="38">
        <v>3000</v>
      </c>
      <c r="G9">
        <f t="shared" si="0"/>
        <v>15730.656881997586</v>
      </c>
      <c r="H9">
        <f t="shared" si="1"/>
        <v>47852.317904147276</v>
      </c>
      <c r="I9">
        <f t="shared" si="2"/>
        <v>63582.974786144863</v>
      </c>
      <c r="J9" s="37">
        <f t="shared" si="3"/>
        <v>21.194324928714956</v>
      </c>
      <c r="K9" s="23">
        <f>'WBOT + Sampling'!$D$12+Labour!$G$5</f>
        <v>19485.604526475727</v>
      </c>
      <c r="L9" s="23">
        <f>'WBOT + Sampling'!$D$19*F9</f>
        <v>47852.317904147276</v>
      </c>
      <c r="M9" s="23">
        <f t="shared" si="4"/>
        <v>67337.922430623003</v>
      </c>
      <c r="N9" s="40">
        <f t="shared" si="5"/>
        <v>22.445974143541001</v>
      </c>
      <c r="O9" s="46">
        <f t="shared" si="8"/>
        <v>1.2516492148260454</v>
      </c>
      <c r="P9" s="23">
        <f t="shared" si="9"/>
        <v>18.572548781715355</v>
      </c>
      <c r="Q9" s="15">
        <f t="shared" si="10"/>
        <v>18.115839804324175</v>
      </c>
      <c r="R9" s="29">
        <f t="shared" si="6"/>
        <v>-12.370180016668089</v>
      </c>
      <c r="S9" s="29">
        <f t="shared" si="7"/>
        <v>-19.29136294787569</v>
      </c>
      <c r="U9" s="49">
        <f t="shared" si="11"/>
        <v>-2.4590538582448609</v>
      </c>
    </row>
    <row r="10" spans="2:21" x14ac:dyDescent="0.35">
      <c r="B10">
        <v>6</v>
      </c>
      <c r="C10" t="s">
        <v>17</v>
      </c>
      <c r="D10">
        <f>7020/14.1074</f>
        <v>497.61118278350369</v>
      </c>
      <c r="F10" s="38">
        <v>3500</v>
      </c>
      <c r="G10">
        <f t="shared" si="0"/>
        <v>15730.656881997586</v>
      </c>
      <c r="H10">
        <f t="shared" si="1"/>
        <v>55827.704221505155</v>
      </c>
      <c r="I10">
        <f t="shared" si="2"/>
        <v>71558.361103502742</v>
      </c>
      <c r="J10" s="37">
        <f t="shared" si="3"/>
        <v>20.44524602957221</v>
      </c>
      <c r="K10" s="23">
        <f>'WBOT + Sampling'!$D$12+Labour!$G$5</f>
        <v>19485.604526475727</v>
      </c>
      <c r="L10" s="23">
        <f>'WBOT + Sampling'!$D$19*F10</f>
        <v>55827.704221505155</v>
      </c>
      <c r="M10" s="23">
        <f t="shared" si="4"/>
        <v>75313.308747980889</v>
      </c>
      <c r="N10" s="40">
        <f t="shared" si="5"/>
        <v>21.518088213708825</v>
      </c>
      <c r="O10" s="46">
        <f t="shared" si="8"/>
        <v>1.0728421841366149</v>
      </c>
      <c r="P10" s="23">
        <f t="shared" si="9"/>
        <v>18.198009332143986</v>
      </c>
      <c r="Q10" s="15">
        <f t="shared" si="10"/>
        <v>17.806544494380113</v>
      </c>
      <c r="R10" s="29">
        <f t="shared" si="6"/>
        <v>-10.99148767482572</v>
      </c>
      <c r="S10" s="29">
        <f t="shared" si="7"/>
        <v>-17.248482683346136</v>
      </c>
      <c r="U10" s="49">
        <f t="shared" si="11"/>
        <v>-2.1511409881102268</v>
      </c>
    </row>
    <row r="11" spans="2:21" x14ac:dyDescent="0.35">
      <c r="B11">
        <v>7</v>
      </c>
      <c r="C11" t="s">
        <v>75</v>
      </c>
      <c r="D11">
        <v>0</v>
      </c>
      <c r="F11" s="38">
        <v>4000</v>
      </c>
      <c r="G11">
        <f t="shared" si="0"/>
        <v>15730.656881997586</v>
      </c>
      <c r="H11">
        <f t="shared" si="1"/>
        <v>63803.090538863034</v>
      </c>
      <c r="I11">
        <f t="shared" si="2"/>
        <v>79533.747420860615</v>
      </c>
      <c r="J11" s="37">
        <f t="shared" si="3"/>
        <v>19.883436855215155</v>
      </c>
      <c r="K11" s="23">
        <f>'WBOT + Sampling'!$D$12+Labour!$G$5</f>
        <v>19485.604526475727</v>
      </c>
      <c r="L11" s="23">
        <f>'WBOT + Sampling'!$D$19*F11</f>
        <v>63803.090538863034</v>
      </c>
      <c r="M11" s="23">
        <f t="shared" si="4"/>
        <v>83288.695065338761</v>
      </c>
      <c r="N11" s="40">
        <f t="shared" si="5"/>
        <v>20.822173766334689</v>
      </c>
      <c r="O11" s="46">
        <f t="shared" si="8"/>
        <v>0.93873691111953406</v>
      </c>
      <c r="P11" s="23">
        <f t="shared" si="9"/>
        <v>17.917104744965457</v>
      </c>
      <c r="Q11" s="15">
        <f t="shared" si="10"/>
        <v>17.57457301192207</v>
      </c>
      <c r="R11" s="29">
        <f t="shared" si="6"/>
        <v>-9.8892969287347139</v>
      </c>
      <c r="S11" s="29">
        <f t="shared" si="7"/>
        <v>-15.59683821130791</v>
      </c>
      <c r="U11" s="49">
        <f t="shared" si="11"/>
        <v>-1.9117582774618502</v>
      </c>
    </row>
    <row r="12" spans="2:21" x14ac:dyDescent="0.35">
      <c r="B12">
        <v>8</v>
      </c>
      <c r="C12" t="s">
        <v>89</v>
      </c>
      <c r="D12">
        <f>SUM(D5:D11)+D22</f>
        <v>15730.656881997586</v>
      </c>
      <c r="F12" s="38">
        <v>4500</v>
      </c>
      <c r="G12">
        <f t="shared" si="0"/>
        <v>15730.656881997586</v>
      </c>
      <c r="H12">
        <f t="shared" si="1"/>
        <v>71778.476856220906</v>
      </c>
      <c r="I12">
        <f t="shared" si="2"/>
        <v>87509.133738218487</v>
      </c>
      <c r="J12" s="37">
        <f t="shared" si="3"/>
        <v>19.446474164048553</v>
      </c>
      <c r="K12" s="23">
        <f>'WBOT + Sampling'!$D$12+Labour!$G$5</f>
        <v>19485.604526475727</v>
      </c>
      <c r="L12" s="23">
        <f>'WBOT + Sampling'!$D$19*F12</f>
        <v>71778.476856220906</v>
      </c>
      <c r="M12" s="23">
        <f t="shared" si="4"/>
        <v>91264.081382696633</v>
      </c>
      <c r="N12" s="40">
        <f t="shared" si="5"/>
        <v>20.280906973932584</v>
      </c>
      <c r="O12" s="46">
        <f t="shared" si="8"/>
        <v>0.83443280988403146</v>
      </c>
      <c r="P12" s="23">
        <f t="shared" si="9"/>
        <v>17.698623399382157</v>
      </c>
      <c r="Q12" s="15">
        <f t="shared" si="10"/>
        <v>17.394150747788032</v>
      </c>
      <c r="R12" s="29">
        <f t="shared" si="6"/>
        <v>-8.9880085712283755</v>
      </c>
      <c r="S12" s="29">
        <f t="shared" si="7"/>
        <v>-14.233861581510887</v>
      </c>
      <c r="U12" s="49">
        <f t="shared" si="11"/>
        <v>-1.7203182683956868</v>
      </c>
    </row>
    <row r="13" spans="2:21" x14ac:dyDescent="0.35">
      <c r="F13" s="38">
        <v>5000</v>
      </c>
      <c r="G13">
        <f t="shared" si="0"/>
        <v>15730.656881997586</v>
      </c>
      <c r="H13">
        <f t="shared" si="1"/>
        <v>79753.863173578793</v>
      </c>
      <c r="I13">
        <f t="shared" si="2"/>
        <v>95484.520055576373</v>
      </c>
      <c r="J13" s="37">
        <f t="shared" si="3"/>
        <v>19.096904011115274</v>
      </c>
      <c r="K13" s="23">
        <f>'WBOT + Sampling'!$D$12+Labour!$G$5</f>
        <v>19485.604526475727</v>
      </c>
      <c r="L13" s="23">
        <f>'WBOT + Sampling'!$D$19*F13</f>
        <v>79753.863173578793</v>
      </c>
      <c r="M13" s="23">
        <f t="shared" si="4"/>
        <v>99239.46770005452</v>
      </c>
      <c r="N13" s="40">
        <f t="shared" si="5"/>
        <v>19.847893540010904</v>
      </c>
      <c r="O13" s="46">
        <f t="shared" si="8"/>
        <v>0.75098952889563009</v>
      </c>
      <c r="P13" s="23">
        <f>((G13/2)+H13)/F13</f>
        <v>17.52383832291552</v>
      </c>
      <c r="Q13" s="15">
        <f t="shared" si="10"/>
        <v>17.249812936480804</v>
      </c>
      <c r="R13" s="29">
        <f t="shared" si="6"/>
        <v>-8.2372812225696812</v>
      </c>
      <c r="S13" s="29">
        <f t="shared" si="7"/>
        <v>-13.089956363846319</v>
      </c>
      <c r="U13" s="49">
        <f t="shared" si="11"/>
        <v>-1.5637292548880608</v>
      </c>
    </row>
    <row r="14" spans="2:21" x14ac:dyDescent="0.35">
      <c r="C14" t="s">
        <v>90</v>
      </c>
      <c r="F14" s="38">
        <v>5500</v>
      </c>
      <c r="G14">
        <f t="shared" si="0"/>
        <v>15730.656881997586</v>
      </c>
      <c r="H14">
        <f t="shared" si="1"/>
        <v>87729.249490936665</v>
      </c>
      <c r="I14">
        <f t="shared" si="2"/>
        <v>103459.90637293425</v>
      </c>
      <c r="J14" s="37">
        <f t="shared" si="3"/>
        <v>18.810892067806225</v>
      </c>
      <c r="K14" s="23">
        <f>'WBOT + Sampling'!$D$12+Labour!$G$5</f>
        <v>19485.604526475727</v>
      </c>
      <c r="L14" s="23">
        <f>'WBOT + Sampling'!$D$19*F14</f>
        <v>87729.249490936665</v>
      </c>
      <c r="M14" s="23">
        <f t="shared" si="4"/>
        <v>107214.85401741239</v>
      </c>
      <c r="N14" s="40">
        <f t="shared" si="5"/>
        <v>19.493609821347707</v>
      </c>
      <c r="O14" s="46">
        <f t="shared" si="8"/>
        <v>0.6827177535414819</v>
      </c>
      <c r="P14" s="23">
        <f t="shared" si="9"/>
        <v>17.380832351260992</v>
      </c>
      <c r="Q14" s="15">
        <f t="shared" si="10"/>
        <v>17.131718363593073</v>
      </c>
      <c r="R14" s="29">
        <f t="shared" si="6"/>
        <v>-7.6022961132858748</v>
      </c>
      <c r="S14" s="29">
        <f t="shared" si="7"/>
        <v>-12.116234393734997</v>
      </c>
      <c r="U14" s="49">
        <f t="shared" si="11"/>
        <v>-1.4332684570761944</v>
      </c>
    </row>
    <row r="15" spans="2:21" x14ac:dyDescent="0.35">
      <c r="C15" t="s">
        <v>3</v>
      </c>
      <c r="D15">
        <f>'PZQ and ALB'!K3</f>
        <v>9.5590493877917471</v>
      </c>
      <c r="F15" s="38">
        <v>6000</v>
      </c>
      <c r="G15">
        <f t="shared" si="0"/>
        <v>15730.656881997586</v>
      </c>
      <c r="H15">
        <f t="shared" si="1"/>
        <v>95704.635808294552</v>
      </c>
      <c r="I15">
        <f t="shared" si="2"/>
        <v>111435.29269029213</v>
      </c>
      <c r="J15" s="37">
        <f t="shared" si="3"/>
        <v>18.572548781715355</v>
      </c>
      <c r="K15" s="23">
        <f>'WBOT + Sampling'!$D$12+Labour!$G$5</f>
        <v>19485.604526475727</v>
      </c>
      <c r="L15" s="23">
        <f>'WBOT + Sampling'!$D$19*F15</f>
        <v>95704.635808294552</v>
      </c>
      <c r="M15" s="23">
        <f t="shared" si="4"/>
        <v>115190.24033477028</v>
      </c>
      <c r="N15" s="40">
        <f t="shared" si="5"/>
        <v>19.198373389128381</v>
      </c>
      <c r="O15" s="46">
        <f t="shared" si="8"/>
        <v>0.62582460741302626</v>
      </c>
      <c r="P15" s="23">
        <f t="shared" si="9"/>
        <v>17.261660708215558</v>
      </c>
      <c r="Q15" s="15">
        <f t="shared" si="10"/>
        <v>17.033306219519964</v>
      </c>
      <c r="R15" s="29">
        <f t="shared" si="6"/>
        <v>-7.0582023442596311</v>
      </c>
      <c r="S15" s="29">
        <f t="shared" si="7"/>
        <v>-11.27734691749691</v>
      </c>
      <c r="U15" s="49">
        <f t="shared" si="11"/>
        <v>-1.3228998794241744</v>
      </c>
    </row>
    <row r="16" spans="2:21" x14ac:dyDescent="0.35">
      <c r="C16" t="s">
        <v>7</v>
      </c>
      <c r="D16">
        <f>30/14.1074</f>
        <v>2.1265435161688191</v>
      </c>
      <c r="F16" s="38">
        <v>6500</v>
      </c>
      <c r="G16">
        <f t="shared" si="0"/>
        <v>15730.656881997586</v>
      </c>
      <c r="H16">
        <f t="shared" si="1"/>
        <v>103680.02212565242</v>
      </c>
      <c r="I16">
        <f t="shared" si="2"/>
        <v>119410.67900765</v>
      </c>
      <c r="J16" s="37">
        <f t="shared" si="3"/>
        <v>18.370873693484615</v>
      </c>
      <c r="K16" s="23">
        <f>'WBOT + Sampling'!$D$12+Labour!$G$5</f>
        <v>19485.604526475727</v>
      </c>
      <c r="L16" s="23">
        <f>'WBOT + Sampling'!$D$19*F16</f>
        <v>103680.02212565242</v>
      </c>
      <c r="M16" s="23">
        <f t="shared" si="4"/>
        <v>123165.62665212815</v>
      </c>
      <c r="N16" s="40">
        <f t="shared" si="5"/>
        <v>18.948557946481255</v>
      </c>
      <c r="O16" s="46">
        <f t="shared" si="8"/>
        <v>0.57768425299664017</v>
      </c>
      <c r="P16" s="23">
        <f t="shared" si="9"/>
        <v>17.160823164100186</v>
      </c>
      <c r="Q16" s="15">
        <f t="shared" si="10"/>
        <v>16.950034405304255</v>
      </c>
      <c r="R16" s="29">
        <f t="shared" si="6"/>
        <v>-6.5867881385172398</v>
      </c>
      <c r="S16" s="29">
        <f t="shared" si="7"/>
        <v>-10.547100981624441</v>
      </c>
      <c r="U16" s="49">
        <f t="shared" si="11"/>
        <v>-1.2283137981218419</v>
      </c>
    </row>
    <row r="17" spans="3:21" x14ac:dyDescent="0.35">
      <c r="C17" t="s">
        <v>86</v>
      </c>
      <c r="D17">
        <f>'Mobile Clinic'!E11</f>
        <v>1.2092698417552771E-2</v>
      </c>
      <c r="F17" s="38">
        <v>7000</v>
      </c>
      <c r="G17">
        <f t="shared" si="0"/>
        <v>15730.656881997586</v>
      </c>
      <c r="H17">
        <f t="shared" si="1"/>
        <v>111655.40844301031</v>
      </c>
      <c r="I17">
        <f t="shared" si="2"/>
        <v>127386.06532500789</v>
      </c>
      <c r="J17" s="37">
        <f t="shared" si="3"/>
        <v>18.198009332143986</v>
      </c>
      <c r="K17" s="23">
        <f>'WBOT + Sampling'!$D$12+Labour!$G$5</f>
        <v>19485.604526475727</v>
      </c>
      <c r="L17" s="23">
        <f>'WBOT + Sampling'!$D$19*F17</f>
        <v>111655.40844301031</v>
      </c>
      <c r="M17" s="23">
        <f t="shared" si="4"/>
        <v>131141.01296948604</v>
      </c>
      <c r="N17" s="40">
        <f t="shared" si="5"/>
        <v>18.734430424212292</v>
      </c>
      <c r="O17" s="46">
        <f t="shared" si="8"/>
        <v>0.53642109206830568</v>
      </c>
      <c r="P17" s="23">
        <f t="shared" si="9"/>
        <v>17.074390983429872</v>
      </c>
      <c r="Q17" s="15">
        <f t="shared" si="10"/>
        <v>16.878658564547937</v>
      </c>
      <c r="R17" s="29">
        <f t="shared" si="6"/>
        <v>-6.1744025305526957</v>
      </c>
      <c r="S17" s="29">
        <f t="shared" si="7"/>
        <v>-9.9056753669220896</v>
      </c>
      <c r="U17" s="49">
        <f t="shared" si="11"/>
        <v>-1.1463508073107072</v>
      </c>
    </row>
    <row r="18" spans="3:21" x14ac:dyDescent="0.35">
      <c r="C18" t="s">
        <v>8</v>
      </c>
      <c r="D18">
        <f>60/14.1074</f>
        <v>4.2530870323376382</v>
      </c>
      <c r="F18" s="38">
        <v>7500</v>
      </c>
      <c r="G18">
        <f t="shared" si="0"/>
        <v>15730.656881997586</v>
      </c>
      <c r="H18">
        <f t="shared" si="1"/>
        <v>119630.79476036818</v>
      </c>
      <c r="I18">
        <f t="shared" si="2"/>
        <v>135361.45164236578</v>
      </c>
      <c r="J18" s="37">
        <f t="shared" si="3"/>
        <v>18.048193552315436</v>
      </c>
      <c r="K18" s="23">
        <f>'WBOT + Sampling'!$D$12+Labour!$G$5</f>
        <v>19485.604526475727</v>
      </c>
      <c r="L18" s="23">
        <f>'WBOT + Sampling'!$D$19*F18</f>
        <v>119630.79476036818</v>
      </c>
      <c r="M18" s="23">
        <f t="shared" si="4"/>
        <v>139116.39928684389</v>
      </c>
      <c r="N18" s="40">
        <f t="shared" si="5"/>
        <v>18.548853238245851</v>
      </c>
      <c r="O18" s="46">
        <f t="shared" si="8"/>
        <v>0.50065968593041532</v>
      </c>
      <c r="P18" s="23">
        <f t="shared" si="9"/>
        <v>16.999483093515597</v>
      </c>
      <c r="Q18" s="15">
        <f t="shared" si="10"/>
        <v>16.816799502559121</v>
      </c>
      <c r="R18" s="29">
        <f t="shared" si="6"/>
        <v>-5.8106117698704409</v>
      </c>
      <c r="S18" s="29">
        <f t="shared" si="7"/>
        <v>-9.3377941667866082</v>
      </c>
      <c r="U18" s="49">
        <f t="shared" si="11"/>
        <v>-1.0746420344166805</v>
      </c>
    </row>
    <row r="19" spans="3:21" x14ac:dyDescent="0.35">
      <c r="C19" t="s">
        <v>68</v>
      </c>
      <c r="D19">
        <f>SUM(D15:D18)</f>
        <v>15.950772634715758</v>
      </c>
      <c r="F19" s="38">
        <v>8000</v>
      </c>
      <c r="G19">
        <f t="shared" si="0"/>
        <v>15730.656881997586</v>
      </c>
      <c r="H19">
        <f t="shared" si="1"/>
        <v>127606.18107772607</v>
      </c>
      <c r="I19">
        <f t="shared" si="2"/>
        <v>143336.83795972366</v>
      </c>
      <c r="J19" s="37">
        <f t="shared" si="3"/>
        <v>17.917104744965457</v>
      </c>
      <c r="K19" s="23">
        <f>'WBOT + Sampling'!$D$12+Labour!$G$5</f>
        <v>19485.604526475727</v>
      </c>
      <c r="L19" s="23">
        <f>'WBOT + Sampling'!$D$19*F19</f>
        <v>127606.18107772607</v>
      </c>
      <c r="M19" s="23">
        <f t="shared" si="4"/>
        <v>147091.78560420178</v>
      </c>
      <c r="N19" s="40">
        <f t="shared" si="5"/>
        <v>18.386473200525224</v>
      </c>
      <c r="O19" s="46">
        <f t="shared" si="8"/>
        <v>0.46936845555976703</v>
      </c>
      <c r="P19" s="23">
        <f t="shared" si="9"/>
        <v>16.933938689840609</v>
      </c>
      <c r="Q19" s="15">
        <f t="shared" si="10"/>
        <v>16.762672823318912</v>
      </c>
      <c r="R19" s="29">
        <f t="shared" si="6"/>
        <v>-5.4873042777801935</v>
      </c>
      <c r="S19" s="29">
        <f t="shared" si="7"/>
        <v>-8.8314945421938038</v>
      </c>
      <c r="U19" s="49">
        <f t="shared" si="11"/>
        <v>-1.0113764414680841</v>
      </c>
    </row>
    <row r="20" spans="3:21" x14ac:dyDescent="0.35">
      <c r="F20" s="38">
        <v>8500</v>
      </c>
      <c r="G20">
        <f t="shared" si="0"/>
        <v>15730.656881997586</v>
      </c>
      <c r="H20">
        <f t="shared" si="1"/>
        <v>135581.56739508396</v>
      </c>
      <c r="I20">
        <f t="shared" si="2"/>
        <v>151312.22427708155</v>
      </c>
      <c r="J20" s="37">
        <f t="shared" si="3"/>
        <v>17.801438150244888</v>
      </c>
      <c r="K20" s="23">
        <f>'WBOT + Sampling'!$D$12+Labour!$G$5</f>
        <v>19485.604526475727</v>
      </c>
      <c r="L20" s="23">
        <f>'WBOT + Sampling'!$D$19*F20</f>
        <v>135581.56739508396</v>
      </c>
      <c r="M20" s="23">
        <f t="shared" si="4"/>
        <v>155067.17192155967</v>
      </c>
      <c r="N20" s="40">
        <f t="shared" si="5"/>
        <v>18.243196696654078</v>
      </c>
      <c r="O20" s="46">
        <f t="shared" si="8"/>
        <v>0.44175854640918999</v>
      </c>
      <c r="P20" s="23">
        <f t="shared" si="9"/>
        <v>16.876105392480323</v>
      </c>
      <c r="Q20" s="15">
        <f t="shared" si="10"/>
        <v>16.714913988695198</v>
      </c>
      <c r="R20" s="29">
        <f t="shared" si="6"/>
        <v>-5.1980786605819009</v>
      </c>
      <c r="S20" s="29">
        <f t="shared" si="7"/>
        <v>-8.3772747362811533</v>
      </c>
      <c r="U20" s="49">
        <f t="shared" si="11"/>
        <v>-0.95514575215291597</v>
      </c>
    </row>
    <row r="21" spans="3:21" x14ac:dyDescent="0.35">
      <c r="F21" s="38">
        <v>9000</v>
      </c>
      <c r="G21">
        <f t="shared" si="0"/>
        <v>15730.656881997586</v>
      </c>
      <c r="H21">
        <f t="shared" si="1"/>
        <v>143556.95371244181</v>
      </c>
      <c r="I21">
        <f t="shared" si="2"/>
        <v>159287.61059443941</v>
      </c>
      <c r="J21" s="37">
        <f t="shared" si="3"/>
        <v>17.698623399382157</v>
      </c>
      <c r="K21" s="23">
        <f>'WBOT + Sampling'!$D$12+Labour!$G$5</f>
        <v>19485.604526475727</v>
      </c>
      <c r="L21" s="23">
        <f>'WBOT + Sampling'!$D$19*F21</f>
        <v>143556.95371244181</v>
      </c>
      <c r="M21" s="23">
        <f t="shared" si="4"/>
        <v>163042.55823891755</v>
      </c>
      <c r="N21" s="40">
        <f t="shared" si="5"/>
        <v>18.115839804324171</v>
      </c>
      <c r="O21" s="46">
        <f t="shared" si="8"/>
        <v>0.41721640494201395</v>
      </c>
      <c r="P21" s="23">
        <f t="shared" si="9"/>
        <v>16.824698017048956</v>
      </c>
      <c r="Q21" s="15">
        <f t="shared" si="10"/>
        <v>16.672461691251893</v>
      </c>
      <c r="R21" s="29">
        <f t="shared" si="6"/>
        <v>-4.9378155725021493</v>
      </c>
      <c r="S21" s="29">
        <f t="shared" si="7"/>
        <v>-7.9674921431340415</v>
      </c>
      <c r="U21" s="49">
        <f t="shared" si="11"/>
        <v>-0.9048383848720315</v>
      </c>
    </row>
    <row r="22" spans="3:21" x14ac:dyDescent="0.35">
      <c r="C22" t="s">
        <v>12</v>
      </c>
      <c r="D22">
        <f>D23*WBOT!D17</f>
        <v>3024.6537278307837</v>
      </c>
      <c r="F22" s="38">
        <v>9500</v>
      </c>
      <c r="G22">
        <f t="shared" si="0"/>
        <v>15730.656881997586</v>
      </c>
      <c r="H22">
        <f t="shared" si="1"/>
        <v>151532.3400297997</v>
      </c>
      <c r="I22">
        <f t="shared" si="2"/>
        <v>167262.99691179729</v>
      </c>
      <c r="J22" s="37">
        <f t="shared" si="3"/>
        <v>17.606631253873399</v>
      </c>
      <c r="K22" s="23">
        <f>'WBOT + Sampling'!$D$12+Labour!$G$5</f>
        <v>19485.604526475727</v>
      </c>
      <c r="L22" s="23">
        <f>'WBOT + Sampling'!$D$19*F22</f>
        <v>151532.3400297997</v>
      </c>
      <c r="M22" s="23">
        <f t="shared" si="4"/>
        <v>171017.94455627544</v>
      </c>
      <c r="N22" s="40">
        <f t="shared" si="5"/>
        <v>18.001888900660571</v>
      </c>
      <c r="O22" s="46">
        <f t="shared" si="8"/>
        <v>0.39525764678717223</v>
      </c>
      <c r="P22" s="23">
        <f t="shared" si="9"/>
        <v>16.778701944294578</v>
      </c>
      <c r="Q22" s="15">
        <f t="shared" si="10"/>
        <v>16.634478056697361</v>
      </c>
      <c r="R22" s="29">
        <f t="shared" si="6"/>
        <v>-4.7023720644838232</v>
      </c>
      <c r="S22" s="29">
        <f t="shared" si="7"/>
        <v>-7.5959298021944441</v>
      </c>
      <c r="U22" s="49">
        <f t="shared" si="11"/>
        <v>-0.85956522784683653</v>
      </c>
    </row>
    <row r="23" spans="3:21" x14ac:dyDescent="0.35">
      <c r="C23" t="s">
        <v>96</v>
      </c>
      <c r="D23">
        <v>500</v>
      </c>
      <c r="F23" s="38">
        <v>10000</v>
      </c>
      <c r="G23">
        <f t="shared" si="0"/>
        <v>15730.656881997586</v>
      </c>
      <c r="H23">
        <f t="shared" si="1"/>
        <v>159507.72634715759</v>
      </c>
      <c r="I23">
        <f t="shared" si="2"/>
        <v>175238.38322915518</v>
      </c>
      <c r="J23" s="37">
        <f t="shared" si="3"/>
        <v>17.52383832291552</v>
      </c>
      <c r="K23" s="23">
        <f>'WBOT + Sampling'!$D$12+Labour!$G$5</f>
        <v>19485.604526475727</v>
      </c>
      <c r="L23" s="23">
        <f>'WBOT + Sampling'!$D$19*F23</f>
        <v>159507.72634715759</v>
      </c>
      <c r="M23" s="23">
        <f t="shared" si="4"/>
        <v>178993.33087363333</v>
      </c>
      <c r="N23" s="40">
        <f t="shared" si="5"/>
        <v>17.899333087363331</v>
      </c>
      <c r="O23" s="46">
        <f t="shared" si="8"/>
        <v>0.37549476444781149</v>
      </c>
      <c r="P23" s="23">
        <f t="shared" si="9"/>
        <v>16.737305478815639</v>
      </c>
      <c r="Q23" s="15">
        <f t="shared" si="10"/>
        <v>16.600292785598281</v>
      </c>
      <c r="R23" s="29">
        <f t="shared" si="6"/>
        <v>-4.4883593971039435</v>
      </c>
      <c r="S23" s="29">
        <f t="shared" si="7"/>
        <v>-7.2574787866378863</v>
      </c>
      <c r="U23" s="49">
        <f t="shared" si="11"/>
        <v>-0.8186066352841217</v>
      </c>
    </row>
    <row r="24" spans="3:21" x14ac:dyDescent="0.35">
      <c r="F24" s="38">
        <v>10500</v>
      </c>
      <c r="G24">
        <f t="shared" si="0"/>
        <v>15730.656881997586</v>
      </c>
      <c r="H24">
        <f t="shared" si="1"/>
        <v>167483.11266451544</v>
      </c>
      <c r="I24">
        <f t="shared" si="2"/>
        <v>183213.76954651304</v>
      </c>
      <c r="J24" s="37">
        <f t="shared" si="3"/>
        <v>17.448930433001241</v>
      </c>
      <c r="K24" s="23">
        <f>'WBOT + Sampling'!$D$12+Labour!$G$5</f>
        <v>19485.604526475727</v>
      </c>
      <c r="L24" s="23">
        <f>'WBOT + Sampling'!$D$19*F24</f>
        <v>167483.11266451544</v>
      </c>
      <c r="M24" s="23">
        <f t="shared" si="4"/>
        <v>186968.71719099116</v>
      </c>
      <c r="N24" s="40">
        <f t="shared" si="5"/>
        <v>17.806544494380109</v>
      </c>
      <c r="O24" s="46">
        <f t="shared" si="8"/>
        <v>0.35761406137886809</v>
      </c>
      <c r="P24" s="23">
        <f t="shared" si="9"/>
        <v>16.699851533858499</v>
      </c>
      <c r="Q24" s="15">
        <f t="shared" si="10"/>
        <v>16.569363254603875</v>
      </c>
      <c r="R24" s="29">
        <f t="shared" si="6"/>
        <v>-4.2929788849751223</v>
      </c>
      <c r="S24" s="29">
        <f t="shared" si="7"/>
        <v>-6.9479018804951096</v>
      </c>
      <c r="U24" s="49">
        <f t="shared" si="11"/>
        <v>-0.7813738882053114</v>
      </c>
    </row>
    <row r="25" spans="3:21" x14ac:dyDescent="0.35">
      <c r="C25" t="s">
        <v>0</v>
      </c>
      <c r="D25" t="s">
        <v>1</v>
      </c>
      <c r="F25" s="38">
        <v>11000</v>
      </c>
      <c r="G25">
        <f t="shared" si="0"/>
        <v>15730.656881997586</v>
      </c>
      <c r="H25">
        <f t="shared" si="1"/>
        <v>175458.49898187333</v>
      </c>
      <c r="I25">
        <f t="shared" si="2"/>
        <v>191189.15586387092</v>
      </c>
      <c r="J25" s="37">
        <f t="shared" si="3"/>
        <v>17.380832351260992</v>
      </c>
      <c r="K25" s="23">
        <f>'WBOT + Sampling'!$D$12+Labour!$G$5</f>
        <v>19485.604526475727</v>
      </c>
      <c r="L25" s="23">
        <f>'WBOT + Sampling'!$D$19*F25</f>
        <v>175458.49898187333</v>
      </c>
      <c r="M25" s="23">
        <f t="shared" si="4"/>
        <v>194944.10350834904</v>
      </c>
      <c r="N25" s="40">
        <f t="shared" si="5"/>
        <v>17.722191228031733</v>
      </c>
      <c r="O25" s="46">
        <f t="shared" si="8"/>
        <v>0.34135887677074095</v>
      </c>
      <c r="P25" s="23">
        <f t="shared" si="9"/>
        <v>16.665802492988377</v>
      </c>
      <c r="Q25" s="15">
        <f t="shared" si="10"/>
        <v>16.541245499154414</v>
      </c>
      <c r="R25" s="29">
        <f t="shared" si="6"/>
        <v>-4.1138988272948804</v>
      </c>
      <c r="S25" s="29">
        <f t="shared" si="7"/>
        <v>-6.6636552652099859</v>
      </c>
      <c r="U25" s="49">
        <f t="shared" si="11"/>
        <v>-0.74738071500827108</v>
      </c>
    </row>
    <row r="26" spans="3:21" x14ac:dyDescent="0.35">
      <c r="C26" t="s">
        <v>3</v>
      </c>
      <c r="D26" t="s">
        <v>5</v>
      </c>
      <c r="E26" t="s">
        <v>2</v>
      </c>
      <c r="F26" s="38">
        <v>11500</v>
      </c>
      <c r="G26">
        <f t="shared" si="0"/>
        <v>15730.656881997586</v>
      </c>
      <c r="H26">
        <f t="shared" si="1"/>
        <v>183433.88529923122</v>
      </c>
      <c r="I26">
        <f t="shared" si="2"/>
        <v>199164.54218122881</v>
      </c>
      <c r="J26" s="37">
        <f t="shared" si="3"/>
        <v>17.318655841845985</v>
      </c>
      <c r="K26" s="23">
        <f>'WBOT + Sampling'!$D$12+Labour!$G$5</f>
        <v>19485.604526475727</v>
      </c>
      <c r="L26" s="23">
        <f>'WBOT + Sampling'!$D$19*F26</f>
        <v>183433.88529923122</v>
      </c>
      <c r="M26" s="23">
        <f t="shared" si="4"/>
        <v>202919.48982570693</v>
      </c>
      <c r="N26" s="40">
        <f t="shared" si="5"/>
        <v>17.645173028322343</v>
      </c>
      <c r="O26" s="46">
        <f t="shared" si="8"/>
        <v>0.32651718647635875</v>
      </c>
      <c r="P26" s="23">
        <f t="shared" si="9"/>
        <v>16.634714238280871</v>
      </c>
      <c r="Q26" s="15">
        <f t="shared" si="10"/>
        <v>16.515572765917952</v>
      </c>
      <c r="R26" s="29">
        <f t="shared" si="6"/>
        <v>-3.9491610077067767</v>
      </c>
      <c r="S26" s="29">
        <f t="shared" si="7"/>
        <v>-6.4017522559357474</v>
      </c>
      <c r="U26" s="49">
        <f t="shared" si="11"/>
        <v>-0.71622193598458939</v>
      </c>
    </row>
    <row r="27" spans="3:21" x14ac:dyDescent="0.35">
      <c r="C27" t="s">
        <v>6</v>
      </c>
      <c r="D27" t="s">
        <v>4</v>
      </c>
      <c r="E27" t="s">
        <v>4</v>
      </c>
      <c r="F27" s="38">
        <v>12000</v>
      </c>
      <c r="G27">
        <f t="shared" si="0"/>
        <v>15730.656881997586</v>
      </c>
      <c r="H27">
        <f t="shared" si="1"/>
        <v>191409.2716165891</v>
      </c>
      <c r="I27">
        <f t="shared" si="2"/>
        <v>207139.9284985867</v>
      </c>
      <c r="J27" s="37">
        <f t="shared" si="3"/>
        <v>17.261660708215558</v>
      </c>
      <c r="K27" s="23">
        <f>'WBOT + Sampling'!$D$12+Labour!$G$5</f>
        <v>19485.604526475727</v>
      </c>
      <c r="L27" s="23">
        <f>'WBOT + Sampling'!$D$19*F27</f>
        <v>191409.2716165891</v>
      </c>
      <c r="M27" s="23">
        <f t="shared" si="4"/>
        <v>210894.87614306482</v>
      </c>
      <c r="N27" s="40">
        <f t="shared" si="5"/>
        <v>17.57457301192207</v>
      </c>
      <c r="O27" s="46">
        <f t="shared" si="8"/>
        <v>0.31291230370651135</v>
      </c>
      <c r="P27" s="23">
        <f t="shared" si="9"/>
        <v>16.60621667146566</v>
      </c>
      <c r="Q27" s="15">
        <f t="shared" si="10"/>
        <v>16.492039427117863</v>
      </c>
      <c r="R27" s="29">
        <f t="shared" si="6"/>
        <v>-3.7971087940452031</v>
      </c>
      <c r="S27" s="29">
        <f t="shared" si="7"/>
        <v>-6.1596579562408023</v>
      </c>
      <c r="U27" s="49">
        <f t="shared" si="11"/>
        <v>-0.68755723598371909</v>
      </c>
    </row>
    <row r="28" spans="3:21" x14ac:dyDescent="0.35">
      <c r="C28" t="s">
        <v>7</v>
      </c>
      <c r="D28" t="s">
        <v>5</v>
      </c>
      <c r="E28" t="s">
        <v>5</v>
      </c>
      <c r="F28" s="38">
        <v>12500</v>
      </c>
      <c r="G28">
        <f t="shared" si="0"/>
        <v>15730.656881997586</v>
      </c>
      <c r="H28">
        <f t="shared" si="1"/>
        <v>199384.65793394696</v>
      </c>
      <c r="I28">
        <f t="shared" si="2"/>
        <v>215115.31481594456</v>
      </c>
      <c r="J28" s="37">
        <f t="shared" si="3"/>
        <v>17.209225185275564</v>
      </c>
      <c r="K28" s="23">
        <f>'WBOT + Sampling'!$D$12+Labour!$G$5</f>
        <v>19485.604526475727</v>
      </c>
      <c r="L28" s="23">
        <f>'WBOT + Sampling'!$D$19*F28</f>
        <v>199384.65793394696</v>
      </c>
      <c r="M28" s="23">
        <f t="shared" si="4"/>
        <v>218870.2624604227</v>
      </c>
      <c r="N28" s="40">
        <f t="shared" si="5"/>
        <v>17.509620996833817</v>
      </c>
      <c r="O28" s="46">
        <f t="shared" si="8"/>
        <v>0.30039581155825346</v>
      </c>
      <c r="P28" s="23">
        <f t="shared" si="9"/>
        <v>16.579998909995659</v>
      </c>
      <c r="Q28" s="15">
        <f t="shared" si="10"/>
        <v>16.470388755421776</v>
      </c>
      <c r="R28" s="29">
        <f t="shared" si="6"/>
        <v>-3.6563312322641863</v>
      </c>
      <c r="S28" s="29">
        <f t="shared" si="7"/>
        <v>-5.935206944798864</v>
      </c>
      <c r="U28" s="49">
        <f t="shared" si="11"/>
        <v>-0.66109868383526482</v>
      </c>
    </row>
    <row r="29" spans="3:21" x14ac:dyDescent="0.35">
      <c r="C29" t="s">
        <v>8</v>
      </c>
      <c r="D29" t="s">
        <v>4</v>
      </c>
      <c r="E29" t="s">
        <v>4</v>
      </c>
      <c r="F29" s="38">
        <v>13000</v>
      </c>
      <c r="G29">
        <f t="shared" si="0"/>
        <v>15730.656881997586</v>
      </c>
      <c r="H29">
        <f t="shared" si="1"/>
        <v>207360.04425130485</v>
      </c>
      <c r="I29">
        <f t="shared" si="2"/>
        <v>223090.70113330244</v>
      </c>
      <c r="J29" s="37">
        <f t="shared" si="3"/>
        <v>17.160823164100186</v>
      </c>
      <c r="K29" s="23">
        <f>'WBOT + Sampling'!$D$12+Labour!$G$5</f>
        <v>19485.604526475727</v>
      </c>
      <c r="L29" s="23">
        <f>'WBOT + Sampling'!$D$19*F29</f>
        <v>207360.04425130485</v>
      </c>
      <c r="M29" s="23">
        <f t="shared" si="4"/>
        <v>226845.64877778059</v>
      </c>
      <c r="N29" s="40">
        <f t="shared" si="5"/>
        <v>17.449665290598507</v>
      </c>
      <c r="O29" s="46">
        <f t="shared" si="8"/>
        <v>0.28884212649832008</v>
      </c>
      <c r="P29" s="23">
        <f t="shared" si="9"/>
        <v>16.555797899407974</v>
      </c>
      <c r="Q29" s="15">
        <f t="shared" si="10"/>
        <v>16.450403520010006</v>
      </c>
      <c r="R29" s="29">
        <f t="shared" si="6"/>
        <v>-3.5256191320583228</v>
      </c>
      <c r="S29" s="29">
        <f t="shared" si="7"/>
        <v>-5.7265383257917293</v>
      </c>
      <c r="U29" s="49">
        <f t="shared" si="11"/>
        <v>-0.63660102665143392</v>
      </c>
    </row>
    <row r="30" spans="3:21" x14ac:dyDescent="0.35">
      <c r="C30" t="s">
        <v>9</v>
      </c>
      <c r="D30" t="s">
        <v>4</v>
      </c>
      <c r="E30" t="s">
        <v>5</v>
      </c>
      <c r="F30" s="38">
        <v>13500</v>
      </c>
      <c r="G30">
        <f t="shared" si="0"/>
        <v>15730.656881997586</v>
      </c>
      <c r="H30">
        <f t="shared" si="1"/>
        <v>215335.43056866273</v>
      </c>
      <c r="I30">
        <f t="shared" si="2"/>
        <v>231066.08745066033</v>
      </c>
      <c r="J30" s="37">
        <f t="shared" si="3"/>
        <v>17.116006477826691</v>
      </c>
      <c r="K30" s="23">
        <f>'WBOT + Sampling'!$D$12+Labour!$G$5</f>
        <v>19485.604526475727</v>
      </c>
      <c r="L30" s="23">
        <f>'WBOT + Sampling'!$D$19*F30</f>
        <v>215335.43056866273</v>
      </c>
      <c r="M30" s="23">
        <f t="shared" si="4"/>
        <v>234821.03509513848</v>
      </c>
      <c r="N30" s="40">
        <f t="shared" si="5"/>
        <v>17.394150747788036</v>
      </c>
      <c r="O30" s="46">
        <f t="shared" si="8"/>
        <v>0.278144269961345</v>
      </c>
      <c r="P30" s="23">
        <f t="shared" si="9"/>
        <v>16.533389556271224</v>
      </c>
      <c r="Q30" s="15">
        <f t="shared" si="10"/>
        <v>16.431898672406515</v>
      </c>
      <c r="R30" s="29">
        <f t="shared" si="6"/>
        <v>-3.4039302468728931</v>
      </c>
      <c r="S30" s="29">
        <f t="shared" si="7"/>
        <v>-5.5320440148760222</v>
      </c>
      <c r="U30" s="49">
        <f t="shared" si="11"/>
        <v>-0.61385406494709571</v>
      </c>
    </row>
    <row r="31" spans="3:21" x14ac:dyDescent="0.35">
      <c r="C31" t="s">
        <v>10</v>
      </c>
      <c r="D31" t="s">
        <v>4</v>
      </c>
      <c r="E31" t="s">
        <v>5</v>
      </c>
      <c r="F31" s="38">
        <v>14000</v>
      </c>
      <c r="G31">
        <f t="shared" si="0"/>
        <v>15730.656881997586</v>
      </c>
      <c r="H31">
        <f t="shared" si="1"/>
        <v>223310.81688602062</v>
      </c>
      <c r="I31">
        <f t="shared" si="2"/>
        <v>239041.47376801822</v>
      </c>
      <c r="J31" s="37">
        <f t="shared" si="3"/>
        <v>17.074390983429872</v>
      </c>
      <c r="K31" s="23">
        <f>'WBOT + Sampling'!$D$12+Labour!$G$5</f>
        <v>19485.604526475727</v>
      </c>
      <c r="L31" s="23">
        <f>'WBOT + Sampling'!$D$19*F31</f>
        <v>223310.81688602062</v>
      </c>
      <c r="M31" s="23">
        <f t="shared" si="4"/>
        <v>242796.42141249636</v>
      </c>
      <c r="N31" s="40">
        <f t="shared" si="5"/>
        <v>17.342601529464027</v>
      </c>
      <c r="O31" s="46">
        <f t="shared" si="8"/>
        <v>0.26821054603415462</v>
      </c>
      <c r="P31" s="23">
        <f t="shared" si="9"/>
        <v>16.512581809072817</v>
      </c>
      <c r="Q31" s="15">
        <f t="shared" si="10"/>
        <v>16.414715599631847</v>
      </c>
      <c r="R31" s="29">
        <f t="shared" si="6"/>
        <v>-3.2903614243241375</v>
      </c>
      <c r="S31" s="29">
        <f t="shared" si="7"/>
        <v>-5.3503272173771466</v>
      </c>
      <c r="U31" s="49">
        <f t="shared" si="11"/>
        <v>-0.59267660607256933</v>
      </c>
    </row>
    <row r="32" spans="3:21" x14ac:dyDescent="0.35">
      <c r="C32" t="s">
        <v>11</v>
      </c>
      <c r="D32" t="s">
        <v>4</v>
      </c>
      <c r="E32" t="s">
        <v>5</v>
      </c>
      <c r="F32" s="38">
        <v>14500</v>
      </c>
      <c r="G32">
        <f t="shared" si="0"/>
        <v>15730.656881997586</v>
      </c>
      <c r="H32">
        <f t="shared" si="1"/>
        <v>231286.20320337848</v>
      </c>
      <c r="I32">
        <f t="shared" si="2"/>
        <v>247016.86008537607</v>
      </c>
      <c r="J32" s="37">
        <f t="shared" si="3"/>
        <v>17.035645523129386</v>
      </c>
      <c r="K32" s="23">
        <f>'WBOT + Sampling'!$D$12+Labour!$G$5</f>
        <v>19485.604526475727</v>
      </c>
      <c r="L32" s="23">
        <f>'WBOT + Sampling'!$D$19*F32</f>
        <v>231286.20320337848</v>
      </c>
      <c r="M32" s="23">
        <f t="shared" si="4"/>
        <v>250771.80772985419</v>
      </c>
      <c r="N32" s="40">
        <f t="shared" si="5"/>
        <v>17.294607429645115</v>
      </c>
      <c r="O32" s="46">
        <f t="shared" si="8"/>
        <v>0.25896190651572937</v>
      </c>
      <c r="P32" s="23">
        <f t="shared" si="9"/>
        <v>16.493209078922572</v>
      </c>
      <c r="Q32" s="15">
        <f t="shared" si="10"/>
        <v>16.398717566358876</v>
      </c>
      <c r="R32" s="29">
        <f t="shared" si="6"/>
        <v>-3.1841261516644326</v>
      </c>
      <c r="S32" s="29">
        <f t="shared" si="7"/>
        <v>-5.1801688296813975</v>
      </c>
      <c r="U32" s="49">
        <f t="shared" si="11"/>
        <v>-0.57291162751614577</v>
      </c>
    </row>
    <row r="33" spans="3:21" x14ac:dyDescent="0.35">
      <c r="C33" t="s">
        <v>12</v>
      </c>
      <c r="D33" t="s">
        <v>5</v>
      </c>
      <c r="E33" t="s">
        <v>5</v>
      </c>
      <c r="F33" s="38">
        <v>15000</v>
      </c>
      <c r="G33">
        <f t="shared" si="0"/>
        <v>15730.656881997586</v>
      </c>
      <c r="H33">
        <f t="shared" si="1"/>
        <v>239261.58952073636</v>
      </c>
      <c r="I33">
        <f t="shared" si="2"/>
        <v>254992.24640273396</v>
      </c>
      <c r="J33" s="37">
        <f t="shared" si="3"/>
        <v>16.999483093515597</v>
      </c>
      <c r="K33" s="23">
        <f>'WBOT + Sampling'!$D$12+Labour!$G$5</f>
        <v>19485.604526475727</v>
      </c>
      <c r="L33" s="23">
        <f>'WBOT + Sampling'!$D$19*F33</f>
        <v>239261.58952073636</v>
      </c>
      <c r="M33" s="23">
        <f t="shared" si="4"/>
        <v>258747.19404721208</v>
      </c>
      <c r="N33" s="40">
        <f t="shared" si="5"/>
        <v>17.249812936480804</v>
      </c>
      <c r="O33" s="46">
        <f t="shared" si="8"/>
        <v>0.25032984296520766</v>
      </c>
      <c r="P33" s="23">
        <f t="shared" si="9"/>
        <v>16.475127864115677</v>
      </c>
      <c r="Q33" s="15">
        <f t="shared" si="10"/>
        <v>16.383786068637441</v>
      </c>
      <c r="R33" s="29">
        <f t="shared" si="6"/>
        <v>-3.0845363151067411</v>
      </c>
      <c r="S33" s="29">
        <f t="shared" si="7"/>
        <v>-5.0205000543040343</v>
      </c>
      <c r="U33" s="49">
        <f t="shared" si="11"/>
        <v>-0.55442237675852446</v>
      </c>
    </row>
    <row r="34" spans="3:21" x14ac:dyDescent="0.35">
      <c r="C34" t="s">
        <v>13</v>
      </c>
      <c r="D34" t="s">
        <v>4</v>
      </c>
      <c r="E34" t="s">
        <v>4</v>
      </c>
      <c r="F34" s="38">
        <v>15500</v>
      </c>
      <c r="G34">
        <f t="shared" si="0"/>
        <v>15730.656881997586</v>
      </c>
      <c r="H34">
        <f t="shared" si="1"/>
        <v>247236.97583809425</v>
      </c>
      <c r="I34">
        <f t="shared" si="2"/>
        <v>262967.63272009185</v>
      </c>
      <c r="J34" s="37">
        <f t="shared" si="3"/>
        <v>16.965653723876894</v>
      </c>
      <c r="K34" s="23">
        <f>'WBOT + Sampling'!$D$12+Labour!$G$5</f>
        <v>19485.604526475727</v>
      </c>
      <c r="L34" s="23">
        <f>'WBOT + Sampling'!$D$19*F34</f>
        <v>247236.97583809425</v>
      </c>
      <c r="M34" s="23">
        <f t="shared" si="4"/>
        <v>266722.58036456996</v>
      </c>
      <c r="N34" s="40">
        <f t="shared" si="5"/>
        <v>17.207908410617417</v>
      </c>
      <c r="O34" s="46">
        <f t="shared" si="8"/>
        <v>0.24225468674052308</v>
      </c>
      <c r="P34" s="23">
        <f t="shared" si="9"/>
        <v>16.458213179296326</v>
      </c>
      <c r="Q34" s="15">
        <f t="shared" si="10"/>
        <v>16.369817893349644</v>
      </c>
      <c r="R34" s="29">
        <f t="shared" si="6"/>
        <v>-2.9909872784118727</v>
      </c>
      <c r="S34" s="29">
        <f t="shared" si="7"/>
        <v>-4.8703799280490374</v>
      </c>
      <c r="U34" s="49">
        <f t="shared" si="11"/>
        <v>-0.53708920272024951</v>
      </c>
    </row>
    <row r="35" spans="3:21" x14ac:dyDescent="0.35">
      <c r="C35" t="s">
        <v>14</v>
      </c>
      <c r="D35" t="s">
        <v>4</v>
      </c>
      <c r="E35" t="s">
        <v>5</v>
      </c>
      <c r="F35" s="38">
        <v>16000</v>
      </c>
      <c r="G35">
        <f t="shared" si="0"/>
        <v>15730.656881997586</v>
      </c>
      <c r="H35">
        <f t="shared" si="1"/>
        <v>255212.36215545214</v>
      </c>
      <c r="I35">
        <f t="shared" si="2"/>
        <v>270943.01903744973</v>
      </c>
      <c r="J35" s="37">
        <f t="shared" si="3"/>
        <v>16.933938689840609</v>
      </c>
      <c r="K35" s="23">
        <f>'WBOT + Sampling'!$D$12+Labour!$G$5</f>
        <v>19485.604526475727</v>
      </c>
      <c r="L35" s="23">
        <f>'WBOT + Sampling'!$D$19*F35</f>
        <v>255212.36215545214</v>
      </c>
      <c r="M35" s="23">
        <f t="shared" si="4"/>
        <v>274697.96668192785</v>
      </c>
      <c r="N35" s="40">
        <f t="shared" si="5"/>
        <v>17.168622917620489</v>
      </c>
      <c r="O35" s="46">
        <f t="shared" si="8"/>
        <v>0.23468422777987996</v>
      </c>
      <c r="P35" s="23">
        <f t="shared" si="9"/>
        <v>16.442355662278182</v>
      </c>
      <c r="Q35" s="15">
        <f t="shared" si="10"/>
        <v>16.356722729017335</v>
      </c>
      <c r="R35" s="29">
        <f t="shared" si="6"/>
        <v>-2.9029455968052424</v>
      </c>
      <c r="S35" s="29">
        <f t="shared" si="7"/>
        <v>-4.7289767647577907</v>
      </c>
      <c r="U35" s="49">
        <f t="shared" si="11"/>
        <v>-0.52080696355026923</v>
      </c>
    </row>
    <row r="36" spans="3:21" x14ac:dyDescent="0.35">
      <c r="C36" t="s">
        <v>15</v>
      </c>
      <c r="D36" t="s">
        <v>4</v>
      </c>
      <c r="E36" t="s">
        <v>5</v>
      </c>
      <c r="F36" s="38">
        <v>16500</v>
      </c>
      <c r="G36">
        <f t="shared" si="0"/>
        <v>15730.656881997586</v>
      </c>
      <c r="H36">
        <f t="shared" si="1"/>
        <v>263187.74847281002</v>
      </c>
      <c r="I36">
        <f t="shared" si="2"/>
        <v>278918.40535480762</v>
      </c>
      <c r="J36" s="37">
        <f t="shared" si="3"/>
        <v>16.904145779079251</v>
      </c>
      <c r="K36" s="23">
        <f>'WBOT + Sampling'!$D$12+Labour!$G$5</f>
        <v>19485.604526475727</v>
      </c>
      <c r="L36" s="23">
        <f>'WBOT + Sampling'!$D$19*F36</f>
        <v>263187.74847281002</v>
      </c>
      <c r="M36" s="23">
        <f t="shared" si="4"/>
        <v>282673.35299928574</v>
      </c>
      <c r="N36" s="40">
        <f t="shared" si="5"/>
        <v>17.131718363593073</v>
      </c>
      <c r="O36" s="46">
        <f t="shared" si="8"/>
        <v>0.22757258451382256</v>
      </c>
      <c r="P36" s="23">
        <f t="shared" si="9"/>
        <v>16.427459206897506</v>
      </c>
      <c r="Q36" s="15">
        <f t="shared" si="10"/>
        <v>16.344421211008196</v>
      </c>
      <c r="R36" s="29">
        <f t="shared" si="6"/>
        <v>-2.8199388387415407</v>
      </c>
      <c r="S36" s="29">
        <f t="shared" si="7"/>
        <v>-4.5955527395195599</v>
      </c>
      <c r="U36" s="49">
        <f t="shared" si="11"/>
        <v>-0.50548289204969687</v>
      </c>
    </row>
    <row r="37" spans="3:21" x14ac:dyDescent="0.35">
      <c r="C37" t="s">
        <v>48</v>
      </c>
      <c r="E37" t="s">
        <v>5</v>
      </c>
      <c r="F37" s="38">
        <v>17000</v>
      </c>
      <c r="G37">
        <f t="shared" si="0"/>
        <v>15730.656881997586</v>
      </c>
      <c r="H37">
        <f t="shared" si="1"/>
        <v>271163.13479016791</v>
      </c>
      <c r="I37">
        <f t="shared" si="2"/>
        <v>286893.79167216551</v>
      </c>
      <c r="J37" s="37">
        <f t="shared" si="3"/>
        <v>16.876105392480323</v>
      </c>
      <c r="K37" s="23">
        <f>'WBOT + Sampling'!$D$12+Labour!$G$5</f>
        <v>19485.604526475727</v>
      </c>
      <c r="L37" s="23">
        <f>'WBOT + Sampling'!$D$19*F37</f>
        <v>271163.13479016791</v>
      </c>
      <c r="M37" s="23">
        <f t="shared" si="4"/>
        <v>290648.73931664362</v>
      </c>
      <c r="N37" s="40">
        <f t="shared" si="5"/>
        <v>17.096984665684918</v>
      </c>
      <c r="O37" s="46">
        <f t="shared" si="8"/>
        <v>0.22087927320459499</v>
      </c>
      <c r="P37" s="23">
        <f t="shared" si="9"/>
        <v>16.41343901359804</v>
      </c>
      <c r="Q37" s="15">
        <f t="shared" si="10"/>
        <v>16.332843311705478</v>
      </c>
      <c r="R37" s="29">
        <f t="shared" si="6"/>
        <v>-2.7415471053436176</v>
      </c>
      <c r="S37" s="29">
        <f t="shared" si="7"/>
        <v>-4.4694510109325636</v>
      </c>
      <c r="U37" s="49">
        <f t="shared" si="11"/>
        <v>-0.49103482716688057</v>
      </c>
    </row>
    <row r="38" spans="3:21" x14ac:dyDescent="0.35">
      <c r="F38" s="38">
        <v>17500</v>
      </c>
      <c r="G38">
        <f t="shared" si="0"/>
        <v>15730.656881997586</v>
      </c>
      <c r="H38">
        <f t="shared" si="1"/>
        <v>279138.52110752574</v>
      </c>
      <c r="I38">
        <f t="shared" si="2"/>
        <v>294869.17798952333</v>
      </c>
      <c r="J38" s="37">
        <f t="shared" si="3"/>
        <v>16.849667313687046</v>
      </c>
      <c r="K38" s="23">
        <f>'WBOT + Sampling'!$D$12+Labour!$G$5</f>
        <v>19485.604526475727</v>
      </c>
      <c r="L38" s="23">
        <f>'WBOT + Sampling'!$D$19*F38</f>
        <v>279138.52110752574</v>
      </c>
      <c r="M38" s="23">
        <f t="shared" si="4"/>
        <v>298624.12563400145</v>
      </c>
      <c r="N38" s="40">
        <f t="shared" si="5"/>
        <v>17.064235750514367</v>
      </c>
      <c r="O38" s="46">
        <f t="shared" si="8"/>
        <v>0.21456843682732085</v>
      </c>
      <c r="P38" s="23">
        <f t="shared" si="9"/>
        <v>16.400219974201402</v>
      </c>
      <c r="Q38" s="15">
        <f t="shared" si="10"/>
        <v>16.321927006648629</v>
      </c>
      <c r="R38" s="29">
        <f t="shared" si="6"/>
        <v>-2.6673959260937838</v>
      </c>
      <c r="S38" s="29">
        <f t="shared" si="7"/>
        <v>-4.3500849069280054</v>
      </c>
      <c r="U38" s="49">
        <f t="shared" si="11"/>
        <v>-0.47738974035673376</v>
      </c>
    </row>
    <row r="39" spans="3:21" x14ac:dyDescent="0.35">
      <c r="C39" t="s">
        <v>76</v>
      </c>
      <c r="F39" s="38">
        <v>18000</v>
      </c>
      <c r="G39">
        <f t="shared" si="0"/>
        <v>15730.656881997586</v>
      </c>
      <c r="H39">
        <f t="shared" si="1"/>
        <v>287113.90742488363</v>
      </c>
      <c r="I39">
        <f t="shared" si="2"/>
        <v>302844.56430688122</v>
      </c>
      <c r="J39" s="37">
        <f t="shared" si="3"/>
        <v>16.824698017048956</v>
      </c>
      <c r="K39" s="23">
        <f>'WBOT + Sampling'!$D$12+Labour!$G$5</f>
        <v>19485.604526475727</v>
      </c>
      <c r="L39" s="23">
        <f>'WBOT + Sampling'!$D$19*F39</f>
        <v>287113.90742488363</v>
      </c>
      <c r="M39" s="23">
        <f t="shared" si="4"/>
        <v>306599.51195135934</v>
      </c>
      <c r="N39" s="40">
        <f t="shared" si="5"/>
        <v>17.033306219519964</v>
      </c>
      <c r="O39" s="46">
        <f t="shared" si="8"/>
        <v>0.20860820247100875</v>
      </c>
      <c r="P39" s="23">
        <f t="shared" si="9"/>
        <v>16.387735325882357</v>
      </c>
      <c r="Q39" s="15">
        <f t="shared" si="10"/>
        <v>16.311617162983826</v>
      </c>
      <c r="R39" s="29">
        <f t="shared" si="6"/>
        <v>-2.5971502770736921</v>
      </c>
      <c r="S39" s="29">
        <f t="shared" si="7"/>
        <v>-4.2369287984096236</v>
      </c>
      <c r="U39" s="49">
        <f t="shared" si="11"/>
        <v>-0.46448250099763461</v>
      </c>
    </row>
    <row r="40" spans="3:21" x14ac:dyDescent="0.35">
      <c r="C40" t="s">
        <v>91</v>
      </c>
      <c r="F40" s="39">
        <v>18500</v>
      </c>
      <c r="G40" s="8">
        <f t="shared" si="0"/>
        <v>15730.656881997586</v>
      </c>
      <c r="H40" s="8">
        <f t="shared" si="1"/>
        <v>295089.29374224151</v>
      </c>
      <c r="I40" s="8">
        <f t="shared" si="2"/>
        <v>310819.95062423911</v>
      </c>
      <c r="J40" s="47">
        <f t="shared" si="3"/>
        <v>16.801078412121033</v>
      </c>
      <c r="K40" s="34">
        <f>'WBOT + Sampling'!$D$12+Labour!$G$5</f>
        <v>19485.604526475727</v>
      </c>
      <c r="L40" s="34">
        <f>'WBOT + Sampling'!$D$19*F40</f>
        <v>295089.29374224151</v>
      </c>
      <c r="M40" s="34">
        <f t="shared" si="4"/>
        <v>314574.89826871722</v>
      </c>
      <c r="N40" s="43">
        <f t="shared" si="5"/>
        <v>17.004048555065797</v>
      </c>
      <c r="O40" s="54">
        <f t="shared" si="8"/>
        <v>0.20297014294476412</v>
      </c>
      <c r="P40" s="34">
        <f t="shared" si="9"/>
        <v>16.375925523418395</v>
      </c>
      <c r="Q40" s="55">
        <f t="shared" si="10"/>
        <v>16.301864608165769</v>
      </c>
      <c r="R40" s="29">
        <f t="shared" si="6"/>
        <v>-2.5305095201264791</v>
      </c>
      <c r="S40" s="29">
        <f t="shared" si="7"/>
        <v>-4.1295103611712269</v>
      </c>
      <c r="T40" s="8"/>
      <c r="U40" s="56">
        <f t="shared" si="11"/>
        <v>-0.45225483681344297</v>
      </c>
    </row>
    <row r="41" spans="3:21" x14ac:dyDescent="0.35">
      <c r="C41" t="s">
        <v>92</v>
      </c>
      <c r="E41">
        <v>94000</v>
      </c>
      <c r="F41" s="38">
        <v>19000</v>
      </c>
      <c r="G41">
        <f t="shared" si="0"/>
        <v>15730.656881997586</v>
      </c>
      <c r="H41">
        <f t="shared" si="1"/>
        <v>303064.6800595994</v>
      </c>
      <c r="I41">
        <f t="shared" si="2"/>
        <v>318795.33694159699</v>
      </c>
      <c r="J41" s="37">
        <f t="shared" si="3"/>
        <v>16.778701944294578</v>
      </c>
      <c r="K41" s="23">
        <f>'WBOT + Sampling'!$D$12+Labour!$G$5</f>
        <v>19485.604526475727</v>
      </c>
      <c r="L41" s="23">
        <f>'WBOT + Sampling'!$D$19*F41</f>
        <v>303064.6800595994</v>
      </c>
      <c r="M41" s="23">
        <f t="shared" si="4"/>
        <v>322550.28458607511</v>
      </c>
      <c r="N41" s="40">
        <f t="shared" si="5"/>
        <v>16.976330767688165</v>
      </c>
      <c r="O41" s="46">
        <f t="shared" si="8"/>
        <v>0.19762882339358612</v>
      </c>
      <c r="P41" s="23">
        <f t="shared" si="9"/>
        <v>16.364737289505168</v>
      </c>
      <c r="Q41" s="15">
        <f t="shared" si="10"/>
        <v>16.292625345706561</v>
      </c>
      <c r="R41" s="29">
        <f t="shared" si="6"/>
        <v>-2.4672031016688667</v>
      </c>
      <c r="S41" s="29">
        <f t="shared" si="7"/>
        <v>-4.0274039858067052</v>
      </c>
      <c r="U41" s="49">
        <f t="shared" si="11"/>
        <v>-0.44065445428722405</v>
      </c>
    </row>
    <row r="42" spans="3:21" x14ac:dyDescent="0.35">
      <c r="C42" t="s">
        <v>93</v>
      </c>
      <c r="E42">
        <v>0.7</v>
      </c>
      <c r="F42" s="38">
        <v>19500</v>
      </c>
      <c r="G42">
        <f t="shared" si="0"/>
        <v>15730.656881997586</v>
      </c>
      <c r="H42">
        <f t="shared" si="1"/>
        <v>311040.06637695729</v>
      </c>
      <c r="I42">
        <f t="shared" si="2"/>
        <v>326770.72325895488</v>
      </c>
      <c r="J42" s="37">
        <f t="shared" si="3"/>
        <v>16.75747298763871</v>
      </c>
      <c r="K42" s="23">
        <f>'WBOT + Sampling'!$D$12+Labour!$G$5</f>
        <v>19485.604526475727</v>
      </c>
      <c r="L42" s="23">
        <f>'WBOT + Sampling'!$D$19*F42</f>
        <v>311040.06637695729</v>
      </c>
      <c r="M42" s="23">
        <f t="shared" si="4"/>
        <v>330525.670903433</v>
      </c>
      <c r="N42" s="40">
        <f t="shared" si="5"/>
        <v>16.950034405304255</v>
      </c>
      <c r="O42" s="46">
        <f t="shared" si="8"/>
        <v>0.19256141766554435</v>
      </c>
      <c r="P42" s="23">
        <f t="shared" si="9"/>
        <v>16.354122811177234</v>
      </c>
      <c r="Q42" s="15">
        <f t="shared" si="10"/>
        <v>16.28385989157859</v>
      </c>
      <c r="R42" s="29">
        <f t="shared" si="6"/>
        <v>-2.4069868813693498</v>
      </c>
      <c r="S42" s="29">
        <f t="shared" si="7"/>
        <v>-3.9302251417094194</v>
      </c>
      <c r="T42" s="49">
        <f>((J42-N42)/N42)*100</f>
        <v>-1.1360532554747216</v>
      </c>
      <c r="U42" s="49">
        <f t="shared" si="11"/>
        <v>-0.42963429105853795</v>
      </c>
    </row>
    <row r="43" spans="3:21" x14ac:dyDescent="0.35">
      <c r="E43">
        <f>E41*E42</f>
        <v>65800</v>
      </c>
    </row>
    <row r="46" spans="3:21" x14ac:dyDescent="0.35">
      <c r="C46" t="s">
        <v>94</v>
      </c>
      <c r="D46" t="s">
        <v>95</v>
      </c>
    </row>
    <row r="47" spans="3:21" x14ac:dyDescent="0.35">
      <c r="C47">
        <v>5000</v>
      </c>
      <c r="D47">
        <v>555.10643886685</v>
      </c>
    </row>
    <row r="48" spans="3:21" x14ac:dyDescent="0.35">
      <c r="C48">
        <v>10000</v>
      </c>
      <c r="D48">
        <v>500.07655276675831</v>
      </c>
    </row>
    <row r="49" spans="3:4" x14ac:dyDescent="0.35">
      <c r="C49">
        <v>15000</v>
      </c>
      <c r="D49">
        <v>481.73325740006106</v>
      </c>
    </row>
    <row r="50" spans="3:4" x14ac:dyDescent="0.35">
      <c r="C50">
        <v>20000</v>
      </c>
      <c r="D50">
        <v>472.56160971671238</v>
      </c>
    </row>
    <row r="51" spans="3:4" x14ac:dyDescent="0.35">
      <c r="C51">
        <v>25000</v>
      </c>
      <c r="D51">
        <v>467.0586211067033</v>
      </c>
    </row>
    <row r="52" spans="3:4" x14ac:dyDescent="0.35">
      <c r="C52">
        <v>30000</v>
      </c>
      <c r="D52">
        <v>463.38996203336382</v>
      </c>
    </row>
    <row r="53" spans="3:4" x14ac:dyDescent="0.35">
      <c r="C53">
        <v>35000</v>
      </c>
      <c r="D53">
        <v>460.7694912666928</v>
      </c>
    </row>
    <row r="54" spans="3:4" x14ac:dyDescent="0.35">
      <c r="C54">
        <v>40000</v>
      </c>
      <c r="D54">
        <v>458.80413819168956</v>
      </c>
    </row>
    <row r="55" spans="3:4" x14ac:dyDescent="0.35">
      <c r="C55">
        <v>45000</v>
      </c>
      <c r="D55">
        <v>457.27553024446473</v>
      </c>
    </row>
    <row r="56" spans="3:4" x14ac:dyDescent="0.35">
      <c r="C56">
        <v>50000</v>
      </c>
      <c r="D56">
        <v>456.05264388668502</v>
      </c>
    </row>
    <row r="57" spans="3:4" x14ac:dyDescent="0.35">
      <c r="C57">
        <v>55000</v>
      </c>
      <c r="D57">
        <v>455.05210050304697</v>
      </c>
    </row>
    <row r="58" spans="3:4" x14ac:dyDescent="0.35">
      <c r="C58">
        <v>60000</v>
      </c>
      <c r="D58">
        <v>454.21831435001525</v>
      </c>
    </row>
    <row r="59" spans="3:4" x14ac:dyDescent="0.35">
      <c r="C59">
        <v>65000</v>
      </c>
      <c r="D59">
        <v>453.51280298975769</v>
      </c>
    </row>
    <row r="60" spans="3:4" x14ac:dyDescent="0.35">
      <c r="C60">
        <v>70000</v>
      </c>
      <c r="D60">
        <v>452.90807896667974</v>
      </c>
    </row>
    <row r="61" spans="3:4" x14ac:dyDescent="0.35">
      <c r="C61" t="s">
        <v>53</v>
      </c>
    </row>
    <row r="62" spans="3:4" x14ac:dyDescent="0.35">
      <c r="C62" t="s">
        <v>54</v>
      </c>
    </row>
    <row r="63" spans="3:4" x14ac:dyDescent="0.35">
      <c r="C63" t="s">
        <v>87</v>
      </c>
    </row>
    <row r="64" spans="3:4" x14ac:dyDescent="0.35">
      <c r="C64" t="s">
        <v>74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4"/>
  <sheetViews>
    <sheetView topLeftCell="D3" workbookViewId="0">
      <selection activeCell="G44" sqref="G44"/>
    </sheetView>
  </sheetViews>
  <sheetFormatPr defaultRowHeight="14.5" x14ac:dyDescent="0.35"/>
  <cols>
    <col min="2" max="2" width="8.7265625" customWidth="1"/>
    <col min="3" max="3" width="38.26953125" bestFit="1" customWidth="1"/>
    <col min="4" max="5" width="8.7265625" customWidth="1"/>
    <col min="8" max="9" width="8.7265625" customWidth="1"/>
    <col min="10" max="10" width="16.7265625" bestFit="1" customWidth="1"/>
    <col min="11" max="11" width="17.453125" customWidth="1"/>
    <col min="12" max="13" width="13.54296875" bestFit="1" customWidth="1"/>
    <col min="14" max="14" width="10.6328125" customWidth="1"/>
    <col min="17" max="17" width="10.26953125" bestFit="1" customWidth="1"/>
  </cols>
  <sheetData>
    <row r="2" spans="2:21" x14ac:dyDescent="0.35">
      <c r="J2" t="s">
        <v>98</v>
      </c>
    </row>
    <row r="3" spans="2:21" x14ac:dyDescent="0.35">
      <c r="C3" t="s">
        <v>97</v>
      </c>
      <c r="G3" t="s">
        <v>16</v>
      </c>
      <c r="H3" t="s">
        <v>18</v>
      </c>
      <c r="I3" t="s">
        <v>55</v>
      </c>
      <c r="J3" s="36" t="s">
        <v>111</v>
      </c>
      <c r="K3" t="s">
        <v>16</v>
      </c>
      <c r="L3" t="s">
        <v>18</v>
      </c>
      <c r="M3" t="s">
        <v>55</v>
      </c>
      <c r="N3" s="36" t="s">
        <v>48</v>
      </c>
      <c r="O3" s="45" t="s">
        <v>112</v>
      </c>
      <c r="P3" s="4" t="s">
        <v>124</v>
      </c>
      <c r="Q3" s="4" t="s">
        <v>125</v>
      </c>
      <c r="R3" t="s">
        <v>134</v>
      </c>
      <c r="S3" t="s">
        <v>128</v>
      </c>
      <c r="T3" t="s">
        <v>133</v>
      </c>
      <c r="U3" t="s">
        <v>135</v>
      </c>
    </row>
    <row r="4" spans="2:21" x14ac:dyDescent="0.35">
      <c r="B4" t="s">
        <v>84</v>
      </c>
      <c r="C4" t="s">
        <v>36</v>
      </c>
      <c r="D4" t="s">
        <v>83</v>
      </c>
      <c r="F4" s="38">
        <v>50</v>
      </c>
      <c r="G4">
        <f>$D$12</f>
        <v>15730.656881997586</v>
      </c>
      <c r="H4">
        <f>F4*$D$19</f>
        <v>797.53863173578793</v>
      </c>
      <c r="I4">
        <f>G4+H4</f>
        <v>16528.195513733372</v>
      </c>
      <c r="J4" s="37">
        <f>I4/F4</f>
        <v>330.56391027466742</v>
      </c>
      <c r="K4" s="23">
        <f>'WBOT + Sampling'!$D$12+Labour!$G$5</f>
        <v>19485.604526475727</v>
      </c>
      <c r="L4" s="23">
        <f>'WBOT + Sampling'!$D$19*F4</f>
        <v>797.53863173578793</v>
      </c>
      <c r="M4" s="23">
        <f>K4+L4</f>
        <v>20283.143158211515</v>
      </c>
      <c r="N4" s="40">
        <f>M4/F4</f>
        <v>405.66286316423032</v>
      </c>
      <c r="O4" s="46">
        <f>(N4-J4)</f>
        <v>75.098952889562895</v>
      </c>
      <c r="P4" s="23">
        <f>((G4/2)+H4)/F4</f>
        <v>173.25734145469164</v>
      </c>
      <c r="Q4" s="15">
        <f>((K4/3)+L4)/F4</f>
        <v>145.85480281122059</v>
      </c>
      <c r="R4" s="29">
        <f>((P4-J4)/J4)*100</f>
        <v>-47.587339068341997</v>
      </c>
      <c r="S4" s="29">
        <f>((Q4-N4)/N4)*100</f>
        <v>-64.045315444077985</v>
      </c>
      <c r="T4" s="49">
        <f>((J4-N4)/N4)*100</f>
        <v>-18.512651689084862</v>
      </c>
      <c r="U4" s="49">
        <f>((Q4-P4)/P4)*100</f>
        <v>-15.816090916203432</v>
      </c>
    </row>
    <row r="5" spans="2:21" x14ac:dyDescent="0.35">
      <c r="B5">
        <v>1</v>
      </c>
      <c r="C5" t="s">
        <v>6</v>
      </c>
      <c r="D5">
        <f>660/14.1074</f>
        <v>46.783957355714023</v>
      </c>
      <c r="F5" s="38">
        <v>100</v>
      </c>
      <c r="G5">
        <f t="shared" ref="G5:G42" si="0">$D$12</f>
        <v>15730.656881997586</v>
      </c>
      <c r="H5">
        <f t="shared" ref="H5:H42" si="1">F5*$D$19</f>
        <v>1595.0772634715759</v>
      </c>
      <c r="I5">
        <f t="shared" ref="I5:I42" si="2">G5+H5</f>
        <v>17325.734145469163</v>
      </c>
      <c r="J5" s="37">
        <f t="shared" ref="J5:J42" si="3">I5/F5</f>
        <v>173.25734145469164</v>
      </c>
      <c r="K5" s="23">
        <f>'WBOT + Sampling'!$D$12+Labour!$G$5</f>
        <v>19485.604526475727</v>
      </c>
      <c r="L5" s="23">
        <f>'WBOT + Sampling'!$D$19*F5</f>
        <v>1595.0772634715759</v>
      </c>
      <c r="M5" s="23">
        <f t="shared" ref="M5:M42" si="4">K5+L5</f>
        <v>21080.681789947303</v>
      </c>
      <c r="N5" s="40">
        <f t="shared" ref="N5:N42" si="5">M5/F5</f>
        <v>210.80681789947303</v>
      </c>
      <c r="O5" s="46">
        <f>(N5-J5)</f>
        <v>37.549476444781391</v>
      </c>
      <c r="P5" s="23">
        <f>((G5/2)+H5)/F5</f>
        <v>94.604057044703694</v>
      </c>
      <c r="Q5" s="15">
        <f>((K5/3)+L5)/F5</f>
        <v>80.902787722968185</v>
      </c>
      <c r="R5" s="29">
        <f t="shared" ref="R5:R42" si="6">((P5-J5)/J5)*100</f>
        <v>-45.396797474556941</v>
      </c>
      <c r="S5" s="29">
        <f t="shared" ref="S5:S42" si="7">((Q5-N5)/N5)*100</f>
        <v>-61.622309691355369</v>
      </c>
      <c r="U5" s="49">
        <f>((Q5-P5)/P5)*100</f>
        <v>-14.482750264358307</v>
      </c>
    </row>
    <row r="6" spans="2:21" x14ac:dyDescent="0.35">
      <c r="B6">
        <v>2</v>
      </c>
      <c r="C6" t="s">
        <v>9</v>
      </c>
      <c r="D6">
        <v>0</v>
      </c>
      <c r="F6" s="38">
        <v>150</v>
      </c>
      <c r="G6">
        <f t="shared" si="0"/>
        <v>15730.656881997586</v>
      </c>
      <c r="H6">
        <f t="shared" si="1"/>
        <v>2392.6158952073638</v>
      </c>
      <c r="I6">
        <f t="shared" si="2"/>
        <v>18123.272777204947</v>
      </c>
      <c r="J6" s="37">
        <f t="shared" si="3"/>
        <v>120.82181851469964</v>
      </c>
      <c r="K6" s="23">
        <f>'WBOT + Sampling'!$D$12+Labour!$G$5</f>
        <v>19485.604526475727</v>
      </c>
      <c r="L6" s="23">
        <f>'WBOT + Sampling'!$D$19*F6</f>
        <v>2392.6158952073638</v>
      </c>
      <c r="M6" s="23">
        <f t="shared" si="4"/>
        <v>21878.220421683091</v>
      </c>
      <c r="N6" s="40">
        <f t="shared" si="5"/>
        <v>145.85480281122059</v>
      </c>
      <c r="O6" s="46">
        <f t="shared" ref="O6:O42" si="8">(N6-J6)</f>
        <v>25.032984296520951</v>
      </c>
      <c r="P6" s="23">
        <f t="shared" ref="P6:P42" si="9">((G6/2)+H6)/F6</f>
        <v>68.386295574707717</v>
      </c>
      <c r="Q6" s="15">
        <f t="shared" ref="Q6:Q42" si="10">((K6/3)+L6)/F6</f>
        <v>59.252116026884032</v>
      </c>
      <c r="R6" s="29">
        <f t="shared" si="6"/>
        <v>-43.399051251337042</v>
      </c>
      <c r="S6" s="29">
        <f t="shared" si="7"/>
        <v>-59.375958223621986</v>
      </c>
      <c r="U6" s="49">
        <f t="shared" ref="U6:U42" si="11">((Q6-P6)/P6)*100</f>
        <v>-13.356739783989571</v>
      </c>
    </row>
    <row r="7" spans="2:21" x14ac:dyDescent="0.35">
      <c r="B7">
        <v>3</v>
      </c>
      <c r="C7" t="s">
        <v>10</v>
      </c>
      <c r="D7">
        <f>15000/14.1074</f>
        <v>1063.2717580844096</v>
      </c>
      <c r="F7" s="38">
        <v>200</v>
      </c>
      <c r="G7">
        <f t="shared" si="0"/>
        <v>15730.656881997586</v>
      </c>
      <c r="H7">
        <f t="shared" si="1"/>
        <v>3190.1545269431517</v>
      </c>
      <c r="I7">
        <f t="shared" si="2"/>
        <v>18920.811408940739</v>
      </c>
      <c r="J7" s="37">
        <f t="shared" si="3"/>
        <v>94.604057044703694</v>
      </c>
      <c r="K7" s="23">
        <f>'WBOT + Sampling'!$D$12+Labour!$G$5</f>
        <v>19485.604526475727</v>
      </c>
      <c r="L7" s="23">
        <f>'WBOT + Sampling'!$D$19*F7</f>
        <v>3190.1545269431517</v>
      </c>
      <c r="M7" s="23">
        <f t="shared" si="4"/>
        <v>22675.759053418878</v>
      </c>
      <c r="N7" s="40">
        <f t="shared" si="5"/>
        <v>113.37879526709439</v>
      </c>
      <c r="O7" s="46">
        <f t="shared" si="8"/>
        <v>18.774738222390695</v>
      </c>
      <c r="P7" s="23">
        <f t="shared" si="9"/>
        <v>55.277414839709728</v>
      </c>
      <c r="Q7" s="15">
        <f t="shared" si="10"/>
        <v>48.426780178841966</v>
      </c>
      <c r="R7" s="29">
        <f t="shared" si="6"/>
        <v>-41.56972061611561</v>
      </c>
      <c r="S7" s="29">
        <f t="shared" si="7"/>
        <v>-57.287621495042707</v>
      </c>
      <c r="U7" s="49">
        <f t="shared" si="11"/>
        <v>-12.393189299341945</v>
      </c>
    </row>
    <row r="8" spans="2:21" x14ac:dyDescent="0.35">
      <c r="B8">
        <v>4</v>
      </c>
      <c r="C8" t="s">
        <v>49</v>
      </c>
      <c r="D8">
        <v>0</v>
      </c>
      <c r="F8" s="38">
        <v>250</v>
      </c>
      <c r="G8" s="8">
        <f t="shared" si="0"/>
        <v>15730.656881997586</v>
      </c>
      <c r="H8" s="8">
        <f t="shared" si="1"/>
        <v>3987.6931586789397</v>
      </c>
      <c r="I8" s="8">
        <f t="shared" si="2"/>
        <v>19718.350040676523</v>
      </c>
      <c r="J8" s="47">
        <f t="shared" si="3"/>
        <v>78.873400162706091</v>
      </c>
      <c r="K8" s="34">
        <f>'WBOT + Sampling'!$D$12+Labour!$G$5</f>
        <v>19485.604526475727</v>
      </c>
      <c r="L8" s="34">
        <f>'WBOT + Sampling'!$D$19*F8</f>
        <v>3987.6931586789397</v>
      </c>
      <c r="M8" s="34">
        <f t="shared" si="4"/>
        <v>23473.297685154666</v>
      </c>
      <c r="N8" s="43">
        <f t="shared" si="5"/>
        <v>93.893190740618664</v>
      </c>
      <c r="O8" s="54">
        <f>(N8-J8)</f>
        <v>15.019790577912573</v>
      </c>
      <c r="P8" s="34">
        <f t="shared" si="9"/>
        <v>47.412086398710933</v>
      </c>
      <c r="Q8" s="55">
        <f t="shared" si="10"/>
        <v>41.931578670016719</v>
      </c>
      <c r="R8" s="29">
        <f t="shared" si="6"/>
        <v>-39.888370095741216</v>
      </c>
      <c r="S8" s="29">
        <f t="shared" si="7"/>
        <v>-55.341193179968364</v>
      </c>
      <c r="T8" s="56">
        <f>((J8-N8)/N8)*100</f>
        <v>-15.996677138606321</v>
      </c>
      <c r="U8" s="56">
        <f t="shared" si="11"/>
        <v>-11.559305116011981</v>
      </c>
    </row>
    <row r="9" spans="2:21" x14ac:dyDescent="0.35">
      <c r="B9">
        <v>5</v>
      </c>
      <c r="C9" t="s">
        <v>13</v>
      </c>
      <c r="D9">
        <f>Labour!K9</f>
        <v>11098.336255943175</v>
      </c>
      <c r="F9" s="38">
        <v>300</v>
      </c>
      <c r="G9">
        <f t="shared" si="0"/>
        <v>15730.656881997586</v>
      </c>
      <c r="H9">
        <f t="shared" si="1"/>
        <v>4785.2317904147276</v>
      </c>
      <c r="I9">
        <f t="shared" si="2"/>
        <v>20515.888672412315</v>
      </c>
      <c r="J9" s="37">
        <f t="shared" si="3"/>
        <v>68.386295574707717</v>
      </c>
      <c r="K9" s="23">
        <f>'WBOT + Sampling'!$D$12+Labour!$G$5</f>
        <v>19485.604526475727</v>
      </c>
      <c r="L9" s="23">
        <f>'WBOT + Sampling'!$D$19*F9</f>
        <v>4785.2317904147276</v>
      </c>
      <c r="M9" s="23">
        <f t="shared" si="4"/>
        <v>24270.836316890454</v>
      </c>
      <c r="N9" s="40">
        <f t="shared" si="5"/>
        <v>80.902787722968185</v>
      </c>
      <c r="O9" s="46">
        <f t="shared" si="8"/>
        <v>12.516492148260468</v>
      </c>
      <c r="P9" s="23">
        <f t="shared" si="9"/>
        <v>42.168534104711739</v>
      </c>
      <c r="Q9" s="15">
        <f t="shared" si="10"/>
        <v>37.601444330799893</v>
      </c>
      <c r="R9" s="29">
        <f t="shared" si="6"/>
        <v>-38.337741867235266</v>
      </c>
      <c r="S9" s="29">
        <f t="shared" si="7"/>
        <v>-53.522683965406927</v>
      </c>
      <c r="U9" s="49">
        <f t="shared" si="11"/>
        <v>-10.830563288187763</v>
      </c>
    </row>
    <row r="10" spans="2:21" x14ac:dyDescent="0.35">
      <c r="B10">
        <v>6</v>
      </c>
      <c r="C10" t="s">
        <v>17</v>
      </c>
      <c r="D10">
        <f>7020/14.1074</f>
        <v>497.61118278350369</v>
      </c>
      <c r="F10" s="38">
        <v>350</v>
      </c>
      <c r="G10">
        <f t="shared" si="0"/>
        <v>15730.656881997586</v>
      </c>
      <c r="H10">
        <f t="shared" si="1"/>
        <v>5582.7704221505155</v>
      </c>
      <c r="I10">
        <f t="shared" si="2"/>
        <v>21313.427304148099</v>
      </c>
      <c r="J10" s="37">
        <f t="shared" si="3"/>
        <v>60.89550658328028</v>
      </c>
      <c r="K10" s="23">
        <f>'WBOT + Sampling'!$D$12+Labour!$G$5</f>
        <v>19485.604526475727</v>
      </c>
      <c r="L10" s="23">
        <f>'WBOT + Sampling'!$D$19*F10</f>
        <v>5582.7704221505155</v>
      </c>
      <c r="M10" s="23">
        <f t="shared" si="4"/>
        <v>25068.374948626242</v>
      </c>
      <c r="N10" s="40">
        <f t="shared" si="5"/>
        <v>71.623928424646408</v>
      </c>
      <c r="O10" s="46">
        <f t="shared" si="8"/>
        <v>10.728421841366128</v>
      </c>
      <c r="P10" s="23">
        <f t="shared" si="9"/>
        <v>38.423139608998028</v>
      </c>
      <c r="Q10" s="15">
        <f t="shared" si="10"/>
        <v>34.508491231359308</v>
      </c>
      <c r="R10" s="29">
        <f t="shared" si="6"/>
        <v>-36.903161226763416</v>
      </c>
      <c r="S10" s="29">
        <f t="shared" si="7"/>
        <v>-51.819884792182613</v>
      </c>
      <c r="U10" s="49">
        <f t="shared" si="11"/>
        <v>-10.188257434126955</v>
      </c>
    </row>
    <row r="11" spans="2:21" x14ac:dyDescent="0.35">
      <c r="B11">
        <v>7</v>
      </c>
      <c r="C11" t="s">
        <v>75</v>
      </c>
      <c r="D11">
        <v>0</v>
      </c>
      <c r="F11" s="38">
        <v>400</v>
      </c>
      <c r="G11">
        <f t="shared" si="0"/>
        <v>15730.656881997586</v>
      </c>
      <c r="H11">
        <f t="shared" si="1"/>
        <v>6380.3090538863034</v>
      </c>
      <c r="I11">
        <f t="shared" si="2"/>
        <v>22110.965935883891</v>
      </c>
      <c r="J11" s="37">
        <f t="shared" si="3"/>
        <v>55.277414839709728</v>
      </c>
      <c r="K11" s="23">
        <f>'WBOT + Sampling'!$D$12+Labour!$G$5</f>
        <v>19485.604526475727</v>
      </c>
      <c r="L11" s="23">
        <f>'WBOT + Sampling'!$D$19*F11</f>
        <v>6380.3090538863034</v>
      </c>
      <c r="M11" s="23">
        <f t="shared" si="4"/>
        <v>25865.91358036203</v>
      </c>
      <c r="N11" s="40">
        <f t="shared" si="5"/>
        <v>64.664783950905075</v>
      </c>
      <c r="O11" s="46">
        <f t="shared" si="8"/>
        <v>9.3873691111953477</v>
      </c>
      <c r="P11" s="23">
        <f t="shared" si="9"/>
        <v>35.614093737212741</v>
      </c>
      <c r="Q11" s="15">
        <f t="shared" si="10"/>
        <v>32.188776406778864</v>
      </c>
      <c r="R11" s="29">
        <f t="shared" si="6"/>
        <v>-35.572070726381753</v>
      </c>
      <c r="S11" s="29">
        <f t="shared" si="7"/>
        <v>-50.222092396972528</v>
      </c>
      <c r="U11" s="49">
        <f t="shared" si="11"/>
        <v>-9.6178702614431657</v>
      </c>
    </row>
    <row r="12" spans="2:21" x14ac:dyDescent="0.35">
      <c r="B12">
        <v>8</v>
      </c>
      <c r="C12" t="s">
        <v>89</v>
      </c>
      <c r="D12">
        <f>SUM(D5:D11)+D22</f>
        <v>15730.656881997586</v>
      </c>
      <c r="F12" s="38">
        <v>450</v>
      </c>
      <c r="G12">
        <f t="shared" si="0"/>
        <v>15730.656881997586</v>
      </c>
      <c r="H12">
        <f t="shared" si="1"/>
        <v>7177.8476856220914</v>
      </c>
      <c r="I12">
        <f t="shared" si="2"/>
        <v>22908.504567619675</v>
      </c>
      <c r="J12" s="37">
        <f t="shared" si="3"/>
        <v>50.907787928043724</v>
      </c>
      <c r="K12" s="23">
        <f>'WBOT + Sampling'!$D$12+Labour!$G$5</f>
        <v>19485.604526475727</v>
      </c>
      <c r="L12" s="23">
        <f>'WBOT + Sampling'!$D$19*F12</f>
        <v>7177.8476856220914</v>
      </c>
      <c r="M12" s="23">
        <f t="shared" si="4"/>
        <v>26663.452212097818</v>
      </c>
      <c r="N12" s="40">
        <f t="shared" si="5"/>
        <v>59.252116026884039</v>
      </c>
      <c r="O12" s="46">
        <f t="shared" si="8"/>
        <v>8.3443280988403146</v>
      </c>
      <c r="P12" s="23">
        <f t="shared" si="9"/>
        <v>33.429280281379746</v>
      </c>
      <c r="Q12" s="15">
        <f t="shared" si="10"/>
        <v>30.384553765438515</v>
      </c>
      <c r="R12" s="29">
        <f t="shared" si="6"/>
        <v>-34.333661622400882</v>
      </c>
      <c r="S12" s="29">
        <f t="shared" si="7"/>
        <v>-48.719884110717075</v>
      </c>
      <c r="U12" s="49">
        <f t="shared" si="11"/>
        <v>-9.1079631099241976</v>
      </c>
    </row>
    <row r="13" spans="2:21" x14ac:dyDescent="0.35">
      <c r="F13" s="38">
        <v>500</v>
      </c>
      <c r="G13">
        <f t="shared" si="0"/>
        <v>15730.656881997586</v>
      </c>
      <c r="H13">
        <f t="shared" si="1"/>
        <v>7975.3863173578793</v>
      </c>
      <c r="I13">
        <f t="shared" si="2"/>
        <v>23706.043199355467</v>
      </c>
      <c r="J13" s="37">
        <f t="shared" si="3"/>
        <v>47.412086398710933</v>
      </c>
      <c r="K13" s="23">
        <f>'WBOT + Sampling'!$D$12+Labour!$G$5</f>
        <v>19485.604526475727</v>
      </c>
      <c r="L13" s="23">
        <f>'WBOT + Sampling'!$D$19*F13</f>
        <v>7975.3863173578793</v>
      </c>
      <c r="M13" s="23">
        <f t="shared" si="4"/>
        <v>27460.990843833606</v>
      </c>
      <c r="N13" s="40">
        <f t="shared" si="5"/>
        <v>54.921981687667213</v>
      </c>
      <c r="O13" s="46">
        <f t="shared" si="8"/>
        <v>7.5098952889562796</v>
      </c>
      <c r="P13" s="23">
        <f>((G13/2)+H13)/F13</f>
        <v>31.681429516713347</v>
      </c>
      <c r="Q13" s="15">
        <f t="shared" si="10"/>
        <v>28.94117565236624</v>
      </c>
      <c r="R13" s="29">
        <f t="shared" si="6"/>
        <v>-33.178579718494063</v>
      </c>
      <c r="S13" s="29">
        <f t="shared" si="7"/>
        <v>-47.304931899671402</v>
      </c>
      <c r="U13" s="49">
        <f t="shared" si="11"/>
        <v>-8.6494009460700063</v>
      </c>
    </row>
    <row r="14" spans="2:21" x14ac:dyDescent="0.35">
      <c r="C14" t="s">
        <v>90</v>
      </c>
      <c r="F14" s="38">
        <v>550</v>
      </c>
      <c r="G14">
        <f t="shared" si="0"/>
        <v>15730.656881997586</v>
      </c>
      <c r="H14">
        <f t="shared" si="1"/>
        <v>8772.9249490936672</v>
      </c>
      <c r="I14">
        <f t="shared" si="2"/>
        <v>24503.581831091251</v>
      </c>
      <c r="J14" s="37">
        <f t="shared" si="3"/>
        <v>44.551966965620458</v>
      </c>
      <c r="K14" s="23">
        <f>'WBOT + Sampling'!$D$12+Labour!$G$5</f>
        <v>19485.604526475727</v>
      </c>
      <c r="L14" s="23">
        <f>'WBOT + Sampling'!$D$19*F14</f>
        <v>8772.9249490936672</v>
      </c>
      <c r="M14" s="23">
        <f t="shared" si="4"/>
        <v>28258.529475569394</v>
      </c>
      <c r="N14" s="40">
        <f t="shared" si="5"/>
        <v>51.379144501035263</v>
      </c>
      <c r="O14" s="46">
        <f t="shared" si="8"/>
        <v>6.8271775354148048</v>
      </c>
      <c r="P14" s="23">
        <f t="shared" si="9"/>
        <v>30.25136980016811</v>
      </c>
      <c r="Q14" s="15">
        <f t="shared" si="10"/>
        <v>27.760229923488925</v>
      </c>
      <c r="R14" s="29">
        <f t="shared" si="6"/>
        <v>-32.098688653831445</v>
      </c>
      <c r="S14" s="29">
        <f t="shared" si="7"/>
        <v>-45.969847896300472</v>
      </c>
      <c r="U14" s="49">
        <f t="shared" si="11"/>
        <v>-8.2348002524677124</v>
      </c>
    </row>
    <row r="15" spans="2:21" x14ac:dyDescent="0.35">
      <c r="C15" t="s">
        <v>3</v>
      </c>
      <c r="D15">
        <f>'PZQ and ALB'!K3</f>
        <v>9.5590493877917471</v>
      </c>
      <c r="F15" s="38">
        <v>600</v>
      </c>
      <c r="G15">
        <f t="shared" si="0"/>
        <v>15730.656881997586</v>
      </c>
      <c r="H15">
        <f t="shared" si="1"/>
        <v>9570.4635808294552</v>
      </c>
      <c r="I15">
        <f t="shared" si="2"/>
        <v>25301.120462827043</v>
      </c>
      <c r="J15" s="37">
        <f t="shared" si="3"/>
        <v>42.168534104711739</v>
      </c>
      <c r="K15" s="23">
        <f>'WBOT + Sampling'!$D$12+Labour!$G$5</f>
        <v>19485.604526475727</v>
      </c>
      <c r="L15" s="23">
        <f>'WBOT + Sampling'!$D$19*F15</f>
        <v>9570.4635808294552</v>
      </c>
      <c r="M15" s="23">
        <f t="shared" si="4"/>
        <v>29056.068107305182</v>
      </c>
      <c r="N15" s="40">
        <f t="shared" si="5"/>
        <v>48.426780178841973</v>
      </c>
      <c r="O15" s="46">
        <f t="shared" si="8"/>
        <v>6.2582460741302341</v>
      </c>
      <c r="P15" s="23">
        <f t="shared" si="9"/>
        <v>29.059653369713747</v>
      </c>
      <c r="Q15" s="15">
        <f t="shared" si="10"/>
        <v>26.776108482757827</v>
      </c>
      <c r="R15" s="29">
        <f t="shared" si="6"/>
        <v>-31.0868779608188</v>
      </c>
      <c r="S15" s="29">
        <f t="shared" si="7"/>
        <v>-44.708055369626841</v>
      </c>
      <c r="U15" s="49">
        <f t="shared" si="11"/>
        <v>-7.8581284432520171</v>
      </c>
    </row>
    <row r="16" spans="2:21" x14ac:dyDescent="0.35">
      <c r="C16" t="s">
        <v>7</v>
      </c>
      <c r="D16">
        <f>30/14.1074</f>
        <v>2.1265435161688191</v>
      </c>
      <c r="F16" s="38">
        <v>650</v>
      </c>
      <c r="G16">
        <f t="shared" si="0"/>
        <v>15730.656881997586</v>
      </c>
      <c r="H16">
        <f t="shared" si="1"/>
        <v>10368.002212565243</v>
      </c>
      <c r="I16">
        <f t="shared" si="2"/>
        <v>26098.659094562827</v>
      </c>
      <c r="J16" s="37">
        <f t="shared" si="3"/>
        <v>40.151783222404347</v>
      </c>
      <c r="K16" s="23">
        <f>'WBOT + Sampling'!$D$12+Labour!$G$5</f>
        <v>19485.604526475727</v>
      </c>
      <c r="L16" s="23">
        <f>'WBOT + Sampling'!$D$19*F16</f>
        <v>10368.002212565243</v>
      </c>
      <c r="M16" s="23">
        <f t="shared" si="4"/>
        <v>29853.60673904097</v>
      </c>
      <c r="N16" s="40">
        <f t="shared" si="5"/>
        <v>45.928625752370721</v>
      </c>
      <c r="O16" s="46">
        <f t="shared" si="8"/>
        <v>5.7768425299663733</v>
      </c>
      <c r="P16" s="23">
        <f t="shared" si="9"/>
        <v>28.051277928560058</v>
      </c>
      <c r="Q16" s="15">
        <f t="shared" si="10"/>
        <v>25.943390340600743</v>
      </c>
      <c r="R16" s="29">
        <f t="shared" si="6"/>
        <v>-30.136906315763113</v>
      </c>
      <c r="S16" s="29">
        <f t="shared" si="7"/>
        <v>-43.513680377729116</v>
      </c>
      <c r="U16" s="49">
        <f t="shared" si="11"/>
        <v>-7.5144084106528188</v>
      </c>
    </row>
    <row r="17" spans="3:21" x14ac:dyDescent="0.35">
      <c r="C17" t="s">
        <v>86</v>
      </c>
      <c r="D17">
        <f>'Mobile Clinic'!E11</f>
        <v>1.2092698417552771E-2</v>
      </c>
      <c r="F17" s="38">
        <v>700</v>
      </c>
      <c r="G17">
        <f t="shared" si="0"/>
        <v>15730.656881997586</v>
      </c>
      <c r="H17">
        <f t="shared" si="1"/>
        <v>11165.540844301031</v>
      </c>
      <c r="I17">
        <f t="shared" si="2"/>
        <v>26896.197726298618</v>
      </c>
      <c r="J17" s="37">
        <f t="shared" si="3"/>
        <v>38.423139608998028</v>
      </c>
      <c r="K17" s="23">
        <f>'WBOT + Sampling'!$D$12+Labour!$G$5</f>
        <v>19485.604526475727</v>
      </c>
      <c r="L17" s="23">
        <f>'WBOT + Sampling'!$D$19*F17</f>
        <v>11165.540844301031</v>
      </c>
      <c r="M17" s="23">
        <f t="shared" si="4"/>
        <v>30651.145370776758</v>
      </c>
      <c r="N17" s="40">
        <f t="shared" si="5"/>
        <v>43.787350529681085</v>
      </c>
      <c r="O17" s="46">
        <f t="shared" si="8"/>
        <v>5.3642109206830568</v>
      </c>
      <c r="P17" s="23">
        <f t="shared" si="9"/>
        <v>27.186956121856891</v>
      </c>
      <c r="Q17" s="15">
        <f t="shared" si="10"/>
        <v>25.229631933037531</v>
      </c>
      <c r="R17" s="29">
        <f t="shared" si="6"/>
        <v>-29.24327267756594</v>
      </c>
      <c r="S17" s="29">
        <f t="shared" si="7"/>
        <v>-42.381460335363926</v>
      </c>
      <c r="U17" s="49">
        <f t="shared" si="11"/>
        <v>-7.1994973620668548</v>
      </c>
    </row>
    <row r="18" spans="3:21" x14ac:dyDescent="0.35">
      <c r="C18" t="s">
        <v>8</v>
      </c>
      <c r="D18">
        <f>60/14.1074</f>
        <v>4.2530870323376382</v>
      </c>
      <c r="F18" s="38">
        <v>750</v>
      </c>
      <c r="G18">
        <f t="shared" si="0"/>
        <v>15730.656881997586</v>
      </c>
      <c r="H18">
        <f t="shared" si="1"/>
        <v>11963.079476036819</v>
      </c>
      <c r="I18">
        <f t="shared" si="2"/>
        <v>27693.736358034403</v>
      </c>
      <c r="J18" s="37">
        <f t="shared" si="3"/>
        <v>36.924981810712538</v>
      </c>
      <c r="K18" s="23">
        <f>'WBOT + Sampling'!$D$12+Labour!$G$5</f>
        <v>19485.604526475727</v>
      </c>
      <c r="L18" s="23">
        <f>'WBOT + Sampling'!$D$19*F18</f>
        <v>11963.079476036819</v>
      </c>
      <c r="M18" s="23">
        <f t="shared" si="4"/>
        <v>31448.684002512546</v>
      </c>
      <c r="N18" s="40">
        <f t="shared" si="5"/>
        <v>41.931578670016727</v>
      </c>
      <c r="O18" s="46">
        <f t="shared" si="8"/>
        <v>5.0065968593041887</v>
      </c>
      <c r="P18" s="23">
        <f t="shared" si="9"/>
        <v>26.43787722271415</v>
      </c>
      <c r="Q18" s="15">
        <f t="shared" si="10"/>
        <v>24.611041313149414</v>
      </c>
      <c r="R18" s="29">
        <f t="shared" si="6"/>
        <v>-28.40110969250609</v>
      </c>
      <c r="S18" s="29">
        <f t="shared" si="7"/>
        <v>-41.306666493938621</v>
      </c>
      <c r="U18" s="49">
        <f t="shared" si="11"/>
        <v>-6.9099190308486875</v>
      </c>
    </row>
    <row r="19" spans="3:21" x14ac:dyDescent="0.35">
      <c r="C19" t="s">
        <v>68</v>
      </c>
      <c r="D19">
        <f>SUM(D15:D18)</f>
        <v>15.950772634715758</v>
      </c>
      <c r="F19" s="38">
        <v>800</v>
      </c>
      <c r="G19">
        <f t="shared" si="0"/>
        <v>15730.656881997586</v>
      </c>
      <c r="H19">
        <f t="shared" si="1"/>
        <v>12760.618107772607</v>
      </c>
      <c r="I19">
        <f t="shared" si="2"/>
        <v>28491.274989770194</v>
      </c>
      <c r="J19" s="37">
        <f t="shared" si="3"/>
        <v>35.614093737212741</v>
      </c>
      <c r="K19" s="23">
        <f>'WBOT + Sampling'!$D$12+Labour!$G$5</f>
        <v>19485.604526475727</v>
      </c>
      <c r="L19" s="23">
        <f>'WBOT + Sampling'!$D$19*F19</f>
        <v>12760.618107772607</v>
      </c>
      <c r="M19" s="23">
        <f t="shared" si="4"/>
        <v>32246.222634248334</v>
      </c>
      <c r="N19" s="40">
        <f t="shared" si="5"/>
        <v>40.307778292810418</v>
      </c>
      <c r="O19" s="46">
        <f t="shared" si="8"/>
        <v>4.6936845555976774</v>
      </c>
      <c r="P19" s="23">
        <f t="shared" si="9"/>
        <v>25.782433185964251</v>
      </c>
      <c r="Q19" s="15">
        <f t="shared" si="10"/>
        <v>24.069774520747309</v>
      </c>
      <c r="R19" s="29">
        <f t="shared" si="6"/>
        <v>-27.606095002146596</v>
      </c>
      <c r="S19" s="29">
        <f t="shared" si="7"/>
        <v>-40.285037925197273</v>
      </c>
      <c r="U19" s="49">
        <f t="shared" si="11"/>
        <v>-6.642734814297123</v>
      </c>
    </row>
    <row r="20" spans="3:21" x14ac:dyDescent="0.35">
      <c r="F20" s="38">
        <v>850</v>
      </c>
      <c r="G20">
        <f t="shared" si="0"/>
        <v>15730.656881997586</v>
      </c>
      <c r="H20">
        <f t="shared" si="1"/>
        <v>13558.156739508395</v>
      </c>
      <c r="I20">
        <f t="shared" si="2"/>
        <v>29288.813621505979</v>
      </c>
      <c r="J20" s="37">
        <f t="shared" si="3"/>
        <v>34.457427790007031</v>
      </c>
      <c r="K20" s="23">
        <f>'WBOT + Sampling'!$D$12+Labour!$G$5</f>
        <v>19485.604526475727</v>
      </c>
      <c r="L20" s="23">
        <f>'WBOT + Sampling'!$D$19*F20</f>
        <v>13558.156739508395</v>
      </c>
      <c r="M20" s="23">
        <f t="shared" si="4"/>
        <v>33043.761265984125</v>
      </c>
      <c r="N20" s="40">
        <f t="shared" si="5"/>
        <v>38.875013254098974</v>
      </c>
      <c r="O20" s="46">
        <f t="shared" si="8"/>
        <v>4.4175854640919425</v>
      </c>
      <c r="P20" s="23">
        <f t="shared" si="9"/>
        <v>25.2041002123614</v>
      </c>
      <c r="Q20" s="15">
        <f t="shared" si="10"/>
        <v>23.592186174510161</v>
      </c>
      <c r="R20" s="29">
        <f t="shared" si="6"/>
        <v>-26.854377041832418</v>
      </c>
      <c r="S20" s="29">
        <f t="shared" si="7"/>
        <v>-39.312725065058068</v>
      </c>
      <c r="U20" s="49">
        <f t="shared" si="11"/>
        <v>-6.3954436947551594</v>
      </c>
    </row>
    <row r="21" spans="3:21" x14ac:dyDescent="0.35">
      <c r="F21" s="38">
        <v>900</v>
      </c>
      <c r="G21">
        <f t="shared" si="0"/>
        <v>15730.656881997586</v>
      </c>
      <c r="H21">
        <f t="shared" si="1"/>
        <v>14355.695371244183</v>
      </c>
      <c r="I21">
        <f t="shared" si="2"/>
        <v>30086.35225324177</v>
      </c>
      <c r="J21" s="37">
        <f t="shared" si="3"/>
        <v>33.429280281379746</v>
      </c>
      <c r="K21" s="23">
        <f>'WBOT + Sampling'!$D$12+Labour!$G$5</f>
        <v>19485.604526475727</v>
      </c>
      <c r="L21" s="23">
        <f>'WBOT + Sampling'!$D$19*F21</f>
        <v>14355.695371244183</v>
      </c>
      <c r="M21" s="23">
        <f t="shared" si="4"/>
        <v>33841.299897719909</v>
      </c>
      <c r="N21" s="40">
        <f t="shared" si="5"/>
        <v>37.6014443307999</v>
      </c>
      <c r="O21" s="46">
        <f t="shared" si="8"/>
        <v>4.1721640494201537</v>
      </c>
      <c r="P21" s="23">
        <f t="shared" si="9"/>
        <v>24.69002645804775</v>
      </c>
      <c r="Q21" s="15">
        <f t="shared" si="10"/>
        <v>23.167663200077136</v>
      </c>
      <c r="R21" s="29">
        <f t="shared" si="6"/>
        <v>-26.142512640931127</v>
      </c>
      <c r="S21" s="29">
        <f t="shared" si="7"/>
        <v>-38.386241240472351</v>
      </c>
      <c r="U21" s="49">
        <f t="shared" si="11"/>
        <v>-6.1659037124052878</v>
      </c>
    </row>
    <row r="22" spans="3:21" x14ac:dyDescent="0.35">
      <c r="C22" t="s">
        <v>12</v>
      </c>
      <c r="D22">
        <f>D23*WBOT!D17</f>
        <v>3024.6537278307837</v>
      </c>
      <c r="F22" s="38">
        <v>950</v>
      </c>
      <c r="G22">
        <f t="shared" si="0"/>
        <v>15730.656881997586</v>
      </c>
      <c r="H22">
        <f t="shared" si="1"/>
        <v>15153.234002979971</v>
      </c>
      <c r="I22">
        <f t="shared" si="2"/>
        <v>30883.890884977554</v>
      </c>
      <c r="J22" s="37">
        <f t="shared" si="3"/>
        <v>32.509358826292164</v>
      </c>
      <c r="K22" s="23">
        <f>'WBOT + Sampling'!$D$12+Labour!$G$5</f>
        <v>19485.604526475727</v>
      </c>
      <c r="L22" s="23">
        <f>'WBOT + Sampling'!$D$19*F22</f>
        <v>15153.234002979971</v>
      </c>
      <c r="M22" s="23">
        <f t="shared" si="4"/>
        <v>34638.838529455694</v>
      </c>
      <c r="N22" s="40">
        <f t="shared" si="5"/>
        <v>36.461935294163887</v>
      </c>
      <c r="O22" s="46">
        <f t="shared" si="8"/>
        <v>3.9525764678717223</v>
      </c>
      <c r="P22" s="23">
        <f t="shared" si="9"/>
        <v>24.230065730503963</v>
      </c>
      <c r="Q22" s="15">
        <f t="shared" si="10"/>
        <v>22.787826854531801</v>
      </c>
      <c r="R22" s="29">
        <f t="shared" si="6"/>
        <v>-25.467414291457104</v>
      </c>
      <c r="S22" s="29">
        <f t="shared" si="7"/>
        <v>-37.502420892674806</v>
      </c>
      <c r="U22" s="49">
        <f t="shared" si="11"/>
        <v>-5.9522697627538168</v>
      </c>
    </row>
    <row r="23" spans="3:21" x14ac:dyDescent="0.35">
      <c r="C23" t="s">
        <v>96</v>
      </c>
      <c r="D23">
        <v>500</v>
      </c>
      <c r="F23" s="38">
        <v>1000</v>
      </c>
      <c r="G23">
        <f t="shared" si="0"/>
        <v>15730.656881997586</v>
      </c>
      <c r="H23">
        <f t="shared" si="1"/>
        <v>15950.772634715759</v>
      </c>
      <c r="I23">
        <f t="shared" si="2"/>
        <v>31681.429516713346</v>
      </c>
      <c r="J23" s="37">
        <f t="shared" si="3"/>
        <v>31.681429516713347</v>
      </c>
      <c r="K23" s="23">
        <f>'WBOT + Sampling'!$D$12+Labour!$G$5</f>
        <v>19485.604526475727</v>
      </c>
      <c r="L23" s="23">
        <f>'WBOT + Sampling'!$D$19*F23</f>
        <v>15950.772634715759</v>
      </c>
      <c r="M23" s="23">
        <f t="shared" si="4"/>
        <v>35436.377161191485</v>
      </c>
      <c r="N23" s="40">
        <f t="shared" si="5"/>
        <v>35.436377161191487</v>
      </c>
      <c r="O23" s="46">
        <f t="shared" si="8"/>
        <v>3.7549476444781398</v>
      </c>
      <c r="P23" s="23">
        <f t="shared" si="9"/>
        <v>23.816101075714553</v>
      </c>
      <c r="Q23" s="15">
        <f t="shared" si="10"/>
        <v>22.445974143541001</v>
      </c>
      <c r="R23" s="29">
        <f t="shared" si="6"/>
        <v>-24.826305381357518</v>
      </c>
      <c r="S23" s="29">
        <f t="shared" si="7"/>
        <v>-36.658383441852123</v>
      </c>
      <c r="U23" s="49">
        <f t="shared" si="11"/>
        <v>-5.7529438921078473</v>
      </c>
    </row>
    <row r="24" spans="3:21" x14ac:dyDescent="0.35">
      <c r="F24" s="38">
        <v>1050</v>
      </c>
      <c r="G24">
        <f t="shared" si="0"/>
        <v>15730.656881997586</v>
      </c>
      <c r="H24">
        <f t="shared" si="1"/>
        <v>16748.311266451547</v>
      </c>
      <c r="I24">
        <f t="shared" si="2"/>
        <v>32478.96814844913</v>
      </c>
      <c r="J24" s="37">
        <f t="shared" si="3"/>
        <v>30.932350617570599</v>
      </c>
      <c r="K24" s="23">
        <f>'WBOT + Sampling'!$D$12+Labour!$G$5</f>
        <v>19485.604526475727</v>
      </c>
      <c r="L24" s="23">
        <f>'WBOT + Sampling'!$D$19*F24</f>
        <v>16748.311266451547</v>
      </c>
      <c r="M24" s="23">
        <f t="shared" si="4"/>
        <v>36233.915792927277</v>
      </c>
      <c r="N24" s="40">
        <f t="shared" si="5"/>
        <v>34.508491231359308</v>
      </c>
      <c r="O24" s="46">
        <f t="shared" si="8"/>
        <v>3.5761406137887093</v>
      </c>
      <c r="P24" s="23">
        <f t="shared" si="9"/>
        <v>23.44156162614318</v>
      </c>
      <c r="Q24" s="15">
        <f t="shared" si="10"/>
        <v>22.136678833596939</v>
      </c>
      <c r="R24" s="29">
        <f t="shared" si="6"/>
        <v>-24.216682023423083</v>
      </c>
      <c r="S24" s="29">
        <f t="shared" si="7"/>
        <v>-35.851501924023808</v>
      </c>
      <c r="U24" s="49">
        <f t="shared" si="11"/>
        <v>-5.5665352562986756</v>
      </c>
    </row>
    <row r="25" spans="3:21" x14ac:dyDescent="0.35">
      <c r="C25" t="s">
        <v>0</v>
      </c>
      <c r="D25" t="s">
        <v>1</v>
      </c>
      <c r="F25" s="38">
        <v>1100</v>
      </c>
      <c r="G25">
        <f t="shared" si="0"/>
        <v>15730.656881997586</v>
      </c>
      <c r="H25">
        <f t="shared" si="1"/>
        <v>17545.849898187334</v>
      </c>
      <c r="I25">
        <f t="shared" si="2"/>
        <v>33276.506780184922</v>
      </c>
      <c r="J25" s="37">
        <f t="shared" si="3"/>
        <v>30.25136980016811</v>
      </c>
      <c r="K25" s="23">
        <f>'WBOT + Sampling'!$D$12+Labour!$G$5</f>
        <v>19485.604526475727</v>
      </c>
      <c r="L25" s="23">
        <f>'WBOT + Sampling'!$D$19*F25</f>
        <v>17545.849898187334</v>
      </c>
      <c r="M25" s="23">
        <f t="shared" si="4"/>
        <v>37031.454424663061</v>
      </c>
      <c r="N25" s="40">
        <f t="shared" si="5"/>
        <v>33.664958567875509</v>
      </c>
      <c r="O25" s="46">
        <f t="shared" si="8"/>
        <v>3.4135887677073988</v>
      </c>
      <c r="P25" s="23">
        <f t="shared" si="9"/>
        <v>23.101071217441934</v>
      </c>
      <c r="Q25" s="15">
        <f t="shared" si="10"/>
        <v>21.855501279102342</v>
      </c>
      <c r="R25" s="29">
        <f t="shared" si="6"/>
        <v>-23.636280373282272</v>
      </c>
      <c r="S25" s="29">
        <f t="shared" si="7"/>
        <v>-35.079375680688457</v>
      </c>
      <c r="U25" s="49">
        <f t="shared" si="11"/>
        <v>-5.3918276196610027</v>
      </c>
    </row>
    <row r="26" spans="3:21" x14ac:dyDescent="0.35">
      <c r="C26" t="s">
        <v>3</v>
      </c>
      <c r="D26" t="s">
        <v>5</v>
      </c>
      <c r="E26" t="s">
        <v>2</v>
      </c>
      <c r="F26" s="38">
        <v>1150</v>
      </c>
      <c r="G26">
        <f t="shared" si="0"/>
        <v>15730.656881997586</v>
      </c>
      <c r="H26">
        <f t="shared" si="1"/>
        <v>18343.388529923122</v>
      </c>
      <c r="I26">
        <f t="shared" si="2"/>
        <v>34074.045411920706</v>
      </c>
      <c r="J26" s="37">
        <f t="shared" si="3"/>
        <v>29.629604706018004</v>
      </c>
      <c r="K26" s="23">
        <f>'WBOT + Sampling'!$D$12+Labour!$G$5</f>
        <v>19485.604526475727</v>
      </c>
      <c r="L26" s="23">
        <f>'WBOT + Sampling'!$D$19*F26</f>
        <v>18343.388529923122</v>
      </c>
      <c r="M26" s="23">
        <f t="shared" si="4"/>
        <v>37828.993056398846</v>
      </c>
      <c r="N26" s="40">
        <f t="shared" si="5"/>
        <v>32.894776570781602</v>
      </c>
      <c r="O26" s="46">
        <f t="shared" si="8"/>
        <v>3.2651718647635981</v>
      </c>
      <c r="P26" s="23">
        <f t="shared" si="9"/>
        <v>22.790188670366884</v>
      </c>
      <c r="Q26" s="15">
        <f t="shared" si="10"/>
        <v>21.598773946737708</v>
      </c>
      <c r="R26" s="29">
        <f t="shared" si="6"/>
        <v>-23.08304853713415</v>
      </c>
      <c r="S26" s="29">
        <f t="shared" si="7"/>
        <v>-34.339806503131669</v>
      </c>
      <c r="U26" s="49">
        <f t="shared" si="11"/>
        <v>-5.2277527881036026</v>
      </c>
    </row>
    <row r="27" spans="3:21" x14ac:dyDescent="0.35">
      <c r="C27" t="s">
        <v>6</v>
      </c>
      <c r="D27" t="s">
        <v>4</v>
      </c>
      <c r="E27" t="s">
        <v>4</v>
      </c>
      <c r="F27" s="38">
        <v>1200</v>
      </c>
      <c r="G27">
        <f t="shared" si="0"/>
        <v>15730.656881997586</v>
      </c>
      <c r="H27">
        <f t="shared" si="1"/>
        <v>19140.92716165891</v>
      </c>
      <c r="I27">
        <f t="shared" si="2"/>
        <v>34871.584043656498</v>
      </c>
      <c r="J27" s="37">
        <f t="shared" si="3"/>
        <v>29.059653369713747</v>
      </c>
      <c r="K27" s="23">
        <f>'WBOT + Sampling'!$D$12+Labour!$G$5</f>
        <v>19485.604526475727</v>
      </c>
      <c r="L27" s="23">
        <f>'WBOT + Sampling'!$D$19*F27</f>
        <v>19140.92716165891</v>
      </c>
      <c r="M27" s="23">
        <f t="shared" si="4"/>
        <v>38626.531688134637</v>
      </c>
      <c r="N27" s="40">
        <f t="shared" si="5"/>
        <v>32.188776406778864</v>
      </c>
      <c r="O27" s="46">
        <f t="shared" si="8"/>
        <v>3.1291230370651171</v>
      </c>
      <c r="P27" s="23">
        <f t="shared" si="9"/>
        <v>22.505213002214752</v>
      </c>
      <c r="Q27" s="15">
        <f t="shared" si="10"/>
        <v>21.363440558736794</v>
      </c>
      <c r="R27" s="29">
        <f t="shared" si="6"/>
        <v>-22.555122334425697</v>
      </c>
      <c r="S27" s="29">
        <f t="shared" si="7"/>
        <v>-33.630777732086408</v>
      </c>
      <c r="U27" s="49">
        <f t="shared" si="11"/>
        <v>-5.0733687495674689</v>
      </c>
    </row>
    <row r="28" spans="3:21" x14ac:dyDescent="0.35">
      <c r="C28" t="s">
        <v>7</v>
      </c>
      <c r="D28" t="s">
        <v>5</v>
      </c>
      <c r="E28" t="s">
        <v>5</v>
      </c>
      <c r="F28" s="38">
        <v>1250</v>
      </c>
      <c r="G28">
        <f t="shared" si="0"/>
        <v>15730.656881997586</v>
      </c>
      <c r="H28">
        <f t="shared" si="1"/>
        <v>19938.465793394698</v>
      </c>
      <c r="I28">
        <f t="shared" si="2"/>
        <v>35669.122675392282</v>
      </c>
      <c r="J28" s="37">
        <f t="shared" si="3"/>
        <v>28.535298140313827</v>
      </c>
      <c r="K28" s="23">
        <f>'WBOT + Sampling'!$D$12+Labour!$G$5</f>
        <v>19485.604526475727</v>
      </c>
      <c r="L28" s="23">
        <f>'WBOT + Sampling'!$D$19*F28</f>
        <v>19938.465793394698</v>
      </c>
      <c r="M28" s="23">
        <f t="shared" si="4"/>
        <v>39424.070319870429</v>
      </c>
      <c r="N28" s="40">
        <f t="shared" si="5"/>
        <v>31.539256255896344</v>
      </c>
      <c r="O28" s="46">
        <f t="shared" si="8"/>
        <v>3.0039581155825168</v>
      </c>
      <c r="P28" s="23">
        <f t="shared" si="9"/>
        <v>22.243035387514794</v>
      </c>
      <c r="Q28" s="15">
        <f t="shared" si="10"/>
        <v>21.146933841775951</v>
      </c>
      <c r="R28" s="29">
        <f t="shared" si="6"/>
        <v>-22.05080431211444</v>
      </c>
      <c r="S28" s="29">
        <f t="shared" si="7"/>
        <v>-32.950435894243775</v>
      </c>
      <c r="U28" s="49">
        <f t="shared" si="11"/>
        <v>-4.9278415766676096</v>
      </c>
    </row>
    <row r="29" spans="3:21" x14ac:dyDescent="0.35">
      <c r="C29" t="s">
        <v>8</v>
      </c>
      <c r="D29" t="s">
        <v>4</v>
      </c>
      <c r="E29" t="s">
        <v>4</v>
      </c>
      <c r="F29" s="38">
        <v>1300</v>
      </c>
      <c r="G29">
        <f t="shared" si="0"/>
        <v>15730.656881997586</v>
      </c>
      <c r="H29">
        <f t="shared" si="1"/>
        <v>20736.004425130486</v>
      </c>
      <c r="I29">
        <f t="shared" si="2"/>
        <v>36466.661307128074</v>
      </c>
      <c r="J29" s="37">
        <f t="shared" si="3"/>
        <v>28.051277928560058</v>
      </c>
      <c r="K29" s="23">
        <f>'WBOT + Sampling'!$D$12+Labour!$G$5</f>
        <v>19485.604526475727</v>
      </c>
      <c r="L29" s="23">
        <f>'WBOT + Sampling'!$D$19*F29</f>
        <v>20736.004425130486</v>
      </c>
      <c r="M29" s="23">
        <f t="shared" si="4"/>
        <v>40221.608951606213</v>
      </c>
      <c r="N29" s="40">
        <f t="shared" si="5"/>
        <v>30.939699193543241</v>
      </c>
      <c r="O29" s="46">
        <f t="shared" si="8"/>
        <v>2.8884212649831831</v>
      </c>
      <c r="P29" s="23">
        <f t="shared" si="9"/>
        <v>22.001025281637908</v>
      </c>
      <c r="Q29" s="15">
        <f t="shared" si="10"/>
        <v>20.947081487658252</v>
      </c>
      <c r="R29" s="29">
        <f t="shared" si="6"/>
        <v>-21.568545512723901</v>
      </c>
      <c r="S29" s="29">
        <f t="shared" si="7"/>
        <v>-32.297074523498708</v>
      </c>
      <c r="U29" s="49">
        <f t="shared" si="11"/>
        <v>-4.790430357167395</v>
      </c>
    </row>
    <row r="30" spans="3:21" x14ac:dyDescent="0.35">
      <c r="C30" t="s">
        <v>9</v>
      </c>
      <c r="D30" t="s">
        <v>4</v>
      </c>
      <c r="E30" t="s">
        <v>5</v>
      </c>
      <c r="F30" s="38">
        <v>1350</v>
      </c>
      <c r="G30">
        <f t="shared" si="0"/>
        <v>15730.656881997586</v>
      </c>
      <c r="H30">
        <f t="shared" si="1"/>
        <v>21533.543056866274</v>
      </c>
      <c r="I30">
        <f t="shared" si="2"/>
        <v>37264.199938863858</v>
      </c>
      <c r="J30" s="37">
        <f t="shared" si="3"/>
        <v>27.603111065825079</v>
      </c>
      <c r="K30" s="23">
        <f>'WBOT + Sampling'!$D$12+Labour!$G$5</f>
        <v>19485.604526475727</v>
      </c>
      <c r="L30" s="23">
        <f>'WBOT + Sampling'!$D$19*F30</f>
        <v>21533.543056866274</v>
      </c>
      <c r="M30" s="23">
        <f t="shared" si="4"/>
        <v>41019.147583341997</v>
      </c>
      <c r="N30" s="40">
        <f t="shared" si="5"/>
        <v>30.384553765438515</v>
      </c>
      <c r="O30" s="46">
        <f t="shared" si="8"/>
        <v>2.7814426996134358</v>
      </c>
      <c r="P30" s="23">
        <f t="shared" si="9"/>
        <v>21.776941850270422</v>
      </c>
      <c r="Q30" s="15">
        <f t="shared" si="10"/>
        <v>20.762033011623345</v>
      </c>
      <c r="R30" s="29">
        <f t="shared" si="6"/>
        <v>-21.106929583629192</v>
      </c>
      <c r="S30" s="29">
        <f t="shared" si="7"/>
        <v>-31.669119869584815</v>
      </c>
      <c r="U30" s="49">
        <f t="shared" si="11"/>
        <v>-4.6604745773083573</v>
      </c>
    </row>
    <row r="31" spans="3:21" x14ac:dyDescent="0.35">
      <c r="C31" t="s">
        <v>10</v>
      </c>
      <c r="D31" t="s">
        <v>4</v>
      </c>
      <c r="E31" t="s">
        <v>5</v>
      </c>
      <c r="F31" s="38">
        <v>1400</v>
      </c>
      <c r="G31">
        <f t="shared" si="0"/>
        <v>15730.656881997586</v>
      </c>
      <c r="H31">
        <f t="shared" si="1"/>
        <v>22331.081688602062</v>
      </c>
      <c r="I31">
        <f t="shared" si="2"/>
        <v>38061.738570599649</v>
      </c>
      <c r="J31" s="37">
        <f t="shared" si="3"/>
        <v>27.186956121856891</v>
      </c>
      <c r="K31" s="23">
        <f>'WBOT + Sampling'!$D$12+Labour!$G$5</f>
        <v>19485.604526475727</v>
      </c>
      <c r="L31" s="23">
        <f>'WBOT + Sampling'!$D$19*F31</f>
        <v>22331.081688602062</v>
      </c>
      <c r="M31" s="23">
        <f t="shared" si="4"/>
        <v>41816.686215077789</v>
      </c>
      <c r="N31" s="40">
        <f t="shared" si="5"/>
        <v>29.86906158219842</v>
      </c>
      <c r="O31" s="46">
        <f t="shared" si="8"/>
        <v>2.6821054603415284</v>
      </c>
      <c r="P31" s="23">
        <f t="shared" si="9"/>
        <v>21.568864378286325</v>
      </c>
      <c r="Q31" s="15">
        <f t="shared" si="10"/>
        <v>20.590202283876646</v>
      </c>
      <c r="R31" s="29">
        <f t="shared" si="6"/>
        <v>-20.664658884169508</v>
      </c>
      <c r="S31" s="29">
        <f t="shared" si="7"/>
        <v>-31.065118242120654</v>
      </c>
      <c r="U31" s="49">
        <f t="shared" si="11"/>
        <v>-4.5373835045062041</v>
      </c>
    </row>
    <row r="32" spans="3:21" x14ac:dyDescent="0.35">
      <c r="C32" t="s">
        <v>11</v>
      </c>
      <c r="D32" t="s">
        <v>4</v>
      </c>
      <c r="E32" t="s">
        <v>5</v>
      </c>
      <c r="F32" s="38">
        <v>1450</v>
      </c>
      <c r="G32">
        <f t="shared" si="0"/>
        <v>15730.656881997586</v>
      </c>
      <c r="H32">
        <f t="shared" si="1"/>
        <v>23128.62032033785</v>
      </c>
      <c r="I32">
        <f t="shared" si="2"/>
        <v>38859.277202335434</v>
      </c>
      <c r="J32" s="37">
        <f t="shared" si="3"/>
        <v>26.799501518852022</v>
      </c>
      <c r="K32" s="23">
        <f>'WBOT + Sampling'!$D$12+Labour!$G$5</f>
        <v>19485.604526475727</v>
      </c>
      <c r="L32" s="23">
        <f>'WBOT + Sampling'!$D$19*F32</f>
        <v>23128.62032033785</v>
      </c>
      <c r="M32" s="23">
        <f t="shared" si="4"/>
        <v>42614.22484681358</v>
      </c>
      <c r="N32" s="40">
        <f t="shared" si="5"/>
        <v>29.389120584009365</v>
      </c>
      <c r="O32" s="46">
        <f t="shared" si="8"/>
        <v>2.5896190651573434</v>
      </c>
      <c r="P32" s="23">
        <f t="shared" si="9"/>
        <v>21.375137076783894</v>
      </c>
      <c r="Q32" s="15">
        <f t="shared" si="10"/>
        <v>20.430221951146958</v>
      </c>
      <c r="R32" s="29">
        <f t="shared" si="6"/>
        <v>-20.240542303566269</v>
      </c>
      <c r="S32" s="29">
        <f t="shared" si="7"/>
        <v>-30.483724775817034</v>
      </c>
      <c r="U32" s="49">
        <f t="shared" si="11"/>
        <v>-4.4206272092787326</v>
      </c>
    </row>
    <row r="33" spans="3:21" x14ac:dyDescent="0.35">
      <c r="C33" t="s">
        <v>12</v>
      </c>
      <c r="D33" t="s">
        <v>5</v>
      </c>
      <c r="E33" t="s">
        <v>5</v>
      </c>
      <c r="F33" s="38">
        <v>1500</v>
      </c>
      <c r="G33">
        <f t="shared" si="0"/>
        <v>15730.656881997586</v>
      </c>
      <c r="H33">
        <f t="shared" si="1"/>
        <v>23926.158952073638</v>
      </c>
      <c r="I33">
        <f t="shared" si="2"/>
        <v>39656.815834071225</v>
      </c>
      <c r="J33" s="37">
        <f t="shared" si="3"/>
        <v>26.43787722271415</v>
      </c>
      <c r="K33" s="23">
        <f>'WBOT + Sampling'!$D$12+Labour!$G$5</f>
        <v>19485.604526475727</v>
      </c>
      <c r="L33" s="23">
        <f>'WBOT + Sampling'!$D$19*F33</f>
        <v>23926.158952073638</v>
      </c>
      <c r="M33" s="23">
        <f t="shared" si="4"/>
        <v>43411.763478549365</v>
      </c>
      <c r="N33" s="40">
        <f t="shared" si="5"/>
        <v>28.941175652366244</v>
      </c>
      <c r="O33" s="46">
        <f t="shared" si="8"/>
        <v>2.5032984296520944</v>
      </c>
      <c r="P33" s="23">
        <f t="shared" si="9"/>
        <v>21.194324928714956</v>
      </c>
      <c r="Q33" s="15">
        <f t="shared" si="10"/>
        <v>20.280906973932584</v>
      </c>
      <c r="R33" s="29">
        <f t="shared" si="6"/>
        <v>-19.833484548805554</v>
      </c>
      <c r="S33" s="29">
        <f t="shared" si="7"/>
        <v>-29.923693434083393</v>
      </c>
      <c r="U33" s="49">
        <f t="shared" si="11"/>
        <v>-4.3097289385463489</v>
      </c>
    </row>
    <row r="34" spans="3:21" x14ac:dyDescent="0.35">
      <c r="C34" t="s">
        <v>13</v>
      </c>
      <c r="D34" t="s">
        <v>4</v>
      </c>
      <c r="E34" t="s">
        <v>4</v>
      </c>
      <c r="F34" s="38">
        <v>1550</v>
      </c>
      <c r="G34">
        <f t="shared" si="0"/>
        <v>15730.656881997586</v>
      </c>
      <c r="H34">
        <f t="shared" si="1"/>
        <v>24723.697583809426</v>
      </c>
      <c r="I34">
        <f t="shared" si="2"/>
        <v>40454.35446580701</v>
      </c>
      <c r="J34" s="37">
        <f t="shared" si="3"/>
        <v>26.099583526327102</v>
      </c>
      <c r="K34" s="23">
        <f>'WBOT + Sampling'!$D$12+Labour!$G$5</f>
        <v>19485.604526475727</v>
      </c>
      <c r="L34" s="23">
        <f>'WBOT + Sampling'!$D$19*F34</f>
        <v>24723.697583809426</v>
      </c>
      <c r="M34" s="23">
        <f t="shared" si="4"/>
        <v>44209.302110285149</v>
      </c>
      <c r="N34" s="40">
        <f t="shared" si="5"/>
        <v>28.522130393732354</v>
      </c>
      <c r="O34" s="46">
        <f t="shared" si="8"/>
        <v>2.4225468674052522</v>
      </c>
      <c r="P34" s="23">
        <f t="shared" si="9"/>
        <v>21.025178080521432</v>
      </c>
      <c r="Q34" s="15">
        <f t="shared" si="10"/>
        <v>20.141225221054622</v>
      </c>
      <c r="R34" s="29">
        <f t="shared" si="6"/>
        <v>-19.442476699626372</v>
      </c>
      <c r="S34" s="29">
        <f t="shared" si="7"/>
        <v>-29.383868094647685</v>
      </c>
      <c r="U34" s="49">
        <f t="shared" si="11"/>
        <v>-4.2042586088045502</v>
      </c>
    </row>
    <row r="35" spans="3:21" x14ac:dyDescent="0.35">
      <c r="C35" t="s">
        <v>14</v>
      </c>
      <c r="D35" t="s">
        <v>4</v>
      </c>
      <c r="E35" t="s">
        <v>5</v>
      </c>
      <c r="F35" s="38">
        <v>1600</v>
      </c>
      <c r="G35">
        <f t="shared" si="0"/>
        <v>15730.656881997586</v>
      </c>
      <c r="H35">
        <f t="shared" si="1"/>
        <v>25521.236215545214</v>
      </c>
      <c r="I35">
        <f t="shared" si="2"/>
        <v>41251.893097542801</v>
      </c>
      <c r="J35" s="37">
        <f t="shared" si="3"/>
        <v>25.782433185964251</v>
      </c>
      <c r="K35" s="23">
        <f>'WBOT + Sampling'!$D$12+Labour!$G$5</f>
        <v>19485.604526475727</v>
      </c>
      <c r="L35" s="23">
        <f>'WBOT + Sampling'!$D$19*F35</f>
        <v>25521.236215545214</v>
      </c>
      <c r="M35" s="23">
        <f t="shared" si="4"/>
        <v>45006.840742020941</v>
      </c>
      <c r="N35" s="40">
        <f t="shared" si="5"/>
        <v>28.129275463763086</v>
      </c>
      <c r="O35" s="46">
        <f t="shared" si="8"/>
        <v>2.3468422777988351</v>
      </c>
      <c r="P35" s="23">
        <f t="shared" si="9"/>
        <v>20.866602910340003</v>
      </c>
      <c r="Q35" s="15">
        <f t="shared" si="10"/>
        <v>20.010273577731535</v>
      </c>
      <c r="R35" s="29">
        <f t="shared" si="6"/>
        <v>-19.066587859133431</v>
      </c>
      <c r="S35" s="29">
        <f t="shared" si="7"/>
        <v>-28.863174582973794</v>
      </c>
      <c r="U35" s="49">
        <f t="shared" si="11"/>
        <v>-4.1038272319071725</v>
      </c>
    </row>
    <row r="36" spans="3:21" x14ac:dyDescent="0.35">
      <c r="C36" t="s">
        <v>15</v>
      </c>
      <c r="D36" t="s">
        <v>4</v>
      </c>
      <c r="E36" t="s">
        <v>5</v>
      </c>
      <c r="F36" s="38">
        <v>1650</v>
      </c>
      <c r="G36">
        <f t="shared" si="0"/>
        <v>15730.656881997586</v>
      </c>
      <c r="H36">
        <f t="shared" si="1"/>
        <v>26318.774847281002</v>
      </c>
      <c r="I36">
        <f t="shared" si="2"/>
        <v>42049.431729278585</v>
      </c>
      <c r="J36" s="37">
        <f t="shared" si="3"/>
        <v>25.484504078350657</v>
      </c>
      <c r="K36" s="23">
        <f>'WBOT + Sampling'!$D$12+Labour!$G$5</f>
        <v>19485.604526475727</v>
      </c>
      <c r="L36" s="23">
        <f>'WBOT + Sampling'!$D$19*F36</f>
        <v>26318.774847281002</v>
      </c>
      <c r="M36" s="23">
        <f t="shared" si="4"/>
        <v>45804.379373756732</v>
      </c>
      <c r="N36" s="40">
        <f t="shared" si="5"/>
        <v>27.760229923488929</v>
      </c>
      <c r="O36" s="46">
        <f t="shared" si="8"/>
        <v>2.2757258451382718</v>
      </c>
      <c r="P36" s="23">
        <f t="shared" si="9"/>
        <v>20.717638356533211</v>
      </c>
      <c r="Q36" s="15">
        <f t="shared" si="10"/>
        <v>19.887258397640146</v>
      </c>
      <c r="R36" s="29">
        <f t="shared" si="6"/>
        <v>-18.704957754571126</v>
      </c>
      <c r="S36" s="29">
        <f t="shared" si="7"/>
        <v>-28.360613537956247</v>
      </c>
      <c r="U36" s="49">
        <f t="shared" si="11"/>
        <v>-4.0080821211516549</v>
      </c>
    </row>
    <row r="37" spans="3:21" x14ac:dyDescent="0.35">
      <c r="C37" t="s">
        <v>48</v>
      </c>
      <c r="E37" t="s">
        <v>5</v>
      </c>
      <c r="F37" s="38">
        <v>1700</v>
      </c>
      <c r="G37">
        <f t="shared" si="0"/>
        <v>15730.656881997586</v>
      </c>
      <c r="H37">
        <f t="shared" si="1"/>
        <v>27116.31347901679</v>
      </c>
      <c r="I37">
        <f t="shared" si="2"/>
        <v>42846.970361014377</v>
      </c>
      <c r="J37" s="37">
        <f t="shared" si="3"/>
        <v>25.2041002123614</v>
      </c>
      <c r="K37" s="23">
        <f>'WBOT + Sampling'!$D$12+Labour!$G$5</f>
        <v>19485.604526475727</v>
      </c>
      <c r="L37" s="23">
        <f>'WBOT + Sampling'!$D$19*F37</f>
        <v>27116.31347901679</v>
      </c>
      <c r="M37" s="23">
        <f t="shared" si="4"/>
        <v>46601.918005492516</v>
      </c>
      <c r="N37" s="40">
        <f t="shared" si="5"/>
        <v>27.412892944407364</v>
      </c>
      <c r="O37" s="46">
        <f t="shared" si="8"/>
        <v>2.2087927320459642</v>
      </c>
      <c r="P37" s="23">
        <f t="shared" si="9"/>
        <v>20.577436423538575</v>
      </c>
      <c r="Q37" s="15">
        <f t="shared" si="10"/>
        <v>19.771479404612961</v>
      </c>
      <c r="R37" s="29">
        <f t="shared" si="6"/>
        <v>-18.35679016445772</v>
      </c>
      <c r="S37" s="29">
        <f t="shared" si="7"/>
        <v>-27.875254010187799</v>
      </c>
      <c r="U37" s="49">
        <f t="shared" si="11"/>
        <v>-3.9167027531363341</v>
      </c>
    </row>
    <row r="38" spans="3:21" x14ac:dyDescent="0.35">
      <c r="F38" s="38">
        <v>1750</v>
      </c>
      <c r="G38">
        <f t="shared" si="0"/>
        <v>15730.656881997586</v>
      </c>
      <c r="H38">
        <f t="shared" si="1"/>
        <v>27913.852110752578</v>
      </c>
      <c r="I38">
        <f t="shared" si="2"/>
        <v>43644.508992750161</v>
      </c>
      <c r="J38" s="37">
        <f t="shared" si="3"/>
        <v>24.939719424428663</v>
      </c>
      <c r="K38" s="23">
        <f>'WBOT + Sampling'!$D$12+Labour!$G$5</f>
        <v>19485.604526475727</v>
      </c>
      <c r="L38" s="23">
        <f>'WBOT + Sampling'!$D$19*F38</f>
        <v>27913.852110752578</v>
      </c>
      <c r="M38" s="23">
        <f t="shared" si="4"/>
        <v>47399.456637228301</v>
      </c>
      <c r="N38" s="40">
        <f t="shared" si="5"/>
        <v>27.085403792701886</v>
      </c>
      <c r="O38" s="46">
        <f t="shared" si="8"/>
        <v>2.1456843682732227</v>
      </c>
      <c r="P38" s="23">
        <f t="shared" si="9"/>
        <v>20.44524602957221</v>
      </c>
      <c r="Q38" s="15">
        <f t="shared" si="10"/>
        <v>19.662316354044467</v>
      </c>
      <c r="R38" s="29">
        <f t="shared" si="6"/>
        <v>-18.021347066375089</v>
      </c>
      <c r="S38" s="29">
        <f t="shared" si="7"/>
        <v>-27.406227706516805</v>
      </c>
      <c r="U38" s="49">
        <f t="shared" si="11"/>
        <v>-3.8293971830679165</v>
      </c>
    </row>
    <row r="39" spans="3:21" x14ac:dyDescent="0.35">
      <c r="C39" t="s">
        <v>76</v>
      </c>
      <c r="F39" s="38">
        <v>1800</v>
      </c>
      <c r="G39">
        <f t="shared" si="0"/>
        <v>15730.656881997586</v>
      </c>
      <c r="H39">
        <f t="shared" si="1"/>
        <v>28711.390742488366</v>
      </c>
      <c r="I39">
        <f t="shared" si="2"/>
        <v>44442.047624485953</v>
      </c>
      <c r="J39" s="37">
        <f t="shared" si="3"/>
        <v>24.69002645804775</v>
      </c>
      <c r="K39" s="23">
        <f>'WBOT + Sampling'!$D$12+Labour!$G$5</f>
        <v>19485.604526475727</v>
      </c>
      <c r="L39" s="23">
        <f>'WBOT + Sampling'!$D$19*F39</f>
        <v>28711.390742488366</v>
      </c>
      <c r="M39" s="23">
        <f t="shared" si="4"/>
        <v>48196.995268964092</v>
      </c>
      <c r="N39" s="40">
        <f t="shared" si="5"/>
        <v>26.776108482757827</v>
      </c>
      <c r="O39" s="46">
        <f t="shared" si="8"/>
        <v>2.0860820247100769</v>
      </c>
      <c r="P39" s="23">
        <f t="shared" si="9"/>
        <v>20.320399546381754</v>
      </c>
      <c r="Q39" s="15">
        <f t="shared" si="10"/>
        <v>19.559217917396449</v>
      </c>
      <c r="R39" s="29">
        <f t="shared" si="6"/>
        <v>-17.697943414887309</v>
      </c>
      <c r="S39" s="29">
        <f t="shared" si="7"/>
        <v>-26.95272380603258</v>
      </c>
      <c r="U39" s="49">
        <f t="shared" si="11"/>
        <v>-3.7458989290436522</v>
      </c>
    </row>
    <row r="40" spans="3:21" x14ac:dyDescent="0.35">
      <c r="C40" t="s">
        <v>91</v>
      </c>
      <c r="F40" s="38">
        <v>1850</v>
      </c>
      <c r="G40" s="8">
        <f t="shared" si="0"/>
        <v>15730.656881997586</v>
      </c>
      <c r="H40" s="8">
        <f t="shared" si="1"/>
        <v>29508.929374224153</v>
      </c>
      <c r="I40" s="8">
        <f t="shared" si="2"/>
        <v>45239.586256221737</v>
      </c>
      <c r="J40" s="47">
        <f t="shared" si="3"/>
        <v>24.453830408768507</v>
      </c>
      <c r="K40" s="34">
        <f>'WBOT + Sampling'!$D$12+Labour!$G$5</f>
        <v>19485.604526475727</v>
      </c>
      <c r="L40" s="34">
        <f>'WBOT + Sampling'!$D$19*F40</f>
        <v>29508.929374224153</v>
      </c>
      <c r="M40" s="34">
        <f t="shared" si="4"/>
        <v>48994.533900699884</v>
      </c>
      <c r="N40" s="43">
        <f t="shared" si="5"/>
        <v>26.483531838216152</v>
      </c>
      <c r="O40" s="54">
        <f t="shared" si="8"/>
        <v>2.0297014294476448</v>
      </c>
      <c r="P40" s="34">
        <f t="shared" si="9"/>
        <v>20.202301521742132</v>
      </c>
      <c r="Q40" s="55">
        <f t="shared" si="10"/>
        <v>19.461692369215889</v>
      </c>
      <c r="R40" s="29">
        <f t="shared" si="6"/>
        <v>-17.385942471825956</v>
      </c>
      <c r="S40" s="29">
        <f t="shared" si="7"/>
        <v>-26.513984282366891</v>
      </c>
      <c r="T40" s="8"/>
      <c r="U40" s="56">
        <f t="shared" si="11"/>
        <v>-3.6659642552566818</v>
      </c>
    </row>
    <row r="41" spans="3:21" x14ac:dyDescent="0.35">
      <c r="C41" t="s">
        <v>92</v>
      </c>
      <c r="E41">
        <v>94000</v>
      </c>
      <c r="F41" s="38">
        <v>1900</v>
      </c>
      <c r="G41">
        <f t="shared" si="0"/>
        <v>15730.656881997586</v>
      </c>
      <c r="H41">
        <f t="shared" si="1"/>
        <v>30306.468005959941</v>
      </c>
      <c r="I41">
        <f t="shared" si="2"/>
        <v>46037.124887957529</v>
      </c>
      <c r="J41" s="37">
        <f t="shared" si="3"/>
        <v>24.230065730503963</v>
      </c>
      <c r="K41" s="23">
        <f>'WBOT + Sampling'!$D$12+Labour!$G$5</f>
        <v>19485.604526475727</v>
      </c>
      <c r="L41" s="23">
        <f>'WBOT + Sampling'!$D$19*F41</f>
        <v>30306.468005959941</v>
      </c>
      <c r="M41" s="23">
        <f t="shared" si="4"/>
        <v>49792.072532435668</v>
      </c>
      <c r="N41" s="40">
        <f t="shared" si="5"/>
        <v>26.206353964439824</v>
      </c>
      <c r="O41" s="46">
        <f t="shared" si="8"/>
        <v>1.9762882339358612</v>
      </c>
      <c r="P41" s="23">
        <f t="shared" si="9"/>
        <v>20.09041918260986</v>
      </c>
      <c r="Q41" s="15">
        <f t="shared" si="10"/>
        <v>19.369299744623781</v>
      </c>
      <c r="R41" s="29">
        <f t="shared" si="6"/>
        <v>-17.084751621959391</v>
      </c>
      <c r="S41" s="29">
        <f t="shared" si="7"/>
        <v>-26.089299675542215</v>
      </c>
      <c r="U41" s="49">
        <f t="shared" si="11"/>
        <v>-3.5893697957794513</v>
      </c>
    </row>
    <row r="42" spans="3:21" x14ac:dyDescent="0.35">
      <c r="C42" t="s">
        <v>93</v>
      </c>
      <c r="E42">
        <v>0.7</v>
      </c>
      <c r="F42" s="38">
        <v>1950</v>
      </c>
      <c r="G42">
        <f t="shared" si="0"/>
        <v>15730.656881997586</v>
      </c>
      <c r="H42">
        <f t="shared" si="1"/>
        <v>31104.006637695729</v>
      </c>
      <c r="I42">
        <f t="shared" si="2"/>
        <v>46834.663519693313</v>
      </c>
      <c r="J42" s="37">
        <f t="shared" si="3"/>
        <v>24.017776163945289</v>
      </c>
      <c r="K42" s="23">
        <f>'WBOT + Sampling'!$D$12+Labour!$G$5</f>
        <v>19485.604526475727</v>
      </c>
      <c r="L42" s="23">
        <f>'WBOT + Sampling'!$D$19*F42</f>
        <v>31104.006637695729</v>
      </c>
      <c r="M42" s="23">
        <f t="shared" si="4"/>
        <v>50589.611164171452</v>
      </c>
      <c r="N42" s="40">
        <f t="shared" si="5"/>
        <v>25.943390340600743</v>
      </c>
      <c r="O42" s="46">
        <f t="shared" si="8"/>
        <v>1.9256141766554542</v>
      </c>
      <c r="P42" s="23">
        <f t="shared" si="9"/>
        <v>19.984274399330523</v>
      </c>
      <c r="Q42" s="15">
        <f t="shared" si="10"/>
        <v>19.281645203344087</v>
      </c>
      <c r="R42" s="29">
        <f t="shared" si="6"/>
        <v>-16.793818616186989</v>
      </c>
      <c r="S42" s="29">
        <f t="shared" si="7"/>
        <v>-25.678005263757665</v>
      </c>
      <c r="T42" s="49">
        <f>((J42-N42)/N42)*100</f>
        <v>-7.4223690557587503</v>
      </c>
      <c r="U42" s="49">
        <f t="shared" si="11"/>
        <v>-3.5159104701343278</v>
      </c>
    </row>
    <row r="43" spans="3:21" x14ac:dyDescent="0.35">
      <c r="E43">
        <f>E41*E42</f>
        <v>65800</v>
      </c>
    </row>
    <row r="46" spans="3:21" x14ac:dyDescent="0.35">
      <c r="C46" t="s">
        <v>94</v>
      </c>
      <c r="D46" t="s">
        <v>95</v>
      </c>
    </row>
    <row r="47" spans="3:21" x14ac:dyDescent="0.35">
      <c r="C47">
        <v>5000</v>
      </c>
      <c r="D47">
        <v>555.10643886685</v>
      </c>
    </row>
    <row r="48" spans="3:21" x14ac:dyDescent="0.35">
      <c r="C48">
        <v>10000</v>
      </c>
      <c r="D48">
        <v>500.07655276675831</v>
      </c>
    </row>
    <row r="49" spans="3:4" x14ac:dyDescent="0.35">
      <c r="C49">
        <v>15000</v>
      </c>
      <c r="D49">
        <v>481.73325740006106</v>
      </c>
    </row>
    <row r="50" spans="3:4" x14ac:dyDescent="0.35">
      <c r="C50">
        <v>20000</v>
      </c>
      <c r="D50">
        <v>472.56160971671238</v>
      </c>
    </row>
    <row r="51" spans="3:4" x14ac:dyDescent="0.35">
      <c r="C51">
        <v>25000</v>
      </c>
      <c r="D51">
        <v>467.0586211067033</v>
      </c>
    </row>
    <row r="52" spans="3:4" x14ac:dyDescent="0.35">
      <c r="C52">
        <v>30000</v>
      </c>
      <c r="D52">
        <v>463.38996203336382</v>
      </c>
    </row>
    <row r="53" spans="3:4" x14ac:dyDescent="0.35">
      <c r="C53">
        <v>35000</v>
      </c>
      <c r="D53">
        <v>460.7694912666928</v>
      </c>
    </row>
    <row r="54" spans="3:4" x14ac:dyDescent="0.35">
      <c r="C54">
        <v>40000</v>
      </c>
      <c r="D54">
        <v>458.80413819168956</v>
      </c>
    </row>
    <row r="55" spans="3:4" x14ac:dyDescent="0.35">
      <c r="C55">
        <v>45000</v>
      </c>
      <c r="D55">
        <v>457.27553024446473</v>
      </c>
    </row>
    <row r="56" spans="3:4" x14ac:dyDescent="0.35">
      <c r="C56">
        <v>50000</v>
      </c>
      <c r="D56">
        <v>456.05264388668502</v>
      </c>
    </row>
    <row r="57" spans="3:4" x14ac:dyDescent="0.35">
      <c r="C57">
        <v>55000</v>
      </c>
      <c r="D57">
        <v>455.05210050304697</v>
      </c>
    </row>
    <row r="58" spans="3:4" x14ac:dyDescent="0.35">
      <c r="C58">
        <v>60000</v>
      </c>
      <c r="D58">
        <v>454.21831435001525</v>
      </c>
    </row>
    <row r="59" spans="3:4" x14ac:dyDescent="0.35">
      <c r="C59">
        <v>65000</v>
      </c>
      <c r="D59">
        <v>453.51280298975769</v>
      </c>
    </row>
    <row r="60" spans="3:4" x14ac:dyDescent="0.35">
      <c r="C60">
        <v>70000</v>
      </c>
      <c r="D60">
        <v>452.90807896667974</v>
      </c>
    </row>
    <row r="61" spans="3:4" x14ac:dyDescent="0.35">
      <c r="C61" t="s">
        <v>53</v>
      </c>
    </row>
    <row r="62" spans="3:4" x14ac:dyDescent="0.35">
      <c r="C62" t="s">
        <v>54</v>
      </c>
    </row>
    <row r="63" spans="3:4" x14ac:dyDescent="0.35">
      <c r="C63" t="s">
        <v>87</v>
      </c>
    </row>
    <row r="64" spans="3:4" x14ac:dyDescent="0.35">
      <c r="C64" t="s">
        <v>74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D7" sqref="D7"/>
    </sheetView>
  </sheetViews>
  <sheetFormatPr defaultRowHeight="14.5" x14ac:dyDescent="0.35"/>
  <cols>
    <col min="1" max="1" width="13.7265625" customWidth="1"/>
    <col min="2" max="2" width="10.453125" customWidth="1"/>
    <col min="3" max="3" width="6.7265625" customWidth="1"/>
    <col min="4" max="4" width="10.26953125" customWidth="1"/>
    <col min="5" max="5" width="13.08984375" customWidth="1"/>
    <col min="6" max="6" width="11.54296875" customWidth="1"/>
    <col min="7" max="7" width="10" customWidth="1"/>
    <col min="8" max="8" width="10.81640625" customWidth="1"/>
    <col min="9" max="9" width="34.54296875" customWidth="1"/>
    <col min="10" max="10" width="33.81640625" customWidth="1"/>
    <col min="11" max="11" width="19.54296875" customWidth="1"/>
    <col min="12" max="12" width="15.36328125" customWidth="1"/>
  </cols>
  <sheetData>
    <row r="1" spans="1:10" x14ac:dyDescent="0.35">
      <c r="B1" s="4"/>
      <c r="C1" s="70" t="s">
        <v>117</v>
      </c>
      <c r="D1" s="70"/>
      <c r="E1" s="70"/>
      <c r="F1" s="70"/>
      <c r="G1" s="50"/>
      <c r="H1" s="50"/>
      <c r="I1" s="50"/>
      <c r="J1" s="50"/>
    </row>
    <row r="2" spans="1:10" x14ac:dyDescent="0.35">
      <c r="A2" s="4"/>
      <c r="B2" s="16" t="s">
        <v>117</v>
      </c>
      <c r="C2" s="16" t="s">
        <v>142</v>
      </c>
      <c r="D2" s="25" t="s">
        <v>124</v>
      </c>
      <c r="E2" s="4" t="s">
        <v>125</v>
      </c>
      <c r="F2" s="25" t="s">
        <v>136</v>
      </c>
      <c r="G2" s="25" t="s">
        <v>137</v>
      </c>
      <c r="H2" s="25" t="s">
        <v>138</v>
      </c>
      <c r="I2" s="23"/>
    </row>
    <row r="3" spans="1:10" x14ac:dyDescent="0.35">
      <c r="A3" s="4" t="s">
        <v>139</v>
      </c>
      <c r="B3">
        <v>75986</v>
      </c>
      <c r="C3" s="49">
        <f>B3*B20</f>
        <v>56989.5</v>
      </c>
      <c r="D3" s="49">
        <f>B3*B21</f>
        <v>70515.008000000002</v>
      </c>
      <c r="E3" s="29">
        <f>B3*B22</f>
        <v>56153.654000000002</v>
      </c>
      <c r="F3" s="29">
        <f>B3*B23</f>
        <v>70515.008000000002</v>
      </c>
      <c r="G3" s="23"/>
      <c r="H3" s="23"/>
      <c r="I3" s="23"/>
    </row>
    <row r="4" spans="1:10" x14ac:dyDescent="0.35">
      <c r="A4" s="4" t="s">
        <v>140</v>
      </c>
      <c r="B4" s="49">
        <v>15197.2</v>
      </c>
      <c r="C4" s="53">
        <f>B4*B20</f>
        <v>11397.900000000001</v>
      </c>
      <c r="D4" s="53">
        <f>B4*B21</f>
        <v>14103.001600000001</v>
      </c>
      <c r="E4" s="53">
        <f>B4*B22</f>
        <v>11230.730800000001</v>
      </c>
      <c r="F4" s="53">
        <f>B4*B23</f>
        <v>14103.001600000001</v>
      </c>
      <c r="G4" s="50"/>
      <c r="H4" s="50"/>
      <c r="I4" s="50"/>
    </row>
    <row r="5" spans="1:10" x14ac:dyDescent="0.35">
      <c r="A5" s="4" t="s">
        <v>141</v>
      </c>
      <c r="B5">
        <v>2500</v>
      </c>
      <c r="C5">
        <f>B5*B20</f>
        <v>1875</v>
      </c>
      <c r="D5" s="49">
        <f>B5*B21</f>
        <v>2320</v>
      </c>
      <c r="E5" s="49">
        <f>B5*B22</f>
        <v>1847.5</v>
      </c>
      <c r="F5" s="49">
        <f>B5*B23</f>
        <v>2320</v>
      </c>
      <c r="G5" s="15"/>
      <c r="H5" s="15"/>
      <c r="I5" s="15"/>
    </row>
    <row r="6" spans="1:10" x14ac:dyDescent="0.35">
      <c r="A6" s="4"/>
      <c r="C6" s="70" t="s">
        <v>126</v>
      </c>
      <c r="D6" s="71"/>
      <c r="E6" s="71"/>
      <c r="F6" s="71"/>
      <c r="G6" s="51"/>
      <c r="H6" s="51"/>
      <c r="I6" s="51"/>
    </row>
    <row r="7" spans="1:10" x14ac:dyDescent="0.35">
      <c r="A7" s="4" t="s">
        <v>139</v>
      </c>
      <c r="D7" s="29">
        <f>D3*'Economies of Scope'!P8</f>
        <v>1346618.3391190257</v>
      </c>
      <c r="E7" s="29">
        <f>E3*'Economies of Scope'!Q8</f>
        <v>1041585.8868372375</v>
      </c>
      <c r="F7" s="29">
        <f>F3*'Economies of Scope'!Q8</f>
        <v>1307972.5344857327</v>
      </c>
      <c r="G7" s="29">
        <f>C3*'Economies of Scope'!P8</f>
        <v>1088323.0111414539</v>
      </c>
      <c r="H7" s="29">
        <f>C3*'Economies of Scope'!Q8</f>
        <v>1057089.8716210122</v>
      </c>
    </row>
    <row r="8" spans="1:10" x14ac:dyDescent="0.35">
      <c r="A8" s="4" t="s">
        <v>140</v>
      </c>
      <c r="C8" t="s">
        <v>123</v>
      </c>
      <c r="D8" s="29">
        <f>D4*'Economies of Scope'!Q8</f>
        <v>261594.50689714655</v>
      </c>
      <c r="E8" s="29">
        <f>E4*'Economies of Scope'!Q8</f>
        <v>208317.17736744753</v>
      </c>
      <c r="F8" s="29">
        <f>F4*'Economies of Scope'!Q8</f>
        <v>261594.50689714655</v>
      </c>
      <c r="G8" s="29">
        <f>C4*'Economies of Scope'!P8</f>
        <v>217664.60222829081</v>
      </c>
      <c r="H8" s="29">
        <f>C4*'Economies of Scope'!Q8</f>
        <v>211417.97432420249</v>
      </c>
      <c r="I8" s="13"/>
      <c r="J8" s="23"/>
    </row>
    <row r="9" spans="1:10" x14ac:dyDescent="0.35">
      <c r="A9" s="4" t="s">
        <v>141</v>
      </c>
      <c r="D9" s="29">
        <f>D5*'Economies of Scope'!P8</f>
        <v>44304.817305787437</v>
      </c>
      <c r="E9" s="29">
        <f>E5*'Economies of Scope'!J7</f>
        <v>44000.246737382637</v>
      </c>
      <c r="F9" s="29">
        <f>F5*'Economies of Scope'!Q8</f>
        <v>43033.339512730388</v>
      </c>
      <c r="G9" s="29">
        <f>C5*'Economies of Scope'!P8</f>
        <v>35806.695020841136</v>
      </c>
      <c r="H9" s="29">
        <f>C5*'Economies of Scope'!Q8</f>
        <v>34779.099821710981</v>
      </c>
      <c r="J9" s="23"/>
    </row>
    <row r="10" spans="1:10" x14ac:dyDescent="0.35">
      <c r="B10" s="50" t="s">
        <v>127</v>
      </c>
      <c r="C10" s="50"/>
      <c r="D10" s="50"/>
      <c r="E10" s="50"/>
      <c r="F10" s="50"/>
      <c r="J10" s="50"/>
    </row>
    <row r="11" spans="1:10" x14ac:dyDescent="0.35">
      <c r="D11" s="49">
        <f>(D7/(D3-C3))</f>
        <v>99.561387204016711</v>
      </c>
      <c r="E11" s="49">
        <f>(E7/(C3-E3))</f>
        <v>1246.1456857330661</v>
      </c>
      <c r="F11" s="49">
        <f>(F7/(F3-C3))</f>
        <v>96.704133736472784</v>
      </c>
      <c r="J11" s="15"/>
    </row>
    <row r="12" spans="1:10" x14ac:dyDescent="0.35">
      <c r="J12" s="51"/>
    </row>
    <row r="19" spans="1:9" x14ac:dyDescent="0.35">
      <c r="A19" s="4" t="s">
        <v>118</v>
      </c>
    </row>
    <row r="20" spans="1:9" x14ac:dyDescent="0.35">
      <c r="A20" t="s">
        <v>119</v>
      </c>
      <c r="B20" s="27">
        <v>0.75</v>
      </c>
    </row>
    <row r="21" spans="1:9" x14ac:dyDescent="0.35">
      <c r="A21" t="s">
        <v>120</v>
      </c>
      <c r="B21" s="27">
        <v>0.92800000000000005</v>
      </c>
    </row>
    <row r="22" spans="1:9" x14ac:dyDescent="0.35">
      <c r="A22" t="s">
        <v>121</v>
      </c>
      <c r="B22" s="27">
        <v>0.73899999999999999</v>
      </c>
    </row>
    <row r="23" spans="1:9" x14ac:dyDescent="0.35">
      <c r="A23" t="s">
        <v>122</v>
      </c>
      <c r="B23" s="27">
        <v>0.92800000000000005</v>
      </c>
    </row>
    <row r="29" spans="1:9" x14ac:dyDescent="0.35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35">
      <c r="A30" s="49"/>
      <c r="B30" s="49"/>
      <c r="C30" s="15"/>
      <c r="D30" s="49"/>
      <c r="E30" s="49"/>
      <c r="F30" s="15"/>
      <c r="G30" s="15"/>
      <c r="H30" s="49"/>
      <c r="I30" s="23"/>
    </row>
    <row r="31" spans="1:9" x14ac:dyDescent="0.35">
      <c r="A31" s="49"/>
      <c r="B31" s="49"/>
      <c r="C31" s="15"/>
      <c r="D31" s="49"/>
      <c r="E31" s="49"/>
      <c r="F31" s="15"/>
      <c r="G31" s="15"/>
      <c r="H31" s="49"/>
      <c r="I31" s="23"/>
    </row>
    <row r="32" spans="1:9" x14ac:dyDescent="0.35">
      <c r="A32" s="49"/>
      <c r="B32" s="49"/>
      <c r="C32" s="15"/>
      <c r="D32" s="49"/>
      <c r="E32" s="49"/>
      <c r="F32" s="15"/>
      <c r="G32" s="15"/>
      <c r="H32" s="49"/>
      <c r="I32" s="23"/>
    </row>
    <row r="33" spans="1:10" x14ac:dyDescent="0.35">
      <c r="A33" s="70"/>
      <c r="B33" s="71"/>
      <c r="C33" s="71"/>
      <c r="D33" s="71"/>
      <c r="E33" s="71"/>
      <c r="F33" s="71"/>
      <c r="G33" s="71"/>
      <c r="H33" s="71"/>
    </row>
    <row r="34" spans="1:10" x14ac:dyDescent="0.35">
      <c r="A34" s="70"/>
      <c r="B34" s="71"/>
      <c r="C34" s="71"/>
      <c r="D34" s="71"/>
      <c r="E34" s="52"/>
      <c r="F34" s="52"/>
      <c r="G34" s="52"/>
      <c r="H34" s="52"/>
    </row>
    <row r="35" spans="1:10" x14ac:dyDescent="0.35">
      <c r="J35" s="4"/>
    </row>
    <row r="36" spans="1:10" x14ac:dyDescent="0.35">
      <c r="J36" s="23"/>
    </row>
    <row r="37" spans="1:10" x14ac:dyDescent="0.35">
      <c r="B37" s="4"/>
      <c r="J37" s="23"/>
    </row>
    <row r="38" spans="1:10" x14ac:dyDescent="0.35">
      <c r="A38" s="4"/>
      <c r="B38" s="49"/>
      <c r="J38" s="23"/>
    </row>
    <row r="39" spans="1:10" x14ac:dyDescent="0.35">
      <c r="A39" s="4"/>
      <c r="B39" s="49"/>
    </row>
    <row r="40" spans="1:10" x14ac:dyDescent="0.35">
      <c r="A40" s="4"/>
      <c r="B40" s="49"/>
    </row>
  </sheetData>
  <mergeCells count="4">
    <mergeCell ref="A34:D34"/>
    <mergeCell ref="A33:H33"/>
    <mergeCell ref="C6:F6"/>
    <mergeCell ref="C1:F1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zoomScale="85" zoomScaleNormal="85" workbookViewId="0">
      <selection activeCell="J2" sqref="J2:K5"/>
    </sheetView>
  </sheetViews>
  <sheetFormatPr defaultRowHeight="14.5" x14ac:dyDescent="0.35"/>
  <cols>
    <col min="1" max="1" width="18.26953125" customWidth="1"/>
    <col min="2" max="2" width="10.453125" customWidth="1"/>
    <col min="3" max="3" width="6.7265625" customWidth="1"/>
    <col min="4" max="4" width="12.54296875" customWidth="1"/>
    <col min="5" max="5" width="13.08984375" customWidth="1"/>
    <col min="6" max="6" width="11.54296875" customWidth="1"/>
    <col min="7" max="7" width="10" customWidth="1"/>
    <col min="8" max="8" width="10.81640625" customWidth="1"/>
    <col min="9" max="9" width="18.6328125" customWidth="1"/>
    <col min="10" max="10" width="12" customWidth="1"/>
    <col min="11" max="11" width="54.36328125" customWidth="1"/>
    <col min="12" max="12" width="15.36328125" customWidth="1"/>
  </cols>
  <sheetData>
    <row r="1" spans="1:11" x14ac:dyDescent="0.35">
      <c r="B1" s="4"/>
      <c r="C1" s="70" t="s">
        <v>117</v>
      </c>
      <c r="D1" s="70"/>
      <c r="E1" s="70"/>
      <c r="F1" s="70"/>
      <c r="G1" s="50"/>
      <c r="H1" s="50"/>
      <c r="I1" s="50"/>
      <c r="J1" s="50"/>
    </row>
    <row r="2" spans="1:11" x14ac:dyDescent="0.35">
      <c r="A2" s="4"/>
      <c r="B2" s="16" t="s">
        <v>117</v>
      </c>
      <c r="C2" s="16" t="s">
        <v>142</v>
      </c>
      <c r="D2" s="25" t="s">
        <v>124</v>
      </c>
      <c r="E2" s="4" t="s">
        <v>125</v>
      </c>
      <c r="F2" s="25" t="s">
        <v>136</v>
      </c>
      <c r="G2" s="25"/>
      <c r="H2" s="25"/>
      <c r="I2" s="23"/>
      <c r="J2" s="4" t="s">
        <v>181</v>
      </c>
    </row>
    <row r="3" spans="1:11" ht="29" x14ac:dyDescent="0.35">
      <c r="A3" s="4" t="s">
        <v>139</v>
      </c>
      <c r="B3">
        <v>75986</v>
      </c>
      <c r="C3" s="49">
        <f>B3*B20</f>
        <v>56989.5</v>
      </c>
      <c r="D3" s="49">
        <f>B3*B21</f>
        <v>70515.008000000002</v>
      </c>
      <c r="E3" s="29">
        <f>B3*B22</f>
        <v>56153.654000000002</v>
      </c>
      <c r="F3" s="29">
        <f>B3*B23</f>
        <v>70515.008000000002</v>
      </c>
      <c r="G3" s="23"/>
      <c r="H3" s="23"/>
      <c r="I3" s="23"/>
      <c r="J3" s="4" t="s">
        <v>124</v>
      </c>
      <c r="K3" s="69" t="s">
        <v>182</v>
      </c>
    </row>
    <row r="4" spans="1:11" ht="29" x14ac:dyDescent="0.35">
      <c r="A4" s="4" t="s">
        <v>140</v>
      </c>
      <c r="B4" s="49">
        <v>15197.2</v>
      </c>
      <c r="C4" s="53">
        <f>B4*B20</f>
        <v>11397.900000000001</v>
      </c>
      <c r="D4" s="53">
        <f>B4*B21</f>
        <v>14103.001600000001</v>
      </c>
      <c r="E4" s="53">
        <f>B4*B22</f>
        <v>11230.730800000001</v>
      </c>
      <c r="F4" s="53">
        <f>B4*B23</f>
        <v>14103.001600000001</v>
      </c>
      <c r="G4" s="50"/>
      <c r="H4" s="50"/>
      <c r="I4" s="50"/>
      <c r="J4" s="4" t="s">
        <v>125</v>
      </c>
      <c r="K4" s="69" t="s">
        <v>183</v>
      </c>
    </row>
    <row r="5" spans="1:11" ht="29" x14ac:dyDescent="0.35">
      <c r="A5" s="68"/>
      <c r="D5" s="49"/>
      <c r="E5" s="49"/>
      <c r="F5" s="49"/>
      <c r="G5" s="15"/>
      <c r="H5" s="15"/>
      <c r="I5" s="15"/>
      <c r="J5" s="4" t="s">
        <v>136</v>
      </c>
      <c r="K5" s="69" t="s">
        <v>184</v>
      </c>
    </row>
    <row r="6" spans="1:11" x14ac:dyDescent="0.35">
      <c r="A6" s="4"/>
      <c r="C6" s="70" t="s">
        <v>126</v>
      </c>
      <c r="D6" s="71"/>
      <c r="E6" s="71"/>
      <c r="F6" s="71"/>
      <c r="G6" s="51"/>
      <c r="H6" s="51"/>
      <c r="I6" s="51"/>
    </row>
    <row r="7" spans="1:11" x14ac:dyDescent="0.35">
      <c r="A7" s="4" t="s">
        <v>139</v>
      </c>
      <c r="D7" s="29">
        <f>D8*5</f>
        <v>1864267.1238627064</v>
      </c>
      <c r="E7" s="29">
        <f>E8*5</f>
        <v>1625152.7639361985</v>
      </c>
      <c r="F7" s="29">
        <f>F8*5</f>
        <v>2040787.2326560111</v>
      </c>
      <c r="G7" s="29"/>
      <c r="H7" s="29"/>
    </row>
    <row r="8" spans="1:11" x14ac:dyDescent="0.35">
      <c r="A8" s="4" t="s">
        <v>140</v>
      </c>
      <c r="C8" t="s">
        <v>123</v>
      </c>
      <c r="D8" s="29">
        <f>D4*'Economies of Scope'!J6</f>
        <v>372853.42477254127</v>
      </c>
      <c r="E8" s="29">
        <f>E4*'Economies of Scope'!N6</f>
        <v>325030.55278723972</v>
      </c>
      <c r="F8" s="29">
        <f>F4*'Economies of Scope'!N6</f>
        <v>408157.44653120224</v>
      </c>
      <c r="G8" s="29"/>
      <c r="H8" s="29"/>
      <c r="I8" s="13"/>
      <c r="J8" s="23"/>
    </row>
    <row r="9" spans="1:11" x14ac:dyDescent="0.35">
      <c r="A9" s="4"/>
      <c r="D9" s="29"/>
      <c r="E9" s="29"/>
      <c r="F9" s="29"/>
      <c r="G9" s="29"/>
      <c r="H9" s="29"/>
      <c r="J9" s="23"/>
    </row>
    <row r="10" spans="1:11" x14ac:dyDescent="0.35">
      <c r="B10" s="50" t="s">
        <v>127</v>
      </c>
      <c r="C10" s="50"/>
      <c r="D10" s="50"/>
      <c r="E10" s="50"/>
      <c r="F10" s="50"/>
      <c r="J10" s="50"/>
    </row>
    <row r="11" spans="1:11" x14ac:dyDescent="0.35">
      <c r="D11" s="49">
        <f>(D7/(D3-C3))</f>
        <v>137.83342731841984</v>
      </c>
      <c r="E11" s="49">
        <f>(E7/(C3-E3))</f>
        <v>1944.3208006453378</v>
      </c>
      <c r="F11" s="49">
        <f>(F7/(F3-C3))</f>
        <v>150.88433149098805</v>
      </c>
      <c r="J11" s="15"/>
    </row>
    <row r="12" spans="1:11" x14ac:dyDescent="0.35">
      <c r="J12" s="51"/>
    </row>
    <row r="19" spans="1:9" x14ac:dyDescent="0.35">
      <c r="A19" s="4" t="s">
        <v>118</v>
      </c>
    </row>
    <row r="20" spans="1:9" x14ac:dyDescent="0.35">
      <c r="A20" s="69" t="s">
        <v>119</v>
      </c>
      <c r="B20" s="27">
        <v>0.75</v>
      </c>
    </row>
    <row r="21" spans="1:9" x14ac:dyDescent="0.35">
      <c r="A21" s="69" t="s">
        <v>120</v>
      </c>
      <c r="B21" s="27">
        <v>0.92800000000000005</v>
      </c>
    </row>
    <row r="22" spans="1:9" ht="29" x14ac:dyDescent="0.35">
      <c r="A22" s="69" t="s">
        <v>121</v>
      </c>
      <c r="B22" s="27">
        <v>0.73899999999999999</v>
      </c>
    </row>
    <row r="23" spans="1:9" ht="29" x14ac:dyDescent="0.35">
      <c r="A23" s="69" t="s">
        <v>122</v>
      </c>
      <c r="B23" s="27">
        <v>0.92800000000000005</v>
      </c>
    </row>
    <row r="29" spans="1:9" x14ac:dyDescent="0.35">
      <c r="A29" s="4"/>
      <c r="B29" s="4"/>
      <c r="C29" s="4"/>
      <c r="D29" s="4"/>
      <c r="E29" s="4"/>
      <c r="F29" s="4"/>
      <c r="G29" s="4"/>
      <c r="H29" s="4"/>
      <c r="I29" s="4"/>
    </row>
    <row r="30" spans="1:9" x14ac:dyDescent="0.35">
      <c r="A30" s="49"/>
      <c r="B30" s="49"/>
      <c r="C30" s="15"/>
      <c r="D30" s="49"/>
      <c r="E30" s="49"/>
      <c r="F30" s="15"/>
      <c r="G30" s="15"/>
      <c r="H30" s="49"/>
      <c r="I30" s="23"/>
    </row>
    <row r="31" spans="1:9" x14ac:dyDescent="0.35">
      <c r="A31" s="49"/>
      <c r="B31" s="49"/>
      <c r="C31" s="15"/>
      <c r="D31" s="49"/>
      <c r="E31" s="49"/>
      <c r="F31" s="15"/>
      <c r="G31" s="15"/>
      <c r="H31" s="49"/>
      <c r="I31" s="23"/>
    </row>
    <row r="32" spans="1:9" x14ac:dyDescent="0.35">
      <c r="A32" s="49"/>
      <c r="B32" s="49"/>
      <c r="C32" s="15"/>
      <c r="D32" s="49"/>
      <c r="E32" s="49"/>
      <c r="F32" s="15"/>
      <c r="G32" s="15"/>
      <c r="H32" s="49"/>
      <c r="I32" s="23"/>
    </row>
    <row r="33" spans="1:10" x14ac:dyDescent="0.35">
      <c r="A33" s="70"/>
      <c r="B33" s="71"/>
      <c r="C33" s="71"/>
      <c r="D33" s="71"/>
      <c r="E33" s="71"/>
      <c r="F33" s="71"/>
      <c r="G33" s="71"/>
      <c r="H33" s="71"/>
    </row>
    <row r="34" spans="1:10" x14ac:dyDescent="0.35">
      <c r="A34" s="70"/>
      <c r="B34" s="71"/>
      <c r="C34" s="71"/>
      <c r="D34" s="71"/>
      <c r="E34" s="52"/>
      <c r="F34" s="52"/>
      <c r="G34" s="52"/>
      <c r="H34" s="52"/>
    </row>
    <row r="35" spans="1:10" x14ac:dyDescent="0.35">
      <c r="J35" s="4"/>
    </row>
    <row r="36" spans="1:10" x14ac:dyDescent="0.35">
      <c r="J36" s="23"/>
    </row>
    <row r="37" spans="1:10" x14ac:dyDescent="0.35">
      <c r="B37" s="4"/>
      <c r="J37" s="23"/>
    </row>
    <row r="38" spans="1:10" x14ac:dyDescent="0.35">
      <c r="A38" s="4"/>
      <c r="B38" s="49"/>
      <c r="J38" s="23"/>
    </row>
    <row r="39" spans="1:10" x14ac:dyDescent="0.35">
      <c r="A39" s="4"/>
      <c r="B39" s="49"/>
    </row>
    <row r="40" spans="1:10" x14ac:dyDescent="0.35">
      <c r="A40" s="4"/>
      <c r="B40" s="49"/>
    </row>
  </sheetData>
  <mergeCells count="4">
    <mergeCell ref="C1:F1"/>
    <mergeCell ref="C6:F6"/>
    <mergeCell ref="A33:H33"/>
    <mergeCell ref="A34:D34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2"/>
  <sheetViews>
    <sheetView topLeftCell="H6" workbookViewId="0">
      <selection activeCell="M2" sqref="M2:T11"/>
    </sheetView>
  </sheetViews>
  <sheetFormatPr defaultRowHeight="14.5" x14ac:dyDescent="0.35"/>
  <cols>
    <col min="2" max="2" width="20" customWidth="1"/>
    <col min="3" max="3" width="16.7265625" customWidth="1"/>
    <col min="14" max="14" width="26.54296875" customWidth="1"/>
    <col min="15" max="15" width="12.453125" bestFit="1" customWidth="1"/>
    <col min="16" max="16" width="28.90625" customWidth="1"/>
    <col min="18" max="18" width="13.90625" customWidth="1"/>
    <col min="19" max="19" width="27.81640625" customWidth="1"/>
    <col min="20" max="20" width="30.36328125" customWidth="1"/>
  </cols>
  <sheetData>
    <row r="2" spans="2:20" x14ac:dyDescent="0.35">
      <c r="B2" s="4"/>
      <c r="C2" s="4"/>
      <c r="N2" s="4" t="s">
        <v>143</v>
      </c>
      <c r="O2" s="23"/>
      <c r="P2" t="s">
        <v>76</v>
      </c>
      <c r="R2" t="s">
        <v>111</v>
      </c>
    </row>
    <row r="3" spans="2:20" x14ac:dyDescent="0.35">
      <c r="N3" t="s">
        <v>10</v>
      </c>
      <c r="O3" s="23">
        <f>('WBOT + Sampling'!D7)*5</f>
        <v>5316.3587904220476</v>
      </c>
      <c r="P3" t="s">
        <v>154</v>
      </c>
      <c r="R3" t="s">
        <v>10</v>
      </c>
      <c r="S3" s="23">
        <f>('GP or MO'!D7)*5</f>
        <v>5316.3587904220476</v>
      </c>
      <c r="T3" t="s">
        <v>162</v>
      </c>
    </row>
    <row r="4" spans="2:20" x14ac:dyDescent="0.35">
      <c r="N4" t="s">
        <v>13</v>
      </c>
      <c r="O4" s="23">
        <f>'WBOT + Sampling'!D9</f>
        <v>11098.336255943175</v>
      </c>
      <c r="P4" t="s">
        <v>161</v>
      </c>
      <c r="R4" t="s">
        <v>13</v>
      </c>
      <c r="S4" s="23">
        <f>'WBOT + Sampling'!D9</f>
        <v>11098.336255943175</v>
      </c>
      <c r="T4" t="s">
        <v>163</v>
      </c>
    </row>
    <row r="5" spans="2:20" x14ac:dyDescent="0.35">
      <c r="N5" t="s">
        <v>143</v>
      </c>
      <c r="O5" s="23">
        <f>('WBOT + Sampling'!D11)*5</f>
        <v>1932.5135743336609</v>
      </c>
      <c r="P5" t="s">
        <v>155</v>
      </c>
      <c r="R5" t="s">
        <v>6</v>
      </c>
      <c r="S5" s="23">
        <f>Pediatrician!D5*52</f>
        <v>2432.7657824971293</v>
      </c>
      <c r="T5" t="s">
        <v>164</v>
      </c>
    </row>
    <row r="6" spans="2:20" x14ac:dyDescent="0.35">
      <c r="N6" t="s">
        <v>6</v>
      </c>
      <c r="O6" s="23">
        <f>Pediatrician!D5*10</f>
        <v>467.83957355714023</v>
      </c>
      <c r="P6" t="s">
        <v>156</v>
      </c>
      <c r="R6" t="s">
        <v>17</v>
      </c>
      <c r="S6" s="23">
        <v>0</v>
      </c>
      <c r="T6" t="s">
        <v>165</v>
      </c>
    </row>
    <row r="7" spans="2:20" x14ac:dyDescent="0.35">
      <c r="N7" t="s">
        <v>17</v>
      </c>
      <c r="O7" s="23">
        <f>WBOT!D10*5</f>
        <v>2488.0559139175184</v>
      </c>
      <c r="P7" t="s">
        <v>157</v>
      </c>
      <c r="R7" t="s">
        <v>3</v>
      </c>
      <c r="S7">
        <f t="shared" ref="S7:T10" si="0">O8</f>
        <v>674438.72955564666</v>
      </c>
      <c r="T7" t="str">
        <f t="shared" si="0"/>
        <v>No repeat doses will be done; 85% of the children will be treated</v>
      </c>
    </row>
    <row r="8" spans="2:20" x14ac:dyDescent="0.35">
      <c r="N8" t="s">
        <v>3</v>
      </c>
      <c r="O8">
        <f>Pediatrician!D15*70555</f>
        <v>674438.72955564666</v>
      </c>
      <c r="P8" t="s">
        <v>158</v>
      </c>
      <c r="R8" t="s">
        <v>7</v>
      </c>
      <c r="S8">
        <f t="shared" si="0"/>
        <v>2.1265435161688191</v>
      </c>
      <c r="T8" t="str">
        <f t="shared" si="0"/>
        <v>85% of the children will be treated</v>
      </c>
    </row>
    <row r="9" spans="2:20" x14ac:dyDescent="0.35">
      <c r="N9" t="s">
        <v>7</v>
      </c>
      <c r="O9">
        <f>Pediatrician!D16</f>
        <v>2.1265435161688191</v>
      </c>
      <c r="P9" t="s">
        <v>159</v>
      </c>
      <c r="R9" t="s">
        <v>86</v>
      </c>
      <c r="S9">
        <f t="shared" si="0"/>
        <v>30.231746043881927</v>
      </c>
      <c r="T9" t="str">
        <f t="shared" si="0"/>
        <v>Will be same as for cervical cancer screening study</v>
      </c>
    </row>
    <row r="10" spans="2:20" x14ac:dyDescent="0.35">
      <c r="N10" t="s">
        <v>86</v>
      </c>
      <c r="O10">
        <f>'Mobile Clinic'!E11*2500</f>
        <v>30.231746043881927</v>
      </c>
      <c r="P10" t="s">
        <v>160</v>
      </c>
      <c r="R10" t="s">
        <v>8</v>
      </c>
      <c r="S10">
        <f t="shared" si="0"/>
        <v>4.2530870323376382</v>
      </c>
      <c r="T10" t="str">
        <f t="shared" si="0"/>
        <v>85% of the children will be treated</v>
      </c>
    </row>
    <row r="11" spans="2:20" x14ac:dyDescent="0.35">
      <c r="N11" t="s">
        <v>8</v>
      </c>
      <c r="O11">
        <f>Pediatrician!D19</f>
        <v>4.2530870323376382</v>
      </c>
      <c r="P11" t="s">
        <v>159</v>
      </c>
      <c r="S11" s="23"/>
    </row>
    <row r="12" spans="2:20" x14ac:dyDescent="0.35">
      <c r="O12" s="23"/>
    </row>
  </sheetData>
  <sortState ref="N3:N10">
    <sortCondition ref="N3"/>
  </sortState>
  <pageMargins left="0.7" right="0.7" top="0.75" bottom="0.75" header="0.3" footer="0.3"/>
  <pageSetup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2"/>
  <sheetViews>
    <sheetView topLeftCell="D1" workbookViewId="0">
      <selection activeCell="M11" sqref="M11"/>
    </sheetView>
  </sheetViews>
  <sheetFormatPr defaultRowHeight="14.5" x14ac:dyDescent="0.35"/>
  <cols>
    <col min="2" max="2" width="20" customWidth="1"/>
    <col min="3" max="3" width="16.7265625" customWidth="1"/>
    <col min="4" max="4" width="13.81640625" customWidth="1"/>
    <col min="5" max="5" width="18.08984375" customWidth="1"/>
    <col min="6" max="6" width="14.1796875" customWidth="1"/>
    <col min="7" max="7" width="14" customWidth="1"/>
    <col min="8" max="8" width="13.1796875" customWidth="1"/>
    <col min="10" max="10" width="8.7265625" customWidth="1"/>
    <col min="13" max="13" width="67.26953125" customWidth="1"/>
    <col min="14" max="14" width="8.08984375" customWidth="1"/>
    <col min="15" max="15" width="6.36328125" customWidth="1"/>
    <col min="16" max="16" width="9.08984375" customWidth="1"/>
    <col min="18" max="18" width="13.90625" customWidth="1"/>
    <col min="19" max="19" width="27.81640625" customWidth="1"/>
    <col min="20" max="20" width="30.36328125" customWidth="1"/>
  </cols>
  <sheetData>
    <row r="2" spans="2:19" x14ac:dyDescent="0.35">
      <c r="B2" s="4"/>
      <c r="C2" s="4"/>
      <c r="O2" s="23"/>
    </row>
    <row r="3" spans="2:19" x14ac:dyDescent="0.35">
      <c r="O3" s="23"/>
      <c r="S3" s="23"/>
    </row>
    <row r="4" spans="2:19" x14ac:dyDescent="0.35">
      <c r="D4" s="4" t="s">
        <v>166</v>
      </c>
      <c r="O4" s="23"/>
      <c r="S4" s="23"/>
    </row>
    <row r="5" spans="2:19" x14ac:dyDescent="0.35">
      <c r="E5" s="4"/>
      <c r="F5" s="4" t="s">
        <v>124</v>
      </c>
      <c r="G5" s="4" t="s">
        <v>125</v>
      </c>
      <c r="H5" s="4" t="s">
        <v>136</v>
      </c>
      <c r="O5" s="23"/>
      <c r="S5" s="23"/>
    </row>
    <row r="6" spans="2:19" x14ac:dyDescent="0.35">
      <c r="D6" s="4" t="s">
        <v>0</v>
      </c>
      <c r="E6" s="4" t="s">
        <v>180</v>
      </c>
      <c r="F6" s="4" t="s">
        <v>167</v>
      </c>
      <c r="G6" s="4" t="s">
        <v>167</v>
      </c>
      <c r="H6" s="4" t="s">
        <v>167</v>
      </c>
      <c r="L6" s="4" t="s">
        <v>181</v>
      </c>
      <c r="O6" s="23"/>
      <c r="S6" s="23"/>
    </row>
    <row r="7" spans="2:19" x14ac:dyDescent="0.35">
      <c r="D7" t="s">
        <v>21</v>
      </c>
      <c r="E7" s="15">
        <f>Pediatrician!D15</f>
        <v>9.5590493877917471</v>
      </c>
      <c r="F7" s="15">
        <f>(((E7*CEA.!D3))/CEA.!D7)*100</f>
        <v>36.156644904830223</v>
      </c>
      <c r="G7" s="15">
        <f>(((Pediatrician!D15*CEA.!E3))/CEA.!E7)*100</f>
        <v>33.029236623323541</v>
      </c>
      <c r="H7" s="15">
        <f>((E7*CEA.!F3)/CEA.!F7)*100</f>
        <v>33.029236623323541</v>
      </c>
      <c r="L7" s="4" t="s">
        <v>124</v>
      </c>
      <c r="M7" s="69" t="s">
        <v>182</v>
      </c>
      <c r="O7" s="23"/>
    </row>
    <row r="8" spans="2:19" ht="29" x14ac:dyDescent="0.35">
      <c r="D8" s="5" t="s">
        <v>13</v>
      </c>
      <c r="E8" s="15">
        <f>'Cost Ratios'!O4</f>
        <v>11098.336255943175</v>
      </c>
      <c r="F8" s="15">
        <f>((E8*52)/CEA.!D7)*100</f>
        <v>30.956587600669749</v>
      </c>
      <c r="G8" s="15">
        <f>((E8*5)/CEA.!E7)*100</f>
        <v>3.4145516969932315</v>
      </c>
      <c r="H8" s="15">
        <f>((E8*5)/CEA.!F7)*100</f>
        <v>2.7191311466357742</v>
      </c>
      <c r="L8" s="4" t="s">
        <v>125</v>
      </c>
      <c r="M8" s="69" t="s">
        <v>183</v>
      </c>
      <c r="O8" s="23"/>
    </row>
    <row r="9" spans="2:19" ht="29" x14ac:dyDescent="0.35">
      <c r="D9" s="5" t="s">
        <v>7</v>
      </c>
      <c r="E9" s="15">
        <f>'Cost Ratios'!O9</f>
        <v>2.1265435161688191</v>
      </c>
      <c r="F9" s="15">
        <f>((E9*CEA.!D3)/CEA.!E7)*100</f>
        <v>9.227023845549045</v>
      </c>
      <c r="G9" s="15">
        <f>((E9*CEA.!E3)/CEA.!E7)*100</f>
        <v>7.3478131701085605</v>
      </c>
      <c r="H9" s="15">
        <f>(((E9*CEA.!F3))/CEA.!F7)*100</f>
        <v>7.3478131701085605</v>
      </c>
      <c r="L9" s="4" t="s">
        <v>136</v>
      </c>
      <c r="M9" s="69" t="s">
        <v>184</v>
      </c>
      <c r="N9" s="4"/>
      <c r="O9" s="25"/>
    </row>
    <row r="10" spans="2:19" x14ac:dyDescent="0.35">
      <c r="D10" s="5" t="s">
        <v>168</v>
      </c>
      <c r="E10" s="15">
        <f>'Cost Ratios'!O11</f>
        <v>4.2530870323376382</v>
      </c>
      <c r="F10" s="15">
        <f>((E10*CEA.!D3)/CEA.!D7)*100</f>
        <v>16.087097297976673</v>
      </c>
      <c r="G10" s="15">
        <f>(((E10*CEA.!E3))/CEA.!E7)*100</f>
        <v>14.695626340217121</v>
      </c>
      <c r="H10" s="15">
        <f>((E10*CEA.!F3)/CEA.!F7)*100</f>
        <v>14.695626340217121</v>
      </c>
    </row>
    <row r="11" spans="2:19" x14ac:dyDescent="0.35">
      <c r="S11" s="23"/>
    </row>
    <row r="12" spans="2:19" x14ac:dyDescent="0.35">
      <c r="O12" s="23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"/>
  <sheetViews>
    <sheetView workbookViewId="0">
      <selection activeCell="C19" sqref="C19"/>
    </sheetView>
  </sheetViews>
  <sheetFormatPr defaultRowHeight="14.5" x14ac:dyDescent="0.35"/>
  <cols>
    <col min="2" max="2" width="16.08984375" customWidth="1"/>
    <col min="3" max="3" width="23.453125" customWidth="1"/>
    <col min="4" max="4" width="20.6328125" customWidth="1"/>
    <col min="5" max="5" width="16" customWidth="1"/>
    <col min="6" max="6" width="20.54296875" customWidth="1"/>
    <col min="7" max="7" width="13.6328125" customWidth="1"/>
    <col min="9" max="9" width="10.6328125" customWidth="1"/>
  </cols>
  <sheetData>
    <row r="1" spans="2:9" x14ac:dyDescent="0.35">
      <c r="I1" t="s">
        <v>149</v>
      </c>
    </row>
    <row r="2" spans="2:9" x14ac:dyDescent="0.35">
      <c r="I2" t="s">
        <v>150</v>
      </c>
    </row>
    <row r="3" spans="2:9" ht="15" thickBot="1" x14ac:dyDescent="0.4">
      <c r="B3" s="64"/>
      <c r="I3" t="s">
        <v>151</v>
      </c>
    </row>
    <row r="4" spans="2:9" ht="58.5" thickBot="1" x14ac:dyDescent="0.4">
      <c r="B4" s="59" t="s">
        <v>144</v>
      </c>
      <c r="C4" s="60">
        <v>0.39</v>
      </c>
      <c r="D4" s="61">
        <v>0.45</v>
      </c>
      <c r="E4" s="61">
        <v>0.6</v>
      </c>
      <c r="F4" s="62">
        <v>1</v>
      </c>
    </row>
    <row r="5" spans="2:9" ht="15" thickBot="1" x14ac:dyDescent="0.4">
      <c r="B5" s="63" t="s">
        <v>152</v>
      </c>
      <c r="C5" s="65">
        <f>'Cost Ratios'!O8*C4</f>
        <v>263031.1045267022</v>
      </c>
      <c r="D5" s="66">
        <f>'Cost Ratios'!O8*D4</f>
        <v>303497.42830004101</v>
      </c>
      <c r="E5" s="66">
        <f>'Cost Ratios'!O8*E4</f>
        <v>404663.23773338797</v>
      </c>
      <c r="F5" s="67"/>
    </row>
    <row r="6" spans="2:9" x14ac:dyDescent="0.35">
      <c r="B6" t="s">
        <v>153</v>
      </c>
      <c r="C6" s="15">
        <f>'Cost Ratios'!O8-C5</f>
        <v>411407.62502894446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Economies of Scale</vt:lpstr>
      <vt:lpstr>Economies of Scale (2)</vt:lpstr>
      <vt:lpstr>Economies of Scope</vt:lpstr>
      <vt:lpstr>Economies of Scope (2)</vt:lpstr>
      <vt:lpstr>CEA </vt:lpstr>
      <vt:lpstr>CEA.</vt:lpstr>
      <vt:lpstr>Cost Ratios</vt:lpstr>
      <vt:lpstr>Cost Drivers</vt:lpstr>
      <vt:lpstr>Sensitivity analysis</vt:lpstr>
      <vt:lpstr>Sensitivity analysis.</vt:lpstr>
      <vt:lpstr>Total Budget</vt:lpstr>
      <vt:lpstr>Pediatrician</vt:lpstr>
      <vt:lpstr>GP or MO</vt:lpstr>
      <vt:lpstr>WBOT</vt:lpstr>
      <vt:lpstr>WBOT + Sampling</vt:lpstr>
      <vt:lpstr>Labour</vt:lpstr>
      <vt:lpstr>Food</vt:lpstr>
      <vt:lpstr>PZQ and ALB</vt:lpstr>
      <vt:lpstr>Lab Tests</vt:lpstr>
      <vt:lpstr>Mobile Clinic</vt:lpstr>
    </vt:vector>
  </TitlesOfParts>
  <Company>University of Kwa-Zulu Natal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2019-09-28T06:48:30Z</dcterms:created>
  <dcterms:modified xsi:type="dcterms:W3CDTF">2021-03-17T08:01:43Z</dcterms:modified>
</cp:coreProperties>
</file>