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shared files\nature paper\"/>
    </mc:Choice>
  </mc:AlternateContent>
  <xr:revisionPtr revIDLastSave="0" documentId="13_ncr:1_{461B0062-F6E3-4E8E-915A-A14FC334CD37}" xr6:coauthVersionLast="47" xr6:coauthVersionMax="47" xr10:uidLastSave="{00000000-0000-0000-0000-000000000000}"/>
  <bookViews>
    <workbookView xWindow="-120" yWindow="-120" windowWidth="29040" windowHeight="15720" xr2:uid="{FEC1568F-547F-44F4-8997-2D982855E3B2}"/>
  </bookViews>
  <sheets>
    <sheet name="Ecoinvent valu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9" i="2" l="1"/>
  <c r="D159" i="2"/>
  <c r="D155" i="2"/>
  <c r="D154" i="2"/>
  <c r="D153" i="2"/>
  <c r="D141" i="2"/>
  <c r="D143" i="2" s="1"/>
  <c r="D51" i="2" l="1"/>
  <c r="E51" i="2" s="1"/>
  <c r="D50" i="2"/>
  <c r="E50" i="2" s="1"/>
  <c r="D49" i="2"/>
  <c r="E49" i="2" s="1"/>
  <c r="D48" i="2"/>
  <c r="E48" i="2" s="1"/>
  <c r="E62" i="2" s="1"/>
  <c r="E83" i="2" s="1"/>
  <c r="E68" i="2" l="1"/>
  <c r="E89" i="2" s="1"/>
  <c r="E69" i="2"/>
  <c r="E90" i="2" s="1"/>
  <c r="E66" i="2"/>
  <c r="E87" i="2" s="1"/>
  <c r="E53" i="2"/>
  <c r="D53" i="2"/>
  <c r="C113" i="2" l="1"/>
  <c r="C114" i="2" s="1"/>
  <c r="C110" i="2"/>
  <c r="C122" i="2"/>
  <c r="C116" i="2"/>
  <c r="C117" i="2" s="1"/>
  <c r="C70" i="2"/>
  <c r="D44" i="2"/>
  <c r="E42" i="2" s="1"/>
  <c r="F66" i="2" s="1"/>
  <c r="F87" i="2" s="1"/>
  <c r="C111" i="2" l="1"/>
  <c r="C108" i="2" s="1"/>
  <c r="C91" i="2"/>
  <c r="E70" i="2"/>
  <c r="D70" i="2"/>
  <c r="C107" i="2"/>
  <c r="E40" i="2"/>
  <c r="E41" i="2"/>
  <c r="F67" i="2" s="1"/>
  <c r="F88" i="2" s="1"/>
  <c r="E91" i="2" l="1"/>
  <c r="E78" i="2"/>
  <c r="F70" i="2"/>
  <c r="F91" i="2" s="1"/>
  <c r="D91" i="2"/>
  <c r="F62" i="2"/>
  <c r="E44" i="2"/>
  <c r="F78" i="2" l="1"/>
  <c r="F83" i="2"/>
  <c r="E98" i="2"/>
  <c r="E105" i="2"/>
  <c r="E103" i="2" l="1"/>
  <c r="F98" i="2"/>
  <c r="F105" i="2"/>
  <c r="E34" i="2"/>
  <c r="C64" i="2" s="1"/>
  <c r="C85" i="2" s="1"/>
  <c r="E33" i="2"/>
  <c r="C65" i="2" s="1"/>
  <c r="E32" i="2"/>
  <c r="C66" i="2" s="1"/>
  <c r="E30" i="2"/>
  <c r="C63" i="2" s="1"/>
  <c r="E29" i="2"/>
  <c r="C74" i="2" s="1"/>
  <c r="D66" i="2" l="1"/>
  <c r="D87" i="2" s="1"/>
  <c r="C87" i="2"/>
  <c r="F103" i="2"/>
  <c r="C84" i="2"/>
  <c r="D63" i="2"/>
  <c r="D84" i="2" s="1"/>
  <c r="D65" i="2"/>
  <c r="D86" i="2" s="1"/>
  <c r="C86" i="2"/>
  <c r="D74" i="2"/>
  <c r="D95" i="2" s="1"/>
  <c r="C95" i="2"/>
  <c r="D64" i="2"/>
  <c r="D85" i="2" s="1"/>
  <c r="E36" i="2"/>
  <c r="D78" i="2" l="1"/>
  <c r="D98" i="2" s="1"/>
  <c r="D103" i="2" s="1"/>
  <c r="D105" i="2" l="1"/>
  <c r="D20" i="2" l="1"/>
  <c r="C71" i="2" s="1"/>
  <c r="C92" i="2" s="1"/>
  <c r="D22" i="2"/>
  <c r="S18" i="2"/>
  <c r="C72" i="2" l="1"/>
  <c r="D36" i="2"/>
  <c r="C78" i="2" l="1"/>
  <c r="C105" i="2" s="1"/>
  <c r="C93" i="2"/>
  <c r="C98" i="2" l="1"/>
  <c r="C103" i="2" l="1"/>
</calcChain>
</file>

<file path=xl/sharedStrings.xml><?xml version="1.0" encoding="utf-8"?>
<sst xmlns="http://schemas.openxmlformats.org/spreadsheetml/2006/main" count="145" uniqueCount="86">
  <si>
    <t>sand (gneiss)</t>
  </si>
  <si>
    <t>metakaolin</t>
  </si>
  <si>
    <t>deionized water</t>
  </si>
  <si>
    <t>KOH</t>
  </si>
  <si>
    <t xml:space="preserve"> kg CO2-Eq/kg</t>
  </si>
  <si>
    <t>Electricity consumption</t>
  </si>
  <si>
    <t>Machines consumption</t>
  </si>
  <si>
    <t>Primary sand</t>
  </si>
  <si>
    <t>avoided landfill</t>
  </si>
  <si>
    <t>Total:</t>
  </si>
  <si>
    <t xml:space="preserve"> 'market for potassium hydroxide production - GLO - potassium hydroxide'</t>
  </si>
  <si>
    <t xml:space="preserve"> 'market for activated silica production - GLO - sodium sulfate, anhydrite'</t>
  </si>
  <si>
    <t xml:space="preserve"> 'market for water, deionised - CH - water, deionised'</t>
  </si>
  <si>
    <t xml:space="preserve"> 'market for calcined clay production - GLO - calcined clay'</t>
  </si>
  <si>
    <t xml:space="preserve"> 'market for sand - CH - sand'</t>
  </si>
  <si>
    <t xml:space="preserve"> 'market for inert waste, for final disposal - RoW - inert waste, for final disposal'</t>
  </si>
  <si>
    <t>Mix design</t>
  </si>
  <si>
    <t>kg per m3 Product</t>
  </si>
  <si>
    <t>kWh/kg</t>
  </si>
  <si>
    <t>kWh/m3</t>
  </si>
  <si>
    <t>Electricity, medium voltage (CH) | market for | Alloc Def, U</t>
  </si>
  <si>
    <t xml:space="preserve"> kg CO2-Eq/kwh</t>
  </si>
  <si>
    <t xml:space="preserve">Energy consumptions of 3D printing </t>
  </si>
  <si>
    <t>Values from literature:</t>
  </si>
  <si>
    <t>1. Dry mixer (Powder)</t>
  </si>
  <si>
    <t>2. Electricity consumption</t>
  </si>
  <si>
    <t>3. Machines consumption</t>
  </si>
  <si>
    <t>1. From 
"How to improve the cradle-to-gate environmental and economic sustainability in limebased construction materials? Answers from a real-life case-study Agustin Laveglia"
https://doi.org/10.1016/j.dibe.2023.100186</t>
  </si>
  <si>
    <t>2. and 3. From "Life cycle assessment of 3D printing geopolymer concrete An ex-ante study"  https://doi.org/10.1111/jiec.12930</t>
  </si>
  <si>
    <t xml:space="preserve"> </t>
  </si>
  <si>
    <t>kg per kg Product</t>
  </si>
  <si>
    <t>Density (g/cm3)</t>
  </si>
  <si>
    <t>tot</t>
  </si>
  <si>
    <t>(202 kWh/4.46 m3 functional unit)--&gt;</t>
  </si>
  <si>
    <t>(11.5 kWh/4.46 m3 functional unit)--&gt;</t>
  </si>
  <si>
    <t>Sodium silicate:</t>
  </si>
  <si>
    <t>cement-lime</t>
  </si>
  <si>
    <t>earth</t>
  </si>
  <si>
    <t>Clay</t>
  </si>
  <si>
    <t>Cement</t>
  </si>
  <si>
    <t xml:space="preserve">sand </t>
  </si>
  <si>
    <t>clay</t>
  </si>
  <si>
    <t xml:space="preserve">Mix design Geopolymer composites  </t>
  </si>
  <si>
    <t>Mix design Earth Plaster</t>
  </si>
  <si>
    <t>Geopolymer plaster (Quarry waste)</t>
  </si>
  <si>
    <t>3D printed geopolymer tiles</t>
  </si>
  <si>
    <t xml:space="preserve"> 'market for Clay - Row'</t>
  </si>
  <si>
    <t>silica gel</t>
  </si>
  <si>
    <t>Embodied emissions in geopolymer composites 1kg (kg CO2-Eq)</t>
  </si>
  <si>
    <t>Embodied emissions in geopolymer composites 1m3 (kg CO2-Eq)</t>
  </si>
  <si>
    <t>lime-cement mortr</t>
  </si>
  <si>
    <t>Embodied emissions in geopolymer composites 1m2 coveed with 4cm (kg CO2-Eq)</t>
  </si>
  <si>
    <t>1m2</t>
  </si>
  <si>
    <t>1 m2 of 3DP geopolymer composite TYLES 4cm thick</t>
  </si>
  <si>
    <t>kg</t>
  </si>
  <si>
    <t xml:space="preserve"> geopolymer plaster 4cm: kg/m2</t>
  </si>
  <si>
    <t>earth plaster</t>
  </si>
  <si>
    <t>GEOPOLYMER TILE GEOMETRY</t>
  </si>
  <si>
    <t>V/covered A</t>
  </si>
  <si>
    <t>Aexp/Acovered</t>
  </si>
  <si>
    <t>kg/m2</t>
  </si>
  <si>
    <t>m3/m2</t>
  </si>
  <si>
    <t>cement-lime plaster 4cm: kg/m2</t>
  </si>
  <si>
    <t>Dry mix of powder</t>
  </si>
  <si>
    <t>Silica gel</t>
  </si>
  <si>
    <t xml:space="preserve">Potassium hydroxide </t>
  </si>
  <si>
    <t>Water</t>
  </si>
  <si>
    <t>Air Lime</t>
  </si>
  <si>
    <t>Mix design Lime-Cement Plaster ( https://doi.org/10.3390/infrastructures6010011)</t>
  </si>
  <si>
    <t>Air lime</t>
  </si>
  <si>
    <t xml:space="preserve"> 'market cement, Portland- Ch- Cement &amp; concrete'</t>
  </si>
  <si>
    <t xml:space="preserve"> 'market for Lime, packed - CH - Minerals, cement &amp; concrete'</t>
  </si>
  <si>
    <t>.</t>
  </si>
  <si>
    <t xml:space="preserve"> 'market for reinforcing steel - GLO - reinforcing steel'</t>
  </si>
  <si>
    <t>Geopolymer plaster (Quarry waste)*</t>
  </si>
  <si>
    <t>*Contribution of metal fastening: 0.37 kg of fastening per m2 of tiles applied</t>
  </si>
  <si>
    <t>lime-cement mortar</t>
  </si>
  <si>
    <t>Dehumidification</t>
  </si>
  <si>
    <t>kg/h</t>
  </si>
  <si>
    <t>kW/l</t>
  </si>
  <si>
    <t>https://www.puravent.co.uk/pub/media/resources/brand-pdfs/DT210_DT400_DT450_brochure_page.pdf</t>
  </si>
  <si>
    <t>https://ek-teknikk.no/wp-content/uploads/2016/07/ENG_Technical-Manual_ID-SP-rev06.pdf</t>
  </si>
  <si>
    <t>Averages:</t>
  </si>
  <si>
    <t>LCI values</t>
  </si>
  <si>
    <t>Mechanical system 1</t>
  </si>
  <si>
    <t>Mechanical system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</si>
</sst>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"/>
    <numFmt numFmtId="167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6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7" xfId="0" applyBorder="1"/>
    <xf numFmtId="164" fontId="0" fillId="0" borderId="0" xfId="0" applyNumberFormat="1"/>
    <xf numFmtId="0" fontId="0" fillId="0" borderId="8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horizontal="left" vertical="top"/>
    </xf>
    <xf numFmtId="2" fontId="0" fillId="3" borderId="5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 vertical="center"/>
    </xf>
    <xf numFmtId="2" fontId="0" fillId="3" borderId="7" xfId="0" applyNumberFormat="1" applyFill="1" applyBorder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horizontal="center" vertical="center"/>
    </xf>
    <xf numFmtId="0" fontId="0" fillId="3" borderId="2" xfId="0" applyFill="1" applyBorder="1"/>
    <xf numFmtId="2" fontId="0" fillId="3" borderId="4" xfId="0" applyNumberFormat="1" applyFill="1" applyBorder="1"/>
    <xf numFmtId="0" fontId="0" fillId="3" borderId="5" xfId="0" applyFill="1" applyBorder="1"/>
    <xf numFmtId="2" fontId="0" fillId="3" borderId="6" xfId="0" applyNumberForma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4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2" fontId="0" fillId="3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 vertical="center"/>
    </xf>
    <xf numFmtId="1" fontId="0" fillId="0" borderId="0" xfId="0" applyNumberFormat="1"/>
    <xf numFmtId="2" fontId="0" fillId="3" borderId="1" xfId="0" applyNumberFormat="1" applyFill="1" applyBorder="1"/>
    <xf numFmtId="2" fontId="1" fillId="3" borderId="2" xfId="0" applyNumberFormat="1" applyFont="1" applyFill="1" applyBorder="1" applyAlignment="1">
      <alignment horizontal="center" vertical="center" wrapText="1"/>
    </xf>
    <xf numFmtId="0" fontId="0" fillId="3" borderId="3" xfId="0" applyFill="1" applyBorder="1"/>
    <xf numFmtId="1" fontId="1" fillId="3" borderId="8" xfId="0" applyNumberFormat="1" applyFont="1" applyFill="1" applyBorder="1" applyAlignment="1">
      <alignment horizontal="center"/>
    </xf>
    <xf numFmtId="2" fontId="0" fillId="5" borderId="4" xfId="0" applyNumberFormat="1" applyFill="1" applyBorder="1"/>
    <xf numFmtId="0" fontId="0" fillId="5" borderId="0" xfId="0" applyFill="1"/>
    <xf numFmtId="2" fontId="0" fillId="5" borderId="0" xfId="0" applyNumberFormat="1" applyFill="1" applyAlignment="1">
      <alignment horizontal="center" vertical="center"/>
    </xf>
    <xf numFmtId="0" fontId="0" fillId="5" borderId="5" xfId="0" applyFill="1" applyBorder="1"/>
    <xf numFmtId="166" fontId="0" fillId="3" borderId="0" xfId="0" applyNumberFormat="1" applyFill="1" applyAlignment="1">
      <alignment horizontal="center" vertical="center"/>
    </xf>
    <xf numFmtId="0" fontId="0" fillId="4" borderId="9" xfId="0" applyFill="1" applyBorder="1"/>
    <xf numFmtId="2" fontId="0" fillId="4" borderId="10" xfId="0" applyNumberFormat="1" applyFill="1" applyBorder="1"/>
    <xf numFmtId="0" fontId="1" fillId="7" borderId="2" xfId="0" applyFont="1" applyFill="1" applyBorder="1" applyAlignment="1">
      <alignment horizontal="center" wrapText="1"/>
    </xf>
    <xf numFmtId="2" fontId="0" fillId="7" borderId="0" xfId="0" applyNumberFormat="1" applyFill="1" applyAlignment="1">
      <alignment horizontal="center"/>
    </xf>
    <xf numFmtId="1" fontId="1" fillId="7" borderId="7" xfId="0" applyNumberFormat="1" applyFont="1" applyFill="1" applyBorder="1" applyAlignment="1">
      <alignment horizontal="center"/>
    </xf>
    <xf numFmtId="164" fontId="1" fillId="7" borderId="7" xfId="0" applyNumberFormat="1" applyFont="1" applyFill="1" applyBorder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1" fillId="6" borderId="1" xfId="0" applyFont="1" applyFill="1" applyBorder="1"/>
    <xf numFmtId="0" fontId="0" fillId="6" borderId="2" xfId="0" applyFill="1" applyBorder="1"/>
    <xf numFmtId="0" fontId="0" fillId="6" borderId="3" xfId="0" applyFill="1" applyBorder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167" fontId="0" fillId="7" borderId="0" xfId="0" applyNumberFormat="1" applyFill="1" applyAlignment="1">
      <alignment horizontal="center"/>
    </xf>
    <xf numFmtId="0" fontId="0" fillId="2" borderId="4" xfId="0" applyFill="1" applyBorder="1" applyAlignment="1">
      <alignment horizontal="left" vertical="top"/>
    </xf>
    <xf numFmtId="2" fontId="0" fillId="2" borderId="0" xfId="0" applyNumberFormat="1" applyFill="1" applyAlignment="1">
      <alignment horizontal="center"/>
    </xf>
    <xf numFmtId="2" fontId="0" fillId="7" borderId="0" xfId="0" applyNumberFormat="1" applyFill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" fontId="2" fillId="0" borderId="0" xfId="0" applyNumberFormat="1" applyFont="1"/>
    <xf numFmtId="166" fontId="1" fillId="7" borderId="7" xfId="0" applyNumberFormat="1" applyFont="1" applyFill="1" applyBorder="1" applyAlignment="1">
      <alignment horizontal="center"/>
    </xf>
    <xf numFmtId="166" fontId="0" fillId="7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/>
    </xf>
    <xf numFmtId="166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5" fontId="0" fillId="0" borderId="0" xfId="0" applyNumberFormat="1"/>
    <xf numFmtId="0" fontId="0" fillId="0" borderId="0" xfId="0" quotePrefix="1" applyAlignment="1">
      <alignment horizontal="left" vertical="top"/>
    </xf>
    <xf numFmtId="0" fontId="0" fillId="8" borderId="0" xfId="0" applyFill="1"/>
    <xf numFmtId="0" fontId="0" fillId="8" borderId="0" xfId="0" applyFill="1" applyAlignment="1">
      <alignment horizontal="left" vertical="top"/>
    </xf>
    <xf numFmtId="2" fontId="0" fillId="0" borderId="0" xfId="0" applyNumberFormat="1" applyAlignment="1">
      <alignment horizontal="center" vertical="center"/>
    </xf>
    <xf numFmtId="164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167" fontId="0" fillId="3" borderId="0" xfId="0" applyNumberFormat="1" applyFill="1"/>
    <xf numFmtId="167" fontId="0" fillId="3" borderId="0" xfId="0" applyNumberFormat="1" applyFill="1" applyAlignment="1">
      <alignment horizontal="center"/>
    </xf>
    <xf numFmtId="2" fontId="0" fillId="9" borderId="4" xfId="0" applyNumberFormat="1" applyFill="1" applyBorder="1"/>
    <xf numFmtId="0" fontId="0" fillId="9" borderId="0" xfId="0" applyFill="1"/>
    <xf numFmtId="2" fontId="0" fillId="9" borderId="0" xfId="0" applyNumberFormat="1" applyFill="1" applyAlignment="1">
      <alignment horizontal="center" vertical="center"/>
    </xf>
    <xf numFmtId="0" fontId="0" fillId="9" borderId="5" xfId="0" applyFill="1" applyBorder="1"/>
    <xf numFmtId="0" fontId="0" fillId="0" borderId="1" xfId="0" applyBorder="1"/>
    <xf numFmtId="0" fontId="0" fillId="0" borderId="3" xfId="0" applyBorder="1"/>
    <xf numFmtId="166" fontId="0" fillId="0" borderId="4" xfId="0" applyNumberFormat="1" applyBorder="1"/>
    <xf numFmtId="2" fontId="0" fillId="6" borderId="4" xfId="0" applyNumberFormat="1" applyFill="1" applyBorder="1"/>
    <xf numFmtId="0" fontId="0" fillId="6" borderId="5" xfId="0" applyFill="1" applyBorder="1"/>
    <xf numFmtId="0" fontId="0" fillId="0" borderId="4" xfId="0" applyBorder="1"/>
    <xf numFmtId="166" fontId="0" fillId="0" borderId="6" xfId="0" applyNumberFormat="1" applyBorder="1"/>
    <xf numFmtId="0" fontId="0" fillId="0" borderId="2" xfId="0" applyBorder="1"/>
    <xf numFmtId="0" fontId="0" fillId="0" borderId="0" xfId="0" applyBorder="1"/>
    <xf numFmtId="0" fontId="0" fillId="6" borderId="0" xfId="0" applyFill="1" applyBorder="1"/>
    <xf numFmtId="0" fontId="3" fillId="0" borderId="4" xfId="1" applyBorder="1"/>
    <xf numFmtId="0" fontId="0" fillId="0" borderId="6" xfId="0" applyBorder="1"/>
    <xf numFmtId="166" fontId="0" fillId="0" borderId="1" xfId="0" applyNumberFormat="1" applyBorder="1"/>
    <xf numFmtId="0" fontId="0" fillId="9" borderId="1" xfId="0" applyFill="1" applyBorder="1"/>
    <xf numFmtId="0" fontId="0" fillId="9" borderId="3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124</xdr:row>
      <xdr:rowOff>85079</xdr:rowOff>
    </xdr:from>
    <xdr:to>
      <xdr:col>2</xdr:col>
      <xdr:colOff>468630</xdr:colOff>
      <xdr:row>135</xdr:row>
      <xdr:rowOff>162401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A5FF09-B2CB-4F0D-9D75-C4262E206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4156659"/>
          <a:ext cx="6238875" cy="21080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114300</xdr:rowOff>
    </xdr:from>
    <xdr:to>
      <xdr:col>2</xdr:col>
      <xdr:colOff>1053944</xdr:colOff>
      <xdr:row>166</xdr:row>
      <xdr:rowOff>86688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3D3777-A7F3-4A07-BA0C-ADDA399DD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380440"/>
          <a:ext cx="6967064" cy="5496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k-teknikk.no/wp-content/uploads/2016/07/ENG_Technical-Manual_ID-SP-rev06.pdf" TargetMode="External"/><Relationship Id="rId1" Type="http://schemas.openxmlformats.org/officeDocument/2006/relationships/hyperlink" Target="https://www.puravent.co.uk/pub/media/resources/brand-pdfs/DT210_DT400_DT450_brochure_pa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E45F-52EE-4540-9BBC-CB2F470BBB0F}">
  <dimension ref="A1:AD168"/>
  <sheetViews>
    <sheetView tabSelected="1" topLeftCell="A137" zoomScaleNormal="70" workbookViewId="0">
      <selection activeCell="E150" sqref="E150"/>
    </sheetView>
  </sheetViews>
  <sheetFormatPr defaultRowHeight="15" x14ac:dyDescent="0.25"/>
  <cols>
    <col min="1" max="1" width="15.5703125" bestFit="1" customWidth="1"/>
    <col min="2" max="2" width="70.7109375" style="8" bestFit="1" customWidth="1"/>
    <col min="3" max="3" width="18.28515625" customWidth="1"/>
    <col min="4" max="4" width="27.85546875" bestFit="1" customWidth="1"/>
    <col min="5" max="5" width="17.7109375" bestFit="1" customWidth="1"/>
    <col min="6" max="6" width="9.42578125" customWidth="1"/>
    <col min="7" max="8" width="17.7109375" customWidth="1"/>
    <col min="9" max="9" width="9.5703125" bestFit="1" customWidth="1"/>
    <col min="11" max="28" width="20" customWidth="1"/>
  </cols>
  <sheetData>
    <row r="1" spans="1:5" s="70" customFormat="1" x14ac:dyDescent="0.25">
      <c r="A1" s="70" t="s">
        <v>83</v>
      </c>
      <c r="B1" s="71"/>
    </row>
    <row r="2" spans="1:5" x14ac:dyDescent="0.25">
      <c r="B2" s="7"/>
    </row>
    <row r="3" spans="1:5" x14ac:dyDescent="0.25">
      <c r="B3" s="8" t="s">
        <v>14</v>
      </c>
      <c r="D3" s="1">
        <v>5.0600000000000003E-3</v>
      </c>
      <c r="E3" t="s">
        <v>4</v>
      </c>
    </row>
    <row r="4" spans="1:5" x14ac:dyDescent="0.25">
      <c r="B4" s="8" t="s">
        <v>13</v>
      </c>
      <c r="D4" s="1">
        <v>0.27300000000000002</v>
      </c>
      <c r="E4" t="s">
        <v>4</v>
      </c>
    </row>
    <row r="5" spans="1:5" x14ac:dyDescent="0.25">
      <c r="B5" s="8" t="s">
        <v>15</v>
      </c>
      <c r="D5" s="1">
        <v>9.5499999999999995E-3</v>
      </c>
      <c r="E5" t="s">
        <v>4</v>
      </c>
    </row>
    <row r="6" spans="1:5" x14ac:dyDescent="0.25">
      <c r="B6" s="8" t="s">
        <v>12</v>
      </c>
      <c r="D6" s="68">
        <v>4.0200000000000001E-4</v>
      </c>
      <c r="E6" t="s">
        <v>4</v>
      </c>
    </row>
    <row r="7" spans="1:5" x14ac:dyDescent="0.25">
      <c r="B7" s="8" t="s">
        <v>10</v>
      </c>
      <c r="D7" s="1">
        <v>2.68</v>
      </c>
      <c r="E7" t="s">
        <v>4</v>
      </c>
    </row>
    <row r="8" spans="1:5" x14ac:dyDescent="0.25">
      <c r="B8" s="69" t="s">
        <v>11</v>
      </c>
      <c r="D8" s="1">
        <v>0.32500000000000001</v>
      </c>
      <c r="E8" t="s">
        <v>4</v>
      </c>
    </row>
    <row r="9" spans="1:5" x14ac:dyDescent="0.25">
      <c r="B9" s="69" t="s">
        <v>46</v>
      </c>
      <c r="D9" s="1">
        <v>1.1089999999999999E-2</v>
      </c>
      <c r="E9" t="s">
        <v>4</v>
      </c>
    </row>
    <row r="10" spans="1:5" x14ac:dyDescent="0.25">
      <c r="B10" s="69" t="s">
        <v>70</v>
      </c>
      <c r="D10" s="1">
        <v>0.73938000000000004</v>
      </c>
      <c r="E10" t="s">
        <v>4</v>
      </c>
    </row>
    <row r="11" spans="1:5" x14ac:dyDescent="0.25">
      <c r="B11" s="69" t="s">
        <v>71</v>
      </c>
      <c r="D11" s="1">
        <v>2.1301E-2</v>
      </c>
      <c r="E11" t="s">
        <v>4</v>
      </c>
    </row>
    <row r="12" spans="1:5" x14ac:dyDescent="0.25">
      <c r="B12" s="8" t="s">
        <v>73</v>
      </c>
      <c r="D12" s="1">
        <v>2.2000000000000002</v>
      </c>
      <c r="E12" t="s">
        <v>4</v>
      </c>
    </row>
    <row r="13" spans="1:5" x14ac:dyDescent="0.25">
      <c r="D13" s="1"/>
    </row>
    <row r="14" spans="1:5" x14ac:dyDescent="0.25">
      <c r="B14" s="7" t="s">
        <v>22</v>
      </c>
    </row>
    <row r="15" spans="1:5" x14ac:dyDescent="0.25">
      <c r="B15" s="8" t="s">
        <v>20</v>
      </c>
      <c r="D15">
        <v>3.8878000000000003E-2</v>
      </c>
      <c r="E15" t="s">
        <v>21</v>
      </c>
    </row>
    <row r="17" spans="1:25" x14ac:dyDescent="0.25">
      <c r="B17" s="8" t="s">
        <v>23</v>
      </c>
    </row>
    <row r="18" spans="1:25" x14ac:dyDescent="0.25">
      <c r="B18" t="s">
        <v>24</v>
      </c>
      <c r="D18">
        <v>4.0000000000000001E-3</v>
      </c>
      <c r="E18" t="s">
        <v>18</v>
      </c>
      <c r="G18" s="8" t="s">
        <v>27</v>
      </c>
      <c r="S18">
        <f>3000/4.43</f>
        <v>677.20090293453734</v>
      </c>
    </row>
    <row r="19" spans="1:25" x14ac:dyDescent="0.25">
      <c r="B19" t="s">
        <v>25</v>
      </c>
    </row>
    <row r="20" spans="1:25" x14ac:dyDescent="0.25">
      <c r="B20" s="30" t="s">
        <v>33</v>
      </c>
      <c r="D20" s="1">
        <f>202/4.46</f>
        <v>45.291479820627806</v>
      </c>
      <c r="E20" t="s">
        <v>19</v>
      </c>
      <c r="G20" t="s">
        <v>28</v>
      </c>
    </row>
    <row r="21" spans="1:25" x14ac:dyDescent="0.25">
      <c r="B21" t="s">
        <v>26</v>
      </c>
      <c r="D21" s="1"/>
      <c r="J21" s="8"/>
    </row>
    <row r="22" spans="1:25" x14ac:dyDescent="0.25">
      <c r="B22" s="30" t="s">
        <v>34</v>
      </c>
      <c r="D22" s="1">
        <f>11.5/4.46</f>
        <v>2.5784753363228701</v>
      </c>
      <c r="E22" t="s">
        <v>19</v>
      </c>
      <c r="J22" s="8"/>
    </row>
    <row r="23" spans="1:25" x14ac:dyDescent="0.25">
      <c r="B23"/>
    </row>
    <row r="26" spans="1:25" x14ac:dyDescent="0.25">
      <c r="A26" s="9" t="s">
        <v>16</v>
      </c>
      <c r="B26" s="10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s="25" customFormat="1" ht="30.6" customHeight="1" thickBot="1" x14ac:dyDescent="0.3">
      <c r="B27" s="6" t="s">
        <v>42</v>
      </c>
    </row>
    <row r="28" spans="1:25" ht="40.15" customHeight="1" thickBot="1" x14ac:dyDescent="0.3">
      <c r="B28" s="34"/>
      <c r="C28" s="16"/>
      <c r="D28" s="35" t="s">
        <v>30</v>
      </c>
      <c r="E28" s="35" t="s">
        <v>17</v>
      </c>
      <c r="F28" s="36"/>
      <c r="H28" s="43" t="s">
        <v>31</v>
      </c>
      <c r="I28" s="44">
        <v>1.8120000000000001</v>
      </c>
    </row>
    <row r="29" spans="1:25" x14ac:dyDescent="0.25">
      <c r="B29" s="17" t="s">
        <v>0</v>
      </c>
      <c r="C29" s="14"/>
      <c r="D29" s="15">
        <v>0.56100000000000005</v>
      </c>
      <c r="E29" s="32">
        <f>1812*D29</f>
        <v>1016.5320000000002</v>
      </c>
      <c r="F29" s="18"/>
      <c r="N29" s="4"/>
    </row>
    <row r="30" spans="1:25" x14ac:dyDescent="0.25">
      <c r="B30" s="17" t="s">
        <v>1</v>
      </c>
      <c r="C30" s="14"/>
      <c r="D30" s="15">
        <v>0.14030000000000001</v>
      </c>
      <c r="E30" s="32">
        <f>1812*D30</f>
        <v>254.2236</v>
      </c>
      <c r="F30" s="18"/>
      <c r="N30" s="4"/>
    </row>
    <row r="31" spans="1:25" x14ac:dyDescent="0.25">
      <c r="B31" s="77" t="s">
        <v>35</v>
      </c>
      <c r="C31" s="78"/>
      <c r="D31" s="79"/>
      <c r="E31" s="79"/>
      <c r="F31" s="80"/>
      <c r="H31" s="1"/>
      <c r="N31" s="4"/>
    </row>
    <row r="32" spans="1:25" x14ac:dyDescent="0.25">
      <c r="B32" s="38" t="s">
        <v>2</v>
      </c>
      <c r="C32" s="39"/>
      <c r="D32" s="40">
        <v>0.15830000000000002</v>
      </c>
      <c r="E32" s="40">
        <f>1812*D32</f>
        <v>286.83960000000002</v>
      </c>
      <c r="F32" s="41"/>
      <c r="N32" s="4"/>
    </row>
    <row r="33" spans="2:14" x14ac:dyDescent="0.25">
      <c r="B33" s="38" t="s">
        <v>3</v>
      </c>
      <c r="C33" s="39"/>
      <c r="D33" s="40">
        <v>7.5999999999999998E-2</v>
      </c>
      <c r="E33" s="40">
        <f>1812*D33</f>
        <v>137.71199999999999</v>
      </c>
      <c r="F33" s="41"/>
      <c r="H33" s="4"/>
      <c r="I33" s="1"/>
      <c r="N33" s="4"/>
    </row>
    <row r="34" spans="2:14" x14ac:dyDescent="0.25">
      <c r="B34" s="38" t="s">
        <v>47</v>
      </c>
      <c r="C34" s="39"/>
      <c r="D34" s="40">
        <v>6.4299999999999996E-2</v>
      </c>
      <c r="E34" s="40">
        <f>1812*D34</f>
        <v>116.51159999999999</v>
      </c>
      <c r="F34" s="41"/>
      <c r="H34" s="1"/>
      <c r="N34" s="4"/>
    </row>
    <row r="35" spans="2:14" x14ac:dyDescent="0.25">
      <c r="B35" s="17"/>
      <c r="C35" s="14"/>
      <c r="D35" s="12"/>
      <c r="E35" s="12"/>
      <c r="F35" s="18"/>
    </row>
    <row r="36" spans="2:14" x14ac:dyDescent="0.25">
      <c r="B36" s="17" t="s">
        <v>32</v>
      </c>
      <c r="C36" s="14"/>
      <c r="D36" s="42">
        <f>SUM(D29:D34)</f>
        <v>0.99990000000000001</v>
      </c>
      <c r="E36" s="32">
        <f>SUM(E29:E34)</f>
        <v>1811.8188000000002</v>
      </c>
      <c r="F36" s="18"/>
    </row>
    <row r="37" spans="2:14" ht="15.75" thickBot="1" x14ac:dyDescent="0.3">
      <c r="B37" s="19"/>
      <c r="C37" s="20"/>
      <c r="D37" s="13"/>
      <c r="E37" s="13"/>
      <c r="F37" s="21"/>
    </row>
    <row r="38" spans="2:14" ht="15.75" thickBot="1" x14ac:dyDescent="0.3">
      <c r="B38" s="6" t="s">
        <v>43</v>
      </c>
      <c r="C38" s="14"/>
      <c r="D38" s="15"/>
      <c r="E38" s="15"/>
      <c r="F38" s="14"/>
    </row>
    <row r="39" spans="2:14" ht="15.75" thickBot="1" x14ac:dyDescent="0.3">
      <c r="B39" s="34"/>
      <c r="C39" s="16"/>
      <c r="D39" s="35" t="s">
        <v>30</v>
      </c>
      <c r="E39" s="35" t="s">
        <v>17</v>
      </c>
      <c r="F39" s="36"/>
      <c r="H39" s="43" t="s">
        <v>31</v>
      </c>
      <c r="I39" s="44">
        <v>1.7430000000000001</v>
      </c>
    </row>
    <row r="40" spans="2:14" x14ac:dyDescent="0.25">
      <c r="B40" s="17" t="s">
        <v>40</v>
      </c>
      <c r="C40" s="14"/>
      <c r="D40" s="15">
        <v>0.28999999999999998</v>
      </c>
      <c r="E40" s="32">
        <f>1743*D40*1/D44</f>
        <v>512.64705882352939</v>
      </c>
      <c r="F40" s="18"/>
    </row>
    <row r="41" spans="2:14" x14ac:dyDescent="0.25">
      <c r="B41" s="17" t="s">
        <v>41</v>
      </c>
      <c r="C41" s="14"/>
      <c r="D41" s="15">
        <v>0.57999999999999996</v>
      </c>
      <c r="E41" s="32">
        <f>1743*D41*1/D44</f>
        <v>1025.2941176470588</v>
      </c>
      <c r="F41" s="18"/>
    </row>
    <row r="42" spans="2:14" x14ac:dyDescent="0.25">
      <c r="B42" s="17" t="s">
        <v>2</v>
      </c>
      <c r="C42" s="14"/>
      <c r="D42" s="15">
        <v>0.11599999999999999</v>
      </c>
      <c r="E42" s="32">
        <f>1743*D42*1/D44</f>
        <v>205.05882352941177</v>
      </c>
      <c r="F42" s="18"/>
    </row>
    <row r="43" spans="2:14" x14ac:dyDescent="0.25">
      <c r="B43" s="17"/>
      <c r="C43" s="14"/>
      <c r="D43" s="15"/>
      <c r="E43" s="32"/>
      <c r="F43" s="18"/>
    </row>
    <row r="44" spans="2:14" x14ac:dyDescent="0.25">
      <c r="B44" s="17"/>
      <c r="C44" s="14"/>
      <c r="D44" s="42">
        <f>SUM(D40:D42)</f>
        <v>0.98599999999999988</v>
      </c>
      <c r="E44" s="32">
        <f>SUM(E40:E42)</f>
        <v>1743</v>
      </c>
      <c r="F44" s="18"/>
    </row>
    <row r="45" spans="2:14" ht="15.75" thickBot="1" x14ac:dyDescent="0.3">
      <c r="B45" s="19"/>
      <c r="C45" s="20"/>
      <c r="D45" s="13"/>
      <c r="E45" s="13"/>
      <c r="F45" s="21"/>
    </row>
    <row r="46" spans="2:14" ht="15.75" thickBot="1" x14ac:dyDescent="0.3">
      <c r="B46" s="6" t="s">
        <v>68</v>
      </c>
      <c r="C46" s="14"/>
      <c r="D46" s="15"/>
      <c r="E46" s="15"/>
      <c r="F46" s="14"/>
    </row>
    <row r="47" spans="2:14" ht="15.75" thickBot="1" x14ac:dyDescent="0.3">
      <c r="B47" s="34"/>
      <c r="C47" s="16"/>
      <c r="D47" s="35" t="s">
        <v>30</v>
      </c>
      <c r="E47" s="35" t="s">
        <v>17</v>
      </c>
      <c r="F47" s="36"/>
      <c r="H47" s="43" t="s">
        <v>31</v>
      </c>
      <c r="I47" s="44">
        <v>1.88</v>
      </c>
    </row>
    <row r="48" spans="2:14" x14ac:dyDescent="0.25">
      <c r="B48" s="17" t="s">
        <v>40</v>
      </c>
      <c r="C48" s="14"/>
      <c r="D48" s="15">
        <f>2.3078/3.3</f>
        <v>0.69933333333333336</v>
      </c>
      <c r="E48" s="32">
        <f>1880*D48</f>
        <v>1314.7466666666667</v>
      </c>
      <c r="F48" s="18"/>
    </row>
    <row r="49" spans="2:30" x14ac:dyDescent="0.25">
      <c r="B49" s="17" t="s">
        <v>67</v>
      </c>
      <c r="C49" s="14"/>
      <c r="D49" s="15">
        <f>0.1768/3.3</f>
        <v>5.3575757575757582E-2</v>
      </c>
      <c r="E49" s="32">
        <f t="shared" ref="E49:E51" si="0">1880*D49</f>
        <v>100.72242424242425</v>
      </c>
      <c r="F49" s="18"/>
    </row>
    <row r="50" spans="2:30" x14ac:dyDescent="0.25">
      <c r="B50" s="17" t="s">
        <v>39</v>
      </c>
      <c r="C50" s="14"/>
      <c r="D50" s="15">
        <f>0.3048/3.3</f>
        <v>9.236363636363637E-2</v>
      </c>
      <c r="E50" s="32">
        <f t="shared" si="0"/>
        <v>173.64363636363638</v>
      </c>
      <c r="F50" s="18"/>
    </row>
    <row r="51" spans="2:30" x14ac:dyDescent="0.25">
      <c r="B51" s="17" t="s">
        <v>2</v>
      </c>
      <c r="C51" s="14"/>
      <c r="D51" s="15">
        <f>0.465/3.3</f>
        <v>0.14090909090909093</v>
      </c>
      <c r="E51" s="32">
        <f t="shared" si="0"/>
        <v>264.90909090909093</v>
      </c>
      <c r="F51" s="18"/>
    </row>
    <row r="52" spans="2:30" x14ac:dyDescent="0.25">
      <c r="B52" s="17"/>
      <c r="C52" s="14"/>
      <c r="D52" s="15"/>
      <c r="E52" s="32"/>
      <c r="F52" s="18"/>
    </row>
    <row r="53" spans="2:30" x14ac:dyDescent="0.25">
      <c r="B53" s="17" t="s">
        <v>32</v>
      </c>
      <c r="C53" s="14"/>
      <c r="D53" s="42">
        <f>SUM(D48:D51)</f>
        <v>0.98618181818181827</v>
      </c>
      <c r="E53" s="32">
        <f>SUM(E48:E51)</f>
        <v>1854.0218181818184</v>
      </c>
      <c r="F53" s="18"/>
    </row>
    <row r="54" spans="2:30" ht="15.75" thickBot="1" x14ac:dyDescent="0.3">
      <c r="B54" s="19"/>
      <c r="C54" s="20"/>
      <c r="D54" s="13"/>
      <c r="E54" s="13"/>
      <c r="F54" s="21"/>
      <c r="K54" s="2"/>
      <c r="L54" s="33"/>
    </row>
    <row r="55" spans="2:30" x14ac:dyDescent="0.25">
      <c r="B55" s="1"/>
      <c r="C55" s="1"/>
      <c r="D55" s="72"/>
    </row>
    <row r="56" spans="2:30" x14ac:dyDescent="0.25">
      <c r="B56" s="1"/>
      <c r="C56" s="1"/>
      <c r="D56" s="72"/>
    </row>
    <row r="57" spans="2:30" x14ac:dyDescent="0.25">
      <c r="B57" s="1"/>
      <c r="C57" s="1"/>
      <c r="D57" s="72"/>
    </row>
    <row r="58" spans="2:30" x14ac:dyDescent="0.25">
      <c r="B58" s="1"/>
      <c r="D58" s="72"/>
    </row>
    <row r="59" spans="2:30" ht="30.6" customHeight="1" thickBot="1" x14ac:dyDescent="0.3">
      <c r="B59" s="6" t="s">
        <v>49</v>
      </c>
    </row>
    <row r="60" spans="2:30" s="26" customFormat="1" ht="30" x14ac:dyDescent="0.25">
      <c r="B60" s="27"/>
      <c r="C60" s="45" t="s">
        <v>45</v>
      </c>
      <c r="D60" s="45" t="s">
        <v>44</v>
      </c>
      <c r="E60" s="28" t="s">
        <v>76</v>
      </c>
      <c r="F60" s="28" t="s">
        <v>37</v>
      </c>
      <c r="G60" s="29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2:30" x14ac:dyDescent="0.25">
      <c r="B61" s="22"/>
      <c r="C61" s="46"/>
      <c r="D61" s="46"/>
      <c r="E61" s="31"/>
      <c r="F61" s="31"/>
      <c r="G61" s="11"/>
    </row>
    <row r="62" spans="2:30" x14ac:dyDescent="0.25">
      <c r="B62" s="22" t="s">
        <v>7</v>
      </c>
      <c r="C62" s="46"/>
      <c r="D62" s="46"/>
      <c r="E62" s="46">
        <f>E48*D3</f>
        <v>6.6526181333333341</v>
      </c>
      <c r="F62" s="46">
        <f>E40*D3</f>
        <v>2.5939941176470587</v>
      </c>
      <c r="G62" s="11"/>
    </row>
    <row r="63" spans="2:30" x14ac:dyDescent="0.25">
      <c r="B63" s="22" t="s">
        <v>1</v>
      </c>
      <c r="C63" s="46">
        <f>E30*D4</f>
        <v>69.403042800000009</v>
      </c>
      <c r="D63" s="46">
        <f>C63</f>
        <v>69.403042800000009</v>
      </c>
      <c r="E63" s="14"/>
      <c r="F63" s="14"/>
      <c r="G63" s="11"/>
    </row>
    <row r="64" spans="2:30" x14ac:dyDescent="0.25">
      <c r="B64" s="22" t="s">
        <v>64</v>
      </c>
      <c r="C64" s="46">
        <f>+(E34*D8)</f>
        <v>37.86627</v>
      </c>
      <c r="D64" s="46">
        <f t="shared" ref="D64:D65" si="1">C64</f>
        <v>37.86627</v>
      </c>
      <c r="E64" s="24"/>
      <c r="F64" s="24"/>
      <c r="G64" s="11"/>
    </row>
    <row r="65" spans="2:10" x14ac:dyDescent="0.25">
      <c r="B65" s="22" t="s">
        <v>65</v>
      </c>
      <c r="C65" s="46">
        <f>+(E33*D7)</f>
        <v>369.06815999999998</v>
      </c>
      <c r="D65" s="46">
        <f t="shared" si="1"/>
        <v>369.06815999999998</v>
      </c>
      <c r="E65" s="24"/>
      <c r="F65" s="24"/>
      <c r="G65" s="11"/>
    </row>
    <row r="66" spans="2:10" x14ac:dyDescent="0.25">
      <c r="B66" s="22" t="s">
        <v>66</v>
      </c>
      <c r="C66" s="46">
        <f>(E32*D6)</f>
        <v>0.11530951920000002</v>
      </c>
      <c r="D66" s="46">
        <f>C66</f>
        <v>0.11530951920000002</v>
      </c>
      <c r="E66" s="46">
        <f>E51*D6</f>
        <v>0.10649345454545456</v>
      </c>
      <c r="F66" s="46">
        <f>E42*D6</f>
        <v>8.2433647058823528E-2</v>
      </c>
      <c r="G66" s="11"/>
    </row>
    <row r="67" spans="2:10" x14ac:dyDescent="0.25">
      <c r="B67" s="57" t="s">
        <v>38</v>
      </c>
      <c r="C67" s="58"/>
      <c r="D67" s="58"/>
      <c r="E67" s="58"/>
      <c r="F67" s="58">
        <f>E41*D9</f>
        <v>11.370511764705881</v>
      </c>
      <c r="G67" s="11"/>
    </row>
    <row r="68" spans="2:10" x14ac:dyDescent="0.25">
      <c r="B68" s="57" t="s">
        <v>69</v>
      </c>
      <c r="C68" s="58"/>
      <c r="D68" s="58"/>
      <c r="E68" s="58">
        <f>E49*D11</f>
        <v>2.1454883587878792</v>
      </c>
      <c r="F68" s="58"/>
      <c r="G68" s="11"/>
    </row>
    <row r="69" spans="2:10" x14ac:dyDescent="0.25">
      <c r="B69" s="57" t="s">
        <v>39</v>
      </c>
      <c r="C69" s="58"/>
      <c r="D69" s="58"/>
      <c r="E69" s="58">
        <f>E51*D10</f>
        <v>195.86848363636366</v>
      </c>
      <c r="F69" s="58"/>
      <c r="G69" s="11"/>
    </row>
    <row r="70" spans="2:10" x14ac:dyDescent="0.25">
      <c r="B70" s="22" t="s">
        <v>63</v>
      </c>
      <c r="C70" s="46">
        <f>D18*D15*1812</f>
        <v>0.28178774400000001</v>
      </c>
      <c r="D70" s="46">
        <f>C70</f>
        <v>0.28178774400000001</v>
      </c>
      <c r="E70" s="46">
        <f>C70</f>
        <v>0.28178774400000001</v>
      </c>
      <c r="F70" s="46">
        <f>D70</f>
        <v>0.28178774400000001</v>
      </c>
      <c r="G70" s="11"/>
    </row>
    <row r="71" spans="2:10" x14ac:dyDescent="0.25">
      <c r="B71" s="22" t="s">
        <v>5</v>
      </c>
      <c r="C71" s="46">
        <f>D20*D15</f>
        <v>1.760842152466368</v>
      </c>
      <c r="D71" s="46"/>
      <c r="E71" s="24"/>
      <c r="F71" s="24"/>
      <c r="G71" s="11"/>
    </row>
    <row r="72" spans="2:10" x14ac:dyDescent="0.25">
      <c r="B72" s="22" t="s">
        <v>6</v>
      </c>
      <c r="C72" s="46">
        <f>D22*D15</f>
        <v>0.10024596412556055</v>
      </c>
      <c r="D72" s="46"/>
      <c r="E72" s="24"/>
      <c r="F72" s="24"/>
      <c r="G72" s="11"/>
    </row>
    <row r="73" spans="2:10" x14ac:dyDescent="0.25">
      <c r="B73" s="22"/>
      <c r="C73" s="46"/>
      <c r="D73" s="46"/>
      <c r="E73" s="24"/>
      <c r="F73" s="24"/>
      <c r="G73" s="11"/>
      <c r="J73" t="s">
        <v>29</v>
      </c>
    </row>
    <row r="74" spans="2:10" x14ac:dyDescent="0.25">
      <c r="B74" s="22" t="s">
        <v>8</v>
      </c>
      <c r="C74" s="46">
        <f>-E29*D5</f>
        <v>-9.7078806000000011</v>
      </c>
      <c r="D74" s="46">
        <f>C74</f>
        <v>-9.7078806000000011</v>
      </c>
      <c r="E74" s="24"/>
      <c r="F74" s="24"/>
      <c r="G74" s="11"/>
      <c r="H74" t="s">
        <v>29</v>
      </c>
    </row>
    <row r="75" spans="2:10" x14ac:dyDescent="0.25">
      <c r="B75" s="22"/>
      <c r="C75" s="24"/>
      <c r="D75" s="24"/>
      <c r="E75" s="24"/>
      <c r="F75" s="24"/>
      <c r="G75" s="11"/>
    </row>
    <row r="76" spans="2:10" x14ac:dyDescent="0.25">
      <c r="B76" s="22"/>
      <c r="C76" s="24"/>
      <c r="D76" s="24"/>
      <c r="E76" s="24"/>
      <c r="F76" s="24"/>
      <c r="G76" s="11"/>
      <c r="I76" t="s">
        <v>29</v>
      </c>
    </row>
    <row r="77" spans="2:10" x14ac:dyDescent="0.25">
      <c r="B77" s="22"/>
      <c r="C77" s="49"/>
      <c r="D77" s="49"/>
      <c r="E77" s="49"/>
      <c r="F77" s="49"/>
      <c r="G77" s="11"/>
    </row>
    <row r="78" spans="2:10" ht="15.75" thickBot="1" x14ac:dyDescent="0.3">
      <c r="B78" s="23" t="s">
        <v>9</v>
      </c>
      <c r="C78" s="47">
        <f>SUM(C61:C75)</f>
        <v>468.88777757979193</v>
      </c>
      <c r="D78" s="47">
        <f>SUM(D61:D75)</f>
        <v>467.0266894632</v>
      </c>
      <c r="E78" s="47">
        <f>SUM(E61:E75)</f>
        <v>205.05487132703036</v>
      </c>
      <c r="F78" s="47">
        <f>SUM(F61:F75)</f>
        <v>14.328727273411763</v>
      </c>
      <c r="G78" s="37"/>
      <c r="H78" s="33"/>
    </row>
    <row r="79" spans="2:10" x14ac:dyDescent="0.25">
      <c r="C79" s="33"/>
      <c r="D79" s="33"/>
      <c r="E79" s="33"/>
      <c r="F79" s="33"/>
      <c r="G79" s="33"/>
      <c r="H79" s="33"/>
    </row>
    <row r="80" spans="2:10" ht="15.75" thickBot="1" x14ac:dyDescent="0.3">
      <c r="B80" s="6" t="s">
        <v>48</v>
      </c>
    </row>
    <row r="81" spans="2:8" ht="30" x14ac:dyDescent="0.25">
      <c r="B81" s="27"/>
      <c r="C81" s="45" t="s">
        <v>45</v>
      </c>
      <c r="D81" s="45" t="s">
        <v>44</v>
      </c>
      <c r="E81" s="28" t="s">
        <v>36</v>
      </c>
      <c r="F81" s="28" t="s">
        <v>37</v>
      </c>
      <c r="G81" s="29"/>
    </row>
    <row r="82" spans="2:8" x14ac:dyDescent="0.25">
      <c r="B82" s="22"/>
      <c r="C82" s="46"/>
      <c r="D82" s="46"/>
      <c r="E82" s="31"/>
      <c r="F82" s="31"/>
      <c r="G82" s="11"/>
    </row>
    <row r="83" spans="2:8" x14ac:dyDescent="0.25">
      <c r="B83" s="22" t="s">
        <v>7</v>
      </c>
      <c r="C83" s="46"/>
      <c r="D83" s="46"/>
      <c r="E83" s="73">
        <f>E62/1880</f>
        <v>3.5386266666666672E-3</v>
      </c>
      <c r="F83" s="73">
        <f>F62/1743</f>
        <v>1.488235294117647E-3</v>
      </c>
      <c r="G83" s="11"/>
    </row>
    <row r="84" spans="2:8" x14ac:dyDescent="0.25">
      <c r="B84" s="22" t="s">
        <v>1</v>
      </c>
      <c r="C84" s="59">
        <f>C63/1812</f>
        <v>3.8301900000000007E-2</v>
      </c>
      <c r="D84" s="59">
        <f>D63/1812</f>
        <v>3.8301900000000007E-2</v>
      </c>
      <c r="E84" s="75"/>
      <c r="F84" s="75"/>
      <c r="G84" s="11"/>
    </row>
    <row r="85" spans="2:8" x14ac:dyDescent="0.25">
      <c r="B85" s="22" t="s">
        <v>64</v>
      </c>
      <c r="C85" s="59">
        <f t="shared" ref="C85:D95" si="2">C64/1812</f>
        <v>2.0897499999999999E-2</v>
      </c>
      <c r="D85" s="59">
        <f t="shared" si="2"/>
        <v>2.0897499999999999E-2</v>
      </c>
      <c r="E85" s="76"/>
      <c r="F85" s="76"/>
      <c r="G85" s="11"/>
    </row>
    <row r="86" spans="2:8" x14ac:dyDescent="0.25">
      <c r="B86" s="22" t="s">
        <v>65</v>
      </c>
      <c r="C86" s="59">
        <f t="shared" si="2"/>
        <v>0.20368</v>
      </c>
      <c r="D86" s="59">
        <f t="shared" si="2"/>
        <v>0.20368</v>
      </c>
      <c r="E86" s="76"/>
      <c r="F86" s="76"/>
      <c r="G86" s="11"/>
    </row>
    <row r="87" spans="2:8" x14ac:dyDescent="0.25">
      <c r="B87" s="22" t="s">
        <v>66</v>
      </c>
      <c r="C87" s="60">
        <f t="shared" si="2"/>
        <v>6.3636600000000013E-5</v>
      </c>
      <c r="D87" s="60">
        <f>D66/1812</f>
        <v>6.3636600000000013E-5</v>
      </c>
      <c r="E87" s="56">
        <f>E66/1880</f>
        <v>5.664545454545455E-5</v>
      </c>
      <c r="F87" s="56">
        <f>F66/1743</f>
        <v>4.7294117647058821E-5</v>
      </c>
      <c r="G87" s="11"/>
    </row>
    <row r="88" spans="2:8" x14ac:dyDescent="0.25">
      <c r="B88" s="57" t="s">
        <v>38</v>
      </c>
      <c r="C88" s="61"/>
      <c r="D88" s="61"/>
      <c r="E88" s="58"/>
      <c r="F88" s="58">
        <f>F67/1743</f>
        <v>6.5235294117647049E-3</v>
      </c>
      <c r="G88" s="11"/>
    </row>
    <row r="89" spans="2:8" x14ac:dyDescent="0.25">
      <c r="B89" s="57" t="s">
        <v>69</v>
      </c>
      <c r="C89" s="61"/>
      <c r="D89" s="61"/>
      <c r="E89" s="58">
        <f>E68/1880</f>
        <v>1.1412172121212124E-3</v>
      </c>
      <c r="F89" s="58"/>
      <c r="G89" s="11"/>
    </row>
    <row r="90" spans="2:8" x14ac:dyDescent="0.25">
      <c r="B90" s="57" t="s">
        <v>39</v>
      </c>
      <c r="C90" s="61"/>
      <c r="D90" s="61"/>
      <c r="E90" s="58">
        <f>E69/1880</f>
        <v>0.10418536363636365</v>
      </c>
      <c r="F90" s="58"/>
      <c r="G90" s="11"/>
    </row>
    <row r="91" spans="2:8" x14ac:dyDescent="0.25">
      <c r="B91" s="22" t="s">
        <v>63</v>
      </c>
      <c r="C91" s="60">
        <f t="shared" si="2"/>
        <v>1.5551200000000001E-4</v>
      </c>
      <c r="D91" s="60">
        <f>D70/1812</f>
        <v>1.5551200000000001E-4</v>
      </c>
      <c r="E91" s="74">
        <f>E70/1880</f>
        <v>1.4988709787234044E-4</v>
      </c>
      <c r="F91" s="74">
        <f>F70/1743</f>
        <v>1.6166824096385543E-4</v>
      </c>
      <c r="G91" s="11"/>
    </row>
    <row r="92" spans="2:8" x14ac:dyDescent="0.25">
      <c r="B92" s="22" t="s">
        <v>5</v>
      </c>
      <c r="C92" s="60">
        <f t="shared" si="2"/>
        <v>9.7176719231035764E-4</v>
      </c>
      <c r="D92" s="60"/>
      <c r="E92" s="24"/>
      <c r="F92" s="24"/>
      <c r="G92" s="11"/>
    </row>
    <row r="93" spans="2:8" x14ac:dyDescent="0.25">
      <c r="B93" s="22" t="s">
        <v>6</v>
      </c>
      <c r="C93" s="60">
        <f t="shared" si="2"/>
        <v>5.5323379760243135E-5</v>
      </c>
      <c r="D93" s="60"/>
      <c r="E93" s="24"/>
      <c r="F93" s="24"/>
      <c r="G93" s="11"/>
      <c r="H93" t="s">
        <v>29</v>
      </c>
    </row>
    <row r="94" spans="2:8" x14ac:dyDescent="0.25">
      <c r="B94" s="22"/>
      <c r="C94" s="60"/>
      <c r="D94" s="60"/>
      <c r="E94" s="24"/>
      <c r="F94" s="24"/>
      <c r="G94" s="11"/>
    </row>
    <row r="95" spans="2:8" x14ac:dyDescent="0.25">
      <c r="B95" s="22" t="s">
        <v>8</v>
      </c>
      <c r="C95" s="60">
        <f t="shared" si="2"/>
        <v>-5.3575500000000009E-3</v>
      </c>
      <c r="D95" s="60">
        <f>D74/1812</f>
        <v>-5.3575500000000009E-3</v>
      </c>
      <c r="E95" s="24"/>
      <c r="F95" s="24"/>
      <c r="G95" s="11"/>
    </row>
    <row r="96" spans="2:8" x14ac:dyDescent="0.25">
      <c r="B96" s="22"/>
      <c r="C96" s="24"/>
      <c r="D96" s="24"/>
      <c r="E96" s="24"/>
      <c r="F96" s="24"/>
      <c r="G96" s="11"/>
    </row>
    <row r="97" spans="2:7" x14ac:dyDescent="0.25">
      <c r="B97" s="22"/>
      <c r="C97" s="24"/>
      <c r="D97" s="24"/>
      <c r="E97" s="24"/>
      <c r="F97" s="24"/>
      <c r="G97" s="11"/>
    </row>
    <row r="98" spans="2:7" ht="15.75" thickBot="1" x14ac:dyDescent="0.3">
      <c r="B98" s="23" t="s">
        <v>9</v>
      </c>
      <c r="C98" s="48">
        <f>SUM(C82:C95)</f>
        <v>0.25876808917207061</v>
      </c>
      <c r="D98" s="48">
        <f>D78/1812</f>
        <v>0.25774099859999999</v>
      </c>
      <c r="E98" s="48">
        <f>E78/1880</f>
        <v>0.10907174006756934</v>
      </c>
      <c r="F98" s="48">
        <f>F78/1743</f>
        <v>8.2207270644932655E-3</v>
      </c>
      <c r="G98" s="37"/>
    </row>
    <row r="100" spans="2:7" ht="15.75" thickBot="1" x14ac:dyDescent="0.3">
      <c r="B100" s="6" t="s">
        <v>51</v>
      </c>
    </row>
    <row r="101" spans="2:7" ht="30" x14ac:dyDescent="0.25">
      <c r="B101" s="27"/>
      <c r="C101" s="45" t="s">
        <v>45</v>
      </c>
      <c r="D101" s="45" t="s">
        <v>74</v>
      </c>
      <c r="E101" s="28" t="s">
        <v>50</v>
      </c>
      <c r="F101" s="28" t="s">
        <v>37</v>
      </c>
      <c r="G101" s="29"/>
    </row>
    <row r="102" spans="2:7" x14ac:dyDescent="0.25">
      <c r="B102" s="22"/>
      <c r="C102" s="46"/>
      <c r="D102" s="64"/>
      <c r="E102" s="65"/>
      <c r="F102" s="65"/>
      <c r="G102" s="11"/>
    </row>
    <row r="103" spans="2:7" ht="15.75" thickBot="1" x14ac:dyDescent="0.3">
      <c r="B103" s="23" t="s">
        <v>9</v>
      </c>
      <c r="C103" s="63">
        <f>C98*C108+0.815</f>
        <v>7.7621819789554714</v>
      </c>
      <c r="D103" s="63">
        <f>D98*C111</f>
        <v>18.681067578528001</v>
      </c>
      <c r="E103" s="63">
        <f>E98*C114</f>
        <v>8.202194853081215</v>
      </c>
      <c r="F103" s="63">
        <f>F98*C117</f>
        <v>0.57314909093647048</v>
      </c>
      <c r="G103" s="37"/>
    </row>
    <row r="104" spans="2:7" x14ac:dyDescent="0.25">
      <c r="C104" s="66"/>
      <c r="D104" t="s">
        <v>75</v>
      </c>
      <c r="E104" s="66"/>
      <c r="F104" s="66"/>
      <c r="G104" s="67"/>
    </row>
    <row r="105" spans="2:7" ht="15.75" thickBot="1" x14ac:dyDescent="0.3">
      <c r="C105" s="62">
        <f>C78*C107</f>
        <v>6.9471819789554718</v>
      </c>
      <c r="D105" s="62">
        <f>D78*C110</f>
        <v>18.681067578528001</v>
      </c>
      <c r="E105" s="62">
        <f>C110*E78</f>
        <v>8.202194853081215</v>
      </c>
      <c r="F105" s="62">
        <f>C110*F78</f>
        <v>0.5731490909364706</v>
      </c>
    </row>
    <row r="106" spans="2:7" x14ac:dyDescent="0.25">
      <c r="B106" s="50"/>
      <c r="C106" s="51"/>
      <c r="D106" s="52" t="s">
        <v>52</v>
      </c>
    </row>
    <row r="107" spans="2:7" x14ac:dyDescent="0.25">
      <c r="B107" s="53" t="s">
        <v>53</v>
      </c>
      <c r="C107" s="1">
        <f>C121*C110</f>
        <v>1.4816300000000001E-2</v>
      </c>
      <c r="D107" s="54" t="s">
        <v>61</v>
      </c>
    </row>
    <row r="108" spans="2:7" x14ac:dyDescent="0.25">
      <c r="B108" s="53"/>
      <c r="C108" s="1">
        <f>C121*C111</f>
        <v>26.847135600000001</v>
      </c>
      <c r="D108" s="54" t="s">
        <v>60</v>
      </c>
    </row>
    <row r="109" spans="2:7" x14ac:dyDescent="0.25">
      <c r="B109" s="53"/>
      <c r="D109" s="54"/>
    </row>
    <row r="110" spans="2:7" x14ac:dyDescent="0.25">
      <c r="B110" s="53" t="s">
        <v>55</v>
      </c>
      <c r="C110">
        <f>0.04</f>
        <v>0.04</v>
      </c>
      <c r="D110" s="54" t="s">
        <v>61</v>
      </c>
    </row>
    <row r="111" spans="2:7" x14ac:dyDescent="0.25">
      <c r="B111" s="53"/>
      <c r="C111">
        <f>C110*1812</f>
        <v>72.48</v>
      </c>
      <c r="D111" s="54" t="s">
        <v>60</v>
      </c>
    </row>
    <row r="112" spans="2:7" x14ac:dyDescent="0.25">
      <c r="B112" s="53"/>
      <c r="D112" s="54"/>
    </row>
    <row r="113" spans="1:25" x14ac:dyDescent="0.25">
      <c r="B113" s="53" t="s">
        <v>62</v>
      </c>
      <c r="C113">
        <f>0.04</f>
        <v>0.04</v>
      </c>
      <c r="D113" s="54" t="s">
        <v>61</v>
      </c>
    </row>
    <row r="114" spans="1:25" x14ac:dyDescent="0.25">
      <c r="B114" s="53"/>
      <c r="C114">
        <f>C113*1880</f>
        <v>75.2</v>
      </c>
      <c r="D114" s="54" t="s">
        <v>60</v>
      </c>
    </row>
    <row r="115" spans="1:25" x14ac:dyDescent="0.25">
      <c r="B115" s="53"/>
      <c r="D115" s="54"/>
    </row>
    <row r="116" spans="1:25" x14ac:dyDescent="0.25">
      <c r="B116" s="53" t="s">
        <v>56</v>
      </c>
      <c r="C116">
        <f>0.04</f>
        <v>0.04</v>
      </c>
      <c r="D116" s="54" t="s">
        <v>61</v>
      </c>
    </row>
    <row r="117" spans="1:25" ht="15.75" thickBot="1" x14ac:dyDescent="0.3">
      <c r="B117" s="55"/>
      <c r="C117" s="3">
        <f>C116*1743</f>
        <v>69.72</v>
      </c>
      <c r="D117" s="5" t="s">
        <v>60</v>
      </c>
    </row>
    <row r="118" spans="1:25" x14ac:dyDescent="0.25">
      <c r="B118" s="2"/>
    </row>
    <row r="119" spans="1:25" x14ac:dyDescent="0.25">
      <c r="B119" s="2"/>
      <c r="F119" t="s">
        <v>72</v>
      </c>
    </row>
    <row r="120" spans="1:25" x14ac:dyDescent="0.25">
      <c r="B120" s="2" t="s">
        <v>57</v>
      </c>
    </row>
    <row r="121" spans="1:25" x14ac:dyDescent="0.25">
      <c r="B121" t="s">
        <v>58</v>
      </c>
      <c r="C121">
        <v>0.3704075</v>
      </c>
    </row>
    <row r="122" spans="1:25" x14ac:dyDescent="0.25">
      <c r="B122" t="s">
        <v>59</v>
      </c>
      <c r="C122">
        <f>172068/40000</f>
        <v>4.3017000000000003</v>
      </c>
    </row>
    <row r="124" spans="1:25" x14ac:dyDescent="0.25">
      <c r="A124" s="9" t="s">
        <v>77</v>
      </c>
      <c r="B124" s="10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x14ac:dyDescent="0.25">
      <c r="B125"/>
    </row>
    <row r="126" spans="1:25" ht="15.75" thickBot="1" x14ac:dyDescent="0.3">
      <c r="B126"/>
      <c r="D126" t="s">
        <v>84</v>
      </c>
    </row>
    <row r="127" spans="1:25" x14ac:dyDescent="0.25">
      <c r="B127"/>
      <c r="D127" s="81">
        <v>0.6</v>
      </c>
      <c r="E127" s="88" t="s">
        <v>78</v>
      </c>
      <c r="F127" s="88"/>
      <c r="G127" s="88"/>
      <c r="H127" s="88"/>
      <c r="I127" s="82"/>
    </row>
    <row r="128" spans="1:25" x14ac:dyDescent="0.25">
      <c r="B128"/>
      <c r="D128" s="86">
        <v>1.1000000000000001</v>
      </c>
      <c r="E128" s="89" t="s">
        <v>79</v>
      </c>
      <c r="F128" s="89"/>
      <c r="G128" s="89"/>
      <c r="H128" s="89"/>
      <c r="I128" s="54"/>
    </row>
    <row r="129" spans="2:9" x14ac:dyDescent="0.25">
      <c r="B129"/>
      <c r="D129" s="84">
        <f>D128/D127</f>
        <v>1.8333333333333335</v>
      </c>
      <c r="E129" s="90" t="s">
        <v>79</v>
      </c>
      <c r="F129" s="89"/>
      <c r="G129" s="89"/>
      <c r="H129" s="89"/>
      <c r="I129" s="54"/>
    </row>
    <row r="130" spans="2:9" x14ac:dyDescent="0.25">
      <c r="B130"/>
      <c r="D130" s="91" t="s">
        <v>80</v>
      </c>
      <c r="E130" s="89"/>
      <c r="F130" s="89"/>
      <c r="G130" s="89"/>
      <c r="H130" s="89"/>
      <c r="I130" s="54"/>
    </row>
    <row r="131" spans="2:9" x14ac:dyDescent="0.25">
      <c r="B131"/>
      <c r="D131" s="86"/>
      <c r="E131" s="89"/>
      <c r="F131" s="89"/>
      <c r="G131" s="89"/>
      <c r="H131" s="89"/>
      <c r="I131" s="54"/>
    </row>
    <row r="132" spans="2:9" ht="15.75" thickBot="1" x14ac:dyDescent="0.3">
      <c r="B132"/>
      <c r="D132" s="92">
        <v>16.5</v>
      </c>
      <c r="E132" s="3" t="s">
        <v>54</v>
      </c>
      <c r="F132" s="3"/>
      <c r="G132" s="3"/>
      <c r="H132" s="3"/>
      <c r="I132" s="5"/>
    </row>
    <row r="133" spans="2:9" x14ac:dyDescent="0.25">
      <c r="B133"/>
    </row>
    <row r="134" spans="2:9" x14ac:dyDescent="0.25">
      <c r="B134"/>
    </row>
    <row r="135" spans="2:9" x14ac:dyDescent="0.25">
      <c r="B135"/>
    </row>
    <row r="136" spans="2:9" x14ac:dyDescent="0.25">
      <c r="B136"/>
    </row>
    <row r="137" spans="2:9" x14ac:dyDescent="0.25">
      <c r="B137"/>
    </row>
    <row r="138" spans="2:9" x14ac:dyDescent="0.25">
      <c r="B138"/>
    </row>
    <row r="139" spans="2:9" x14ac:dyDescent="0.25">
      <c r="B139"/>
    </row>
    <row r="140" spans="2:9" ht="15.75" thickBot="1" x14ac:dyDescent="0.3">
      <c r="B140"/>
      <c r="D140" t="s">
        <v>85</v>
      </c>
    </row>
    <row r="141" spans="2:9" x14ac:dyDescent="0.25">
      <c r="B141"/>
      <c r="D141" s="93">
        <f>128/24</f>
        <v>5.333333333333333</v>
      </c>
      <c r="E141" s="88" t="s">
        <v>78</v>
      </c>
      <c r="F141" s="88"/>
      <c r="G141" s="88"/>
      <c r="H141" s="88"/>
      <c r="I141" s="82"/>
    </row>
    <row r="142" spans="2:9" x14ac:dyDescent="0.25">
      <c r="B142"/>
      <c r="D142" s="86">
        <v>1.4</v>
      </c>
      <c r="E142" s="89" t="s">
        <v>79</v>
      </c>
      <c r="F142" s="89"/>
      <c r="G142" s="89"/>
      <c r="H142" s="89"/>
      <c r="I142" s="54"/>
    </row>
    <row r="143" spans="2:9" x14ac:dyDescent="0.25">
      <c r="B143"/>
      <c r="D143" s="84">
        <f>D142/D141</f>
        <v>0.26250000000000001</v>
      </c>
      <c r="E143" s="90" t="s">
        <v>79</v>
      </c>
      <c r="F143" s="89"/>
      <c r="G143" s="89"/>
      <c r="H143" s="89"/>
      <c r="I143" s="54"/>
    </row>
    <row r="144" spans="2:9" x14ac:dyDescent="0.25">
      <c r="B144"/>
      <c r="D144" s="91" t="s">
        <v>81</v>
      </c>
      <c r="E144" s="89"/>
      <c r="F144" s="89"/>
      <c r="G144" s="89"/>
      <c r="H144" s="89"/>
      <c r="I144" s="54"/>
    </row>
    <row r="145" spans="2:9" x14ac:dyDescent="0.25">
      <c r="B145"/>
      <c r="D145" s="86"/>
      <c r="E145" s="89"/>
      <c r="F145" s="89"/>
      <c r="G145" s="89"/>
      <c r="H145" s="89"/>
      <c r="I145" s="54"/>
    </row>
    <row r="146" spans="2:9" x14ac:dyDescent="0.25">
      <c r="B146"/>
      <c r="D146" s="86"/>
      <c r="E146" s="89"/>
      <c r="F146" s="89"/>
      <c r="G146" s="89"/>
      <c r="H146" s="89"/>
      <c r="I146" s="54"/>
    </row>
    <row r="147" spans="2:9" ht="15.75" thickBot="1" x14ac:dyDescent="0.3">
      <c r="B147"/>
      <c r="D147" s="92">
        <v>100</v>
      </c>
      <c r="E147" s="3" t="s">
        <v>54</v>
      </c>
      <c r="F147" s="3"/>
      <c r="G147" s="3"/>
      <c r="H147" s="3"/>
      <c r="I147" s="5"/>
    </row>
    <row r="148" spans="2:9" x14ac:dyDescent="0.25">
      <c r="B148"/>
    </row>
    <row r="149" spans="2:9" x14ac:dyDescent="0.25">
      <c r="B149"/>
    </row>
    <row r="150" spans="2:9" x14ac:dyDescent="0.25">
      <c r="B150"/>
    </row>
    <row r="151" spans="2:9" ht="15.75" thickBot="1" x14ac:dyDescent="0.3">
      <c r="B151"/>
    </row>
    <row r="152" spans="2:9" x14ac:dyDescent="0.25">
      <c r="B152"/>
      <c r="D152" s="94" t="s">
        <v>82</v>
      </c>
      <c r="E152" s="95"/>
    </row>
    <row r="153" spans="2:9" x14ac:dyDescent="0.25">
      <c r="B153"/>
      <c r="D153" s="83">
        <f>AVERAGE(D141,D127)</f>
        <v>2.9666666666666663</v>
      </c>
      <c r="E153" s="54" t="s">
        <v>78</v>
      </c>
    </row>
    <row r="154" spans="2:9" x14ac:dyDescent="0.25">
      <c r="B154"/>
      <c r="D154" s="83">
        <f>AVERAGE(D142,D128)</f>
        <v>1.25</v>
      </c>
      <c r="E154" s="54" t="s">
        <v>79</v>
      </c>
    </row>
    <row r="155" spans="2:9" x14ac:dyDescent="0.25">
      <c r="B155"/>
      <c r="D155" s="84">
        <f>AVERAGE(D143,D129)</f>
        <v>1.0479166666666668</v>
      </c>
      <c r="E155" s="85" t="s">
        <v>79</v>
      </c>
    </row>
    <row r="156" spans="2:9" x14ac:dyDescent="0.25">
      <c r="B156"/>
      <c r="D156" s="86"/>
      <c r="E156" s="54"/>
    </row>
    <row r="157" spans="2:9" x14ac:dyDescent="0.25">
      <c r="B157"/>
      <c r="D157" s="86"/>
      <c r="E157" s="54"/>
    </row>
    <row r="158" spans="2:9" x14ac:dyDescent="0.25">
      <c r="B158"/>
      <c r="D158" s="86"/>
      <c r="E158" s="54"/>
    </row>
    <row r="159" spans="2:9" ht="15.75" thickBot="1" x14ac:dyDescent="0.3">
      <c r="B159"/>
      <c r="D159" s="87">
        <f>AVERAGE(D147,D132)</f>
        <v>58.25</v>
      </c>
      <c r="E159" s="5" t="s">
        <v>54</v>
      </c>
    </row>
    <row r="160" spans="2:9" x14ac:dyDescent="0.25">
      <c r="B160"/>
      <c r="D160" s="2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</sheetData>
  <hyperlinks>
    <hyperlink ref="D130" r:id="rId1" xr:uid="{15F8524E-5371-478C-A37A-F64D869FBD92}"/>
    <hyperlink ref="D144" r:id="rId2" xr:uid="{93762945-1E0C-4153-8C06-74EBD8EF9B1C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Ecoinvent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Posani  Magda</dc:creator>
  <cp:lastModifiedBy>Posani  Magda</cp:lastModifiedBy>
  <dcterms:created xsi:type="dcterms:W3CDTF">2023-07-18T14:38:18Z</dcterms:created>
  <dcterms:modified xsi:type="dcterms:W3CDTF">2023-10-10T14:22:20Z</dcterms:modified>
</cp:coreProperties>
</file>