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olyn/Desktop/"/>
    </mc:Choice>
  </mc:AlternateContent>
  <xr:revisionPtr revIDLastSave="0" documentId="13_ncr:1_{55C8A3C5-6F7B-AF48-9B9D-3D304E0D4D0C}" xr6:coauthVersionLast="45" xr6:coauthVersionMax="45" xr10:uidLastSave="{00000000-0000-0000-0000-000000000000}"/>
  <bookViews>
    <workbookView xWindow="2380" yWindow="-26240" windowWidth="34800" windowHeight="25680" xr2:uid="{D890D6DC-291F-7548-AB4E-EF987FD6ED38}"/>
  </bookViews>
  <sheets>
    <sheet name="Scenario details" sheetId="2" r:id="rId1"/>
    <sheet name="Cost inputs Individual " sheetId="3" r:id="rId2"/>
    <sheet name="Cost inputs combination" sheetId="4" r:id="rId3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30" i="4" l="1"/>
  <c r="C29" i="3"/>
  <c r="C104" i="3"/>
  <c r="C79" i="3"/>
  <c r="C55" i="3"/>
  <c r="C31" i="3"/>
  <c r="C106" i="3"/>
  <c r="C81" i="3"/>
  <c r="C57" i="3"/>
  <c r="C32" i="4"/>
  <c r="C155" i="4"/>
  <c r="C127" i="4"/>
  <c r="C97" i="4"/>
  <c r="C66" i="4"/>
  <c r="C153" i="4"/>
  <c r="C125" i="4"/>
  <c r="C95" i="4"/>
  <c r="C64" i="4"/>
  <c r="C31" i="4"/>
  <c r="C34" i="4"/>
  <c r="C157" i="4"/>
  <c r="C129" i="4"/>
  <c r="C99" i="4"/>
  <c r="C68" i="4"/>
  <c r="C33" i="3"/>
  <c r="C108" i="3"/>
  <c r="C83" i="3"/>
  <c r="C59" i="3"/>
  <c r="N76" i="4"/>
  <c r="N12" i="4"/>
  <c r="R9" i="3"/>
  <c r="R65" i="3"/>
  <c r="R94" i="3"/>
  <c r="P14" i="3"/>
  <c r="R95" i="3"/>
  <c r="P95" i="3"/>
  <c r="R67" i="3"/>
  <c r="P67" i="3"/>
  <c r="R43" i="3"/>
  <c r="P43" i="3"/>
  <c r="R14" i="3"/>
  <c r="N14" i="4"/>
  <c r="P139" i="4"/>
  <c r="N139" i="4"/>
  <c r="P109" i="4"/>
  <c r="N109" i="4"/>
  <c r="P78" i="4"/>
  <c r="N78" i="4"/>
  <c r="P44" i="4"/>
  <c r="N44" i="4"/>
  <c r="P14" i="4"/>
  <c r="J13" i="4"/>
  <c r="J108" i="4"/>
  <c r="J138" i="4"/>
  <c r="E134" i="4"/>
  <c r="J134" i="4"/>
  <c r="E104" i="4"/>
  <c r="J104" i="4"/>
  <c r="E39" i="4"/>
  <c r="E73" i="4"/>
  <c r="J73" i="4"/>
  <c r="J39" i="4"/>
  <c r="E9" i="4"/>
  <c r="J9" i="4"/>
  <c r="E38" i="3"/>
  <c r="E92" i="3"/>
  <c r="J92" i="3"/>
  <c r="E64" i="3"/>
  <c r="J64" i="3"/>
  <c r="J38" i="3"/>
  <c r="E9" i="3"/>
  <c r="J9" i="3"/>
  <c r="E11" i="3"/>
  <c r="E40" i="3"/>
  <c r="E66" i="3"/>
  <c r="E94" i="3"/>
  <c r="J94" i="3"/>
  <c r="E11" i="4"/>
  <c r="J11" i="4"/>
  <c r="E41" i="4"/>
  <c r="J41" i="4"/>
  <c r="E75" i="4"/>
  <c r="J75" i="4"/>
  <c r="E106" i="4"/>
  <c r="J106" i="4"/>
  <c r="E136" i="4"/>
  <c r="J136" i="4"/>
  <c r="E93" i="3"/>
  <c r="E65" i="3"/>
  <c r="J66" i="3"/>
  <c r="J40" i="3"/>
  <c r="J11" i="3"/>
  <c r="E12" i="4"/>
  <c r="E137" i="4"/>
  <c r="J137" i="4"/>
  <c r="E107" i="4"/>
  <c r="E105" i="4"/>
  <c r="E135" i="4"/>
  <c r="J135" i="4"/>
  <c r="E40" i="4"/>
  <c r="E74" i="4"/>
  <c r="J74" i="4"/>
  <c r="J40" i="4"/>
  <c r="E10" i="4"/>
  <c r="J10" i="4"/>
  <c r="J93" i="3"/>
  <c r="J65" i="3"/>
  <c r="E39" i="3"/>
  <c r="J39" i="3"/>
  <c r="E10" i="3"/>
  <c r="J10" i="3"/>
  <c r="J107" i="4"/>
  <c r="J12" i="4"/>
  <c r="E41" i="3"/>
  <c r="J41" i="3"/>
  <c r="Q150" i="4"/>
  <c r="O150" i="4"/>
  <c r="K150" i="4"/>
  <c r="F150" i="4"/>
  <c r="Q122" i="4"/>
  <c r="O122" i="4"/>
  <c r="K122" i="4"/>
  <c r="F122" i="4"/>
  <c r="Q92" i="4"/>
  <c r="O92" i="4"/>
  <c r="K92" i="4"/>
  <c r="F92" i="4"/>
  <c r="Q61" i="4"/>
  <c r="O61" i="4"/>
  <c r="K61" i="4"/>
  <c r="F61" i="4"/>
  <c r="O28" i="4"/>
  <c r="Q28" i="4"/>
  <c r="K28" i="4"/>
  <c r="F28" i="4"/>
  <c r="S102" i="3"/>
  <c r="Q102" i="3"/>
  <c r="K102" i="3"/>
  <c r="F102" i="3"/>
  <c r="S77" i="3"/>
  <c r="Q77" i="3"/>
  <c r="K77" i="3"/>
  <c r="F77" i="3"/>
  <c r="S53" i="3"/>
  <c r="Q53" i="3"/>
  <c r="K53" i="3"/>
  <c r="F53" i="3"/>
  <c r="S27" i="3"/>
  <c r="Q27" i="3"/>
  <c r="K27" i="3"/>
  <c r="F27" i="3"/>
  <c r="P136" i="4"/>
  <c r="P135" i="4"/>
  <c r="P134" i="4"/>
  <c r="N136" i="4"/>
  <c r="N135" i="4"/>
  <c r="N134" i="4"/>
  <c r="P106" i="4"/>
  <c r="P105" i="4"/>
  <c r="P104" i="4"/>
  <c r="N106" i="4"/>
  <c r="N105" i="4"/>
  <c r="N104" i="4"/>
  <c r="P41" i="4"/>
  <c r="P40" i="4"/>
  <c r="P39" i="4"/>
  <c r="N41" i="4"/>
  <c r="N40" i="4"/>
  <c r="N39" i="4"/>
  <c r="P9" i="4"/>
  <c r="N9" i="4"/>
  <c r="J105" i="4"/>
  <c r="K47" i="4"/>
  <c r="K46" i="4"/>
  <c r="P11" i="4"/>
  <c r="P10" i="4"/>
  <c r="N11" i="4"/>
  <c r="N10" i="4"/>
  <c r="K81" i="4"/>
  <c r="K80" i="4"/>
  <c r="P75" i="4"/>
  <c r="P74" i="4"/>
  <c r="N75" i="4"/>
  <c r="N74" i="4"/>
  <c r="K18" i="4"/>
  <c r="K16" i="4"/>
  <c r="K17" i="3"/>
  <c r="K16" i="3"/>
  <c r="P16" i="3"/>
  <c r="Q16" i="3"/>
  <c r="Q14" i="3"/>
  <c r="P13" i="3"/>
  <c r="Q13" i="3"/>
  <c r="P12" i="3"/>
  <c r="Q12" i="3"/>
  <c r="Q9" i="3"/>
  <c r="P11" i="3"/>
  <c r="Q11" i="3"/>
  <c r="P10" i="3"/>
  <c r="Q10" i="3"/>
  <c r="F9" i="4"/>
  <c r="K9" i="4"/>
  <c r="L9" i="4"/>
  <c r="M9" i="4"/>
  <c r="O9" i="4"/>
  <c r="Q9" i="4"/>
  <c r="F10" i="4"/>
  <c r="K10" i="4"/>
  <c r="L10" i="4"/>
  <c r="M10" i="4"/>
  <c r="O10" i="4"/>
  <c r="Q10" i="4"/>
  <c r="F11" i="4"/>
  <c r="K11" i="4"/>
  <c r="L11" i="4"/>
  <c r="M11" i="4"/>
  <c r="O11" i="4"/>
  <c r="Q11" i="4"/>
  <c r="F12" i="4"/>
  <c r="K12" i="4"/>
  <c r="M12" i="4"/>
  <c r="O12" i="4"/>
  <c r="Q12" i="4"/>
  <c r="F13" i="4"/>
  <c r="K13" i="4"/>
  <c r="M13" i="4"/>
  <c r="O13" i="4"/>
  <c r="Q13" i="4"/>
  <c r="F14" i="4"/>
  <c r="K14" i="4"/>
  <c r="L14" i="4"/>
  <c r="M14" i="4"/>
  <c r="O14" i="4"/>
  <c r="Q14" i="4"/>
  <c r="F16" i="4"/>
  <c r="L16" i="4"/>
  <c r="M16" i="4"/>
  <c r="N16" i="4"/>
  <c r="O16" i="4"/>
  <c r="Q16" i="4"/>
  <c r="F17" i="4"/>
  <c r="K17" i="4"/>
  <c r="M17" i="4"/>
  <c r="O17" i="4"/>
  <c r="Q17" i="4"/>
  <c r="F18" i="4"/>
  <c r="L18" i="4"/>
  <c r="M18" i="4"/>
  <c r="N18" i="4"/>
  <c r="O18" i="4"/>
  <c r="Q18" i="4"/>
  <c r="F20" i="4"/>
  <c r="K20" i="4"/>
  <c r="M20" i="4"/>
  <c r="O20" i="4"/>
  <c r="Q20" i="4"/>
  <c r="F21" i="4"/>
  <c r="K21" i="4"/>
  <c r="M21" i="4"/>
  <c r="O21" i="4"/>
  <c r="Q21" i="4"/>
  <c r="F22" i="4"/>
  <c r="K22" i="4"/>
  <c r="M22" i="4"/>
  <c r="O22" i="4"/>
  <c r="Q22" i="4"/>
  <c r="F23" i="4"/>
  <c r="K23" i="4"/>
  <c r="M23" i="4"/>
  <c r="O23" i="4"/>
  <c r="Q23" i="4"/>
  <c r="F24" i="4"/>
  <c r="K24" i="4"/>
  <c r="M24" i="4"/>
  <c r="O24" i="4"/>
  <c r="Q24" i="4"/>
  <c r="F25" i="4"/>
  <c r="K25" i="4"/>
  <c r="M25" i="4"/>
  <c r="O25" i="4"/>
  <c r="Q25" i="4"/>
  <c r="F26" i="4"/>
  <c r="K26" i="4"/>
  <c r="M26" i="4"/>
  <c r="O26" i="4"/>
  <c r="Q26" i="4"/>
  <c r="F27" i="4"/>
  <c r="K27" i="4"/>
  <c r="M27" i="4"/>
  <c r="O27" i="4"/>
  <c r="Q27" i="4"/>
  <c r="F30" i="4"/>
  <c r="K30" i="4"/>
  <c r="M30" i="4"/>
  <c r="O30" i="4"/>
  <c r="Q30" i="4"/>
  <c r="F31" i="4"/>
  <c r="K31" i="4"/>
  <c r="M31" i="4"/>
  <c r="O31" i="4"/>
  <c r="Q31" i="4"/>
  <c r="F32" i="4"/>
  <c r="K32" i="4"/>
  <c r="M32" i="4"/>
  <c r="O32" i="4"/>
  <c r="Q32" i="4"/>
  <c r="C33" i="4"/>
  <c r="F33" i="4"/>
  <c r="K33" i="4"/>
  <c r="M33" i="4"/>
  <c r="O33" i="4"/>
  <c r="Q33" i="4"/>
  <c r="F34" i="4"/>
  <c r="K34" i="4"/>
  <c r="M34" i="4"/>
  <c r="O34" i="4"/>
  <c r="Q34" i="4"/>
  <c r="F35" i="4"/>
  <c r="K35" i="4"/>
  <c r="M35" i="4"/>
  <c r="O35" i="4"/>
  <c r="Q35" i="4"/>
  <c r="F39" i="4"/>
  <c r="K39" i="4"/>
  <c r="L39" i="4"/>
  <c r="M39" i="4"/>
  <c r="O39" i="4"/>
  <c r="Q39" i="4"/>
  <c r="F40" i="4"/>
  <c r="K40" i="4"/>
  <c r="L40" i="4"/>
  <c r="M40" i="4"/>
  <c r="O40" i="4"/>
  <c r="Q40" i="4"/>
  <c r="F41" i="4"/>
  <c r="K41" i="4"/>
  <c r="L41" i="4"/>
  <c r="M41" i="4"/>
  <c r="O41" i="4"/>
  <c r="Q41" i="4"/>
  <c r="F42" i="4"/>
  <c r="K42" i="4"/>
  <c r="M42" i="4"/>
  <c r="O42" i="4"/>
  <c r="Q42" i="4"/>
  <c r="F43" i="4"/>
  <c r="K43" i="4"/>
  <c r="M43" i="4"/>
  <c r="O43" i="4"/>
  <c r="Q43" i="4"/>
  <c r="F44" i="4"/>
  <c r="K44" i="4"/>
  <c r="L44" i="4"/>
  <c r="M44" i="4"/>
  <c r="O44" i="4"/>
  <c r="Q44" i="4"/>
  <c r="M45" i="4"/>
  <c r="F46" i="4"/>
  <c r="L46" i="4"/>
  <c r="M46" i="4"/>
  <c r="N46" i="4"/>
  <c r="O46" i="4"/>
  <c r="Q46" i="4"/>
  <c r="F47" i="4"/>
  <c r="L47" i="4"/>
  <c r="M47" i="4"/>
  <c r="N47" i="4"/>
  <c r="O47" i="4"/>
  <c r="Q47" i="4"/>
  <c r="M48" i="4"/>
  <c r="F49" i="4"/>
  <c r="K49" i="4"/>
  <c r="M49" i="4"/>
  <c r="O49" i="4"/>
  <c r="Q49" i="4"/>
  <c r="F50" i="4"/>
  <c r="K50" i="4"/>
  <c r="M50" i="4"/>
  <c r="O50" i="4"/>
  <c r="Q50" i="4"/>
  <c r="F51" i="4"/>
  <c r="K51" i="4"/>
  <c r="M51" i="4"/>
  <c r="O51" i="4"/>
  <c r="Q51" i="4"/>
  <c r="F52" i="4"/>
  <c r="K52" i="4"/>
  <c r="M52" i="4"/>
  <c r="O52" i="4"/>
  <c r="Q52" i="4"/>
  <c r="M53" i="4"/>
  <c r="F54" i="4"/>
  <c r="K54" i="4"/>
  <c r="M54" i="4"/>
  <c r="O54" i="4"/>
  <c r="Q54" i="4"/>
  <c r="F55" i="4"/>
  <c r="K55" i="4"/>
  <c r="M55" i="4"/>
  <c r="O55" i="4"/>
  <c r="Q55" i="4"/>
  <c r="F56" i="4"/>
  <c r="K56" i="4"/>
  <c r="M56" i="4"/>
  <c r="O56" i="4"/>
  <c r="Q56" i="4"/>
  <c r="F57" i="4"/>
  <c r="K57" i="4"/>
  <c r="M57" i="4"/>
  <c r="O57" i="4"/>
  <c r="Q57" i="4"/>
  <c r="F58" i="4"/>
  <c r="K58" i="4"/>
  <c r="M58" i="4"/>
  <c r="O58" i="4"/>
  <c r="Q58" i="4"/>
  <c r="F59" i="4"/>
  <c r="K59" i="4"/>
  <c r="M59" i="4"/>
  <c r="O59" i="4"/>
  <c r="Q59" i="4"/>
  <c r="F60" i="4"/>
  <c r="K60" i="4"/>
  <c r="M60" i="4"/>
  <c r="O60" i="4"/>
  <c r="Q60" i="4"/>
  <c r="F62" i="4"/>
  <c r="K62" i="4"/>
  <c r="M62" i="4"/>
  <c r="O62" i="4"/>
  <c r="Q62" i="4"/>
  <c r="M63" i="4"/>
  <c r="F64" i="4"/>
  <c r="K64" i="4"/>
  <c r="M64" i="4"/>
  <c r="O64" i="4"/>
  <c r="Q64" i="4"/>
  <c r="C65" i="4"/>
  <c r="F65" i="4"/>
  <c r="K65" i="4"/>
  <c r="M65" i="4"/>
  <c r="O65" i="4"/>
  <c r="Q65" i="4"/>
  <c r="F66" i="4"/>
  <c r="K66" i="4"/>
  <c r="M66" i="4"/>
  <c r="O66" i="4"/>
  <c r="Q66" i="4"/>
  <c r="C67" i="4"/>
  <c r="F67" i="4"/>
  <c r="K67" i="4"/>
  <c r="M67" i="4"/>
  <c r="O67" i="4"/>
  <c r="Q67" i="4"/>
  <c r="F68" i="4"/>
  <c r="K68" i="4"/>
  <c r="M68" i="4"/>
  <c r="O68" i="4"/>
  <c r="Q68" i="4"/>
  <c r="F69" i="4"/>
  <c r="K69" i="4"/>
  <c r="M69" i="4"/>
  <c r="O69" i="4"/>
  <c r="Q69" i="4"/>
  <c r="F73" i="4"/>
  <c r="K73" i="4"/>
  <c r="L73" i="4"/>
  <c r="M73" i="4"/>
  <c r="O73" i="4"/>
  <c r="Q73" i="4"/>
  <c r="F74" i="4"/>
  <c r="K74" i="4"/>
  <c r="L74" i="4"/>
  <c r="M74" i="4"/>
  <c r="O74" i="4"/>
  <c r="Q74" i="4"/>
  <c r="F75" i="4"/>
  <c r="K75" i="4"/>
  <c r="L75" i="4"/>
  <c r="M75" i="4"/>
  <c r="O75" i="4"/>
  <c r="Q75" i="4"/>
  <c r="F76" i="4"/>
  <c r="K76" i="4"/>
  <c r="L76" i="4"/>
  <c r="M76" i="4"/>
  <c r="O76" i="4"/>
  <c r="Q76" i="4"/>
  <c r="F77" i="4"/>
  <c r="K77" i="4"/>
  <c r="L77" i="4"/>
  <c r="M77" i="4"/>
  <c r="O77" i="4"/>
  <c r="Q77" i="4"/>
  <c r="F78" i="4"/>
  <c r="K78" i="4"/>
  <c r="L78" i="4"/>
  <c r="M78" i="4"/>
  <c r="O78" i="4"/>
  <c r="Q78" i="4"/>
  <c r="M79" i="4"/>
  <c r="F80" i="4"/>
  <c r="L80" i="4"/>
  <c r="M80" i="4"/>
  <c r="N80" i="4"/>
  <c r="O80" i="4"/>
  <c r="Q80" i="4"/>
  <c r="F81" i="4"/>
  <c r="L81" i="4"/>
  <c r="M81" i="4"/>
  <c r="N81" i="4"/>
  <c r="O81" i="4"/>
  <c r="Q81" i="4"/>
  <c r="M82" i="4"/>
  <c r="F83" i="4"/>
  <c r="K83" i="4"/>
  <c r="M83" i="4"/>
  <c r="O83" i="4"/>
  <c r="Q83" i="4"/>
  <c r="M84" i="4"/>
  <c r="F85" i="4"/>
  <c r="K85" i="4"/>
  <c r="M85" i="4"/>
  <c r="O85" i="4"/>
  <c r="Q85" i="4"/>
  <c r="F86" i="4"/>
  <c r="K86" i="4"/>
  <c r="M86" i="4"/>
  <c r="O86" i="4"/>
  <c r="Q86" i="4"/>
  <c r="F87" i="4"/>
  <c r="K87" i="4"/>
  <c r="M87" i="4"/>
  <c r="O87" i="4"/>
  <c r="Q87" i="4"/>
  <c r="F88" i="4"/>
  <c r="K88" i="4"/>
  <c r="M88" i="4"/>
  <c r="O88" i="4"/>
  <c r="Q88" i="4"/>
  <c r="F89" i="4"/>
  <c r="K89" i="4"/>
  <c r="M89" i="4"/>
  <c r="O89" i="4"/>
  <c r="Q89" i="4"/>
  <c r="F90" i="4"/>
  <c r="K90" i="4"/>
  <c r="M90" i="4"/>
  <c r="O90" i="4"/>
  <c r="Q90" i="4"/>
  <c r="F91" i="4"/>
  <c r="K91" i="4"/>
  <c r="M91" i="4"/>
  <c r="O91" i="4"/>
  <c r="Q91" i="4"/>
  <c r="F93" i="4"/>
  <c r="K93" i="4"/>
  <c r="M93" i="4"/>
  <c r="O93" i="4"/>
  <c r="Q93" i="4"/>
  <c r="M94" i="4"/>
  <c r="F95" i="4"/>
  <c r="K95" i="4"/>
  <c r="M95" i="4"/>
  <c r="O95" i="4"/>
  <c r="Q95" i="4"/>
  <c r="C96" i="4"/>
  <c r="F96" i="4"/>
  <c r="K96" i="4"/>
  <c r="M96" i="4"/>
  <c r="O96" i="4"/>
  <c r="Q96" i="4"/>
  <c r="F97" i="4"/>
  <c r="K97" i="4"/>
  <c r="M97" i="4"/>
  <c r="O97" i="4"/>
  <c r="Q97" i="4"/>
  <c r="C98" i="4"/>
  <c r="F98" i="4"/>
  <c r="K98" i="4"/>
  <c r="M98" i="4"/>
  <c r="O98" i="4"/>
  <c r="Q98" i="4"/>
  <c r="F99" i="4"/>
  <c r="K99" i="4"/>
  <c r="M99" i="4"/>
  <c r="O99" i="4"/>
  <c r="Q99" i="4"/>
  <c r="F100" i="4"/>
  <c r="K100" i="4"/>
  <c r="M100" i="4"/>
  <c r="O100" i="4"/>
  <c r="Q100" i="4"/>
  <c r="F104" i="4"/>
  <c r="K104" i="4"/>
  <c r="L104" i="4"/>
  <c r="M104" i="4"/>
  <c r="O104" i="4"/>
  <c r="Q104" i="4"/>
  <c r="F105" i="4"/>
  <c r="K105" i="4"/>
  <c r="L105" i="4"/>
  <c r="M105" i="4"/>
  <c r="O105" i="4"/>
  <c r="Q105" i="4"/>
  <c r="F106" i="4"/>
  <c r="K106" i="4"/>
  <c r="L106" i="4"/>
  <c r="M106" i="4"/>
  <c r="O106" i="4"/>
  <c r="Q106" i="4"/>
  <c r="F107" i="4"/>
  <c r="K107" i="4"/>
  <c r="L107" i="4"/>
  <c r="M107" i="4"/>
  <c r="O107" i="4"/>
  <c r="Q107" i="4"/>
  <c r="F108" i="4"/>
  <c r="K108" i="4"/>
  <c r="L108" i="4"/>
  <c r="M108" i="4"/>
  <c r="O108" i="4"/>
  <c r="Q108" i="4"/>
  <c r="F109" i="4"/>
  <c r="K109" i="4"/>
  <c r="L109" i="4"/>
  <c r="M109" i="4"/>
  <c r="O109" i="4"/>
  <c r="Q109" i="4"/>
  <c r="F111" i="4"/>
  <c r="K111" i="4"/>
  <c r="M111" i="4"/>
  <c r="O111" i="4"/>
  <c r="Q111" i="4"/>
  <c r="F113" i="4"/>
  <c r="K113" i="4"/>
  <c r="M113" i="4"/>
  <c r="O113" i="4"/>
  <c r="Q113" i="4"/>
  <c r="F114" i="4"/>
  <c r="K114" i="4"/>
  <c r="M114" i="4"/>
  <c r="O114" i="4"/>
  <c r="Q114" i="4"/>
  <c r="F115" i="4"/>
  <c r="K115" i="4"/>
  <c r="M115" i="4"/>
  <c r="O115" i="4"/>
  <c r="Q115" i="4"/>
  <c r="F116" i="4"/>
  <c r="K116" i="4"/>
  <c r="M116" i="4"/>
  <c r="O116" i="4"/>
  <c r="Q116" i="4"/>
  <c r="F118" i="4"/>
  <c r="K118" i="4"/>
  <c r="M118" i="4"/>
  <c r="O118" i="4"/>
  <c r="Q118" i="4"/>
  <c r="F119" i="4"/>
  <c r="K119" i="4"/>
  <c r="M119" i="4"/>
  <c r="O119" i="4"/>
  <c r="Q119" i="4"/>
  <c r="F120" i="4"/>
  <c r="K120" i="4"/>
  <c r="M120" i="4"/>
  <c r="O120" i="4"/>
  <c r="Q120" i="4"/>
  <c r="F121" i="4"/>
  <c r="K121" i="4"/>
  <c r="M121" i="4"/>
  <c r="O121" i="4"/>
  <c r="Q121" i="4"/>
  <c r="F123" i="4"/>
  <c r="K123" i="4"/>
  <c r="M123" i="4"/>
  <c r="O123" i="4"/>
  <c r="Q123" i="4"/>
  <c r="F125" i="4"/>
  <c r="K125" i="4"/>
  <c r="M125" i="4"/>
  <c r="O125" i="4"/>
  <c r="Q125" i="4"/>
  <c r="C126" i="4"/>
  <c r="F126" i="4"/>
  <c r="K126" i="4"/>
  <c r="M126" i="4"/>
  <c r="O126" i="4"/>
  <c r="Q126" i="4"/>
  <c r="F127" i="4"/>
  <c r="K127" i="4"/>
  <c r="M127" i="4"/>
  <c r="O127" i="4"/>
  <c r="Q127" i="4"/>
  <c r="C128" i="4"/>
  <c r="F128" i="4"/>
  <c r="K128" i="4"/>
  <c r="M128" i="4"/>
  <c r="O128" i="4"/>
  <c r="Q128" i="4"/>
  <c r="F129" i="4"/>
  <c r="K129" i="4"/>
  <c r="M129" i="4"/>
  <c r="O129" i="4"/>
  <c r="Q129" i="4"/>
  <c r="F130" i="4"/>
  <c r="K130" i="4"/>
  <c r="M130" i="4"/>
  <c r="O130" i="4"/>
  <c r="Q130" i="4"/>
  <c r="F134" i="4"/>
  <c r="K134" i="4"/>
  <c r="L134" i="4"/>
  <c r="M134" i="4"/>
  <c r="O134" i="4"/>
  <c r="Q134" i="4"/>
  <c r="F135" i="4"/>
  <c r="K135" i="4"/>
  <c r="L135" i="4"/>
  <c r="M135" i="4"/>
  <c r="O135" i="4"/>
  <c r="Q135" i="4"/>
  <c r="F136" i="4"/>
  <c r="K136" i="4"/>
  <c r="L136" i="4"/>
  <c r="M136" i="4"/>
  <c r="O136" i="4"/>
  <c r="Q136" i="4"/>
  <c r="F137" i="4"/>
  <c r="K137" i="4"/>
  <c r="L137" i="4"/>
  <c r="M137" i="4"/>
  <c r="O137" i="4"/>
  <c r="Q137" i="4"/>
  <c r="F138" i="4"/>
  <c r="K138" i="4"/>
  <c r="L138" i="4"/>
  <c r="M138" i="4"/>
  <c r="O138" i="4"/>
  <c r="Q138" i="4"/>
  <c r="F139" i="4"/>
  <c r="K139" i="4"/>
  <c r="M139" i="4"/>
  <c r="O139" i="4"/>
  <c r="Q139" i="4"/>
  <c r="F141" i="4"/>
  <c r="K141" i="4"/>
  <c r="M141" i="4"/>
  <c r="O141" i="4"/>
  <c r="Q141" i="4"/>
  <c r="F143" i="4"/>
  <c r="K143" i="4"/>
  <c r="M143" i="4"/>
  <c r="O143" i="4"/>
  <c r="Q143" i="4"/>
  <c r="F145" i="4"/>
  <c r="K145" i="4"/>
  <c r="M145" i="4"/>
  <c r="O145" i="4"/>
  <c r="Q145" i="4"/>
  <c r="F146" i="4"/>
  <c r="K146" i="4"/>
  <c r="M146" i="4"/>
  <c r="O146" i="4"/>
  <c r="Q146" i="4"/>
  <c r="F147" i="4"/>
  <c r="K147" i="4"/>
  <c r="M147" i="4"/>
  <c r="O147" i="4"/>
  <c r="Q147" i="4"/>
  <c r="F148" i="4"/>
  <c r="K148" i="4"/>
  <c r="M148" i="4"/>
  <c r="O148" i="4"/>
  <c r="Q148" i="4"/>
  <c r="F149" i="4"/>
  <c r="K149" i="4"/>
  <c r="M149" i="4"/>
  <c r="O149" i="4"/>
  <c r="Q149" i="4"/>
  <c r="F151" i="4"/>
  <c r="K151" i="4"/>
  <c r="M151" i="4"/>
  <c r="O151" i="4"/>
  <c r="Q151" i="4"/>
  <c r="F153" i="4"/>
  <c r="K153" i="4"/>
  <c r="M153" i="4"/>
  <c r="O153" i="4"/>
  <c r="Q153" i="4"/>
  <c r="C154" i="4"/>
  <c r="F154" i="4"/>
  <c r="K154" i="4"/>
  <c r="M154" i="4"/>
  <c r="O154" i="4"/>
  <c r="Q154" i="4"/>
  <c r="F155" i="4"/>
  <c r="K155" i="4"/>
  <c r="M155" i="4"/>
  <c r="O155" i="4"/>
  <c r="Q155" i="4"/>
  <c r="C156" i="4"/>
  <c r="F156" i="4"/>
  <c r="K156" i="4"/>
  <c r="M156" i="4"/>
  <c r="O156" i="4"/>
  <c r="Q156" i="4"/>
  <c r="F157" i="4"/>
  <c r="K157" i="4"/>
  <c r="M157" i="4"/>
  <c r="O157" i="4"/>
  <c r="Q157" i="4"/>
  <c r="F158" i="4"/>
  <c r="K158" i="4"/>
  <c r="M158" i="4"/>
  <c r="O158" i="4"/>
  <c r="Q158" i="4"/>
  <c r="S92" i="3"/>
  <c r="S93" i="3"/>
  <c r="S94" i="3"/>
  <c r="S95" i="3"/>
  <c r="S97" i="3"/>
  <c r="S99" i="3"/>
  <c r="S101" i="3"/>
  <c r="N104" i="3"/>
  <c r="S104" i="3"/>
  <c r="N105" i="3"/>
  <c r="S105" i="3"/>
  <c r="N106" i="3"/>
  <c r="S106" i="3"/>
  <c r="N107" i="3"/>
  <c r="S107" i="3"/>
  <c r="N108" i="3"/>
  <c r="S108" i="3"/>
  <c r="S109" i="3"/>
  <c r="Q92" i="3"/>
  <c r="Q93" i="3"/>
  <c r="Q94" i="3"/>
  <c r="Q95" i="3"/>
  <c r="Q97" i="3"/>
  <c r="Q99" i="3"/>
  <c r="Q100" i="3"/>
  <c r="Q101" i="3"/>
  <c r="Q104" i="3"/>
  <c r="Q105" i="3"/>
  <c r="Q106" i="3"/>
  <c r="Q107" i="3"/>
  <c r="Q108" i="3"/>
  <c r="Q109" i="3"/>
  <c r="M92" i="3"/>
  <c r="M93" i="3"/>
  <c r="M94" i="3"/>
  <c r="M95" i="3"/>
  <c r="M97" i="3"/>
  <c r="M99" i="3"/>
  <c r="M100" i="3"/>
  <c r="M101" i="3"/>
  <c r="H104" i="3"/>
  <c r="M104" i="3"/>
  <c r="H105" i="3"/>
  <c r="M105" i="3"/>
  <c r="H106" i="3"/>
  <c r="M106" i="3"/>
  <c r="H107" i="3"/>
  <c r="M107" i="3"/>
  <c r="H108" i="3"/>
  <c r="M108" i="3"/>
  <c r="M109" i="3"/>
  <c r="K92" i="3"/>
  <c r="K93" i="3"/>
  <c r="K94" i="3"/>
  <c r="K95" i="3"/>
  <c r="K97" i="3"/>
  <c r="K99" i="3"/>
  <c r="K100" i="3"/>
  <c r="K101" i="3"/>
  <c r="K104" i="3"/>
  <c r="K105" i="3"/>
  <c r="K106" i="3"/>
  <c r="K107" i="3"/>
  <c r="K108" i="3"/>
  <c r="K109" i="3"/>
  <c r="F92" i="3"/>
  <c r="F93" i="3"/>
  <c r="F94" i="3"/>
  <c r="F95" i="3"/>
  <c r="F97" i="3"/>
  <c r="F99" i="3"/>
  <c r="F100" i="3"/>
  <c r="F101" i="3"/>
  <c r="F104" i="3"/>
  <c r="C105" i="3"/>
  <c r="F105" i="3"/>
  <c r="F106" i="3"/>
  <c r="C107" i="3"/>
  <c r="F107" i="3"/>
  <c r="F108" i="3"/>
  <c r="F109" i="3"/>
  <c r="S88" i="3"/>
  <c r="Q88" i="3"/>
  <c r="K88" i="3"/>
  <c r="F88" i="3"/>
  <c r="S87" i="3"/>
  <c r="Q87" i="3"/>
  <c r="K87" i="3"/>
  <c r="F87" i="3"/>
  <c r="S86" i="3"/>
  <c r="Q86" i="3"/>
  <c r="K86" i="3"/>
  <c r="F86" i="3"/>
  <c r="S85" i="3"/>
  <c r="Q85" i="3"/>
  <c r="K85" i="3"/>
  <c r="F85" i="3"/>
  <c r="S64" i="3"/>
  <c r="S65" i="3"/>
  <c r="S66" i="3"/>
  <c r="S67" i="3"/>
  <c r="S69" i="3"/>
  <c r="S70" i="3"/>
  <c r="S71" i="3"/>
  <c r="S72" i="3"/>
  <c r="S74" i="3"/>
  <c r="S75" i="3"/>
  <c r="S76" i="3"/>
  <c r="N79" i="3"/>
  <c r="S79" i="3"/>
  <c r="N80" i="3"/>
  <c r="S80" i="3"/>
  <c r="N81" i="3"/>
  <c r="S81" i="3"/>
  <c r="N82" i="3"/>
  <c r="S82" i="3"/>
  <c r="N83" i="3"/>
  <c r="S83" i="3"/>
  <c r="S84" i="3"/>
  <c r="Q64" i="3"/>
  <c r="Q65" i="3"/>
  <c r="Q66" i="3"/>
  <c r="Q67" i="3"/>
  <c r="Q69" i="3"/>
  <c r="Q70" i="3"/>
  <c r="Q71" i="3"/>
  <c r="Q72" i="3"/>
  <c r="Q74" i="3"/>
  <c r="Q75" i="3"/>
  <c r="Q76" i="3"/>
  <c r="Q79" i="3"/>
  <c r="Q80" i="3"/>
  <c r="Q81" i="3"/>
  <c r="Q82" i="3"/>
  <c r="Q83" i="3"/>
  <c r="Q84" i="3"/>
  <c r="M64" i="3"/>
  <c r="M65" i="3"/>
  <c r="M66" i="3"/>
  <c r="M67" i="3"/>
  <c r="M69" i="3"/>
  <c r="M70" i="3"/>
  <c r="M71" i="3"/>
  <c r="M72" i="3"/>
  <c r="M74" i="3"/>
  <c r="M75" i="3"/>
  <c r="M76" i="3"/>
  <c r="H79" i="3"/>
  <c r="M79" i="3"/>
  <c r="H80" i="3"/>
  <c r="M80" i="3"/>
  <c r="H81" i="3"/>
  <c r="M81" i="3"/>
  <c r="H82" i="3"/>
  <c r="M82" i="3"/>
  <c r="H83" i="3"/>
  <c r="M83" i="3"/>
  <c r="M84" i="3"/>
  <c r="K64" i="3"/>
  <c r="K65" i="3"/>
  <c r="K66" i="3"/>
  <c r="K67" i="3"/>
  <c r="K69" i="3"/>
  <c r="K70" i="3"/>
  <c r="K71" i="3"/>
  <c r="K72" i="3"/>
  <c r="K74" i="3"/>
  <c r="K75" i="3"/>
  <c r="K76" i="3"/>
  <c r="K79" i="3"/>
  <c r="K80" i="3"/>
  <c r="K81" i="3"/>
  <c r="K82" i="3"/>
  <c r="K83" i="3"/>
  <c r="K84" i="3"/>
  <c r="F64" i="3"/>
  <c r="F65" i="3"/>
  <c r="F66" i="3"/>
  <c r="F67" i="3"/>
  <c r="F69" i="3"/>
  <c r="F70" i="3"/>
  <c r="F71" i="3"/>
  <c r="F72" i="3"/>
  <c r="F74" i="3"/>
  <c r="F75" i="3"/>
  <c r="F76" i="3"/>
  <c r="F79" i="3"/>
  <c r="C80" i="3"/>
  <c r="F80" i="3"/>
  <c r="F81" i="3"/>
  <c r="C82" i="3"/>
  <c r="F82" i="3"/>
  <c r="F83" i="3"/>
  <c r="F84" i="3"/>
  <c r="S38" i="3"/>
  <c r="S39" i="3"/>
  <c r="S40" i="3"/>
  <c r="S41" i="3"/>
  <c r="S42" i="3"/>
  <c r="S43" i="3"/>
  <c r="S45" i="3"/>
  <c r="S47" i="3"/>
  <c r="S48" i="3"/>
  <c r="S49" i="3"/>
  <c r="S50" i="3"/>
  <c r="S51" i="3"/>
  <c r="S52" i="3"/>
  <c r="S55" i="3"/>
  <c r="S56" i="3"/>
  <c r="S57" i="3"/>
  <c r="S58" i="3"/>
  <c r="S59" i="3"/>
  <c r="S60" i="3"/>
  <c r="Q38" i="3"/>
  <c r="Q39" i="3"/>
  <c r="Q40" i="3"/>
  <c r="P41" i="3"/>
  <c r="Q41" i="3"/>
  <c r="P42" i="3"/>
  <c r="Q42" i="3"/>
  <c r="Q43" i="3"/>
  <c r="Q45" i="3"/>
  <c r="Q47" i="3"/>
  <c r="Q48" i="3"/>
  <c r="Q49" i="3"/>
  <c r="Q50" i="3"/>
  <c r="Q51" i="3"/>
  <c r="Q52" i="3"/>
  <c r="Q55" i="3"/>
  <c r="Q56" i="3"/>
  <c r="Q57" i="3"/>
  <c r="Q58" i="3"/>
  <c r="Q59" i="3"/>
  <c r="Q60" i="3"/>
  <c r="M38" i="3"/>
  <c r="L39" i="3"/>
  <c r="M39" i="3"/>
  <c r="L40" i="3"/>
  <c r="M40" i="3"/>
  <c r="L41" i="3"/>
  <c r="M41" i="3"/>
  <c r="L42" i="3"/>
  <c r="M42" i="3"/>
  <c r="M43" i="3"/>
  <c r="M45" i="3"/>
  <c r="M47" i="3"/>
  <c r="M48" i="3"/>
  <c r="M49" i="3"/>
  <c r="M50" i="3"/>
  <c r="M51" i="3"/>
  <c r="M52" i="3"/>
  <c r="M55" i="3"/>
  <c r="M56" i="3"/>
  <c r="M57" i="3"/>
  <c r="M58" i="3"/>
  <c r="M59" i="3"/>
  <c r="M60" i="3"/>
  <c r="K38" i="3"/>
  <c r="K39" i="3"/>
  <c r="K40" i="3"/>
  <c r="K41" i="3"/>
  <c r="K42" i="3"/>
  <c r="K43" i="3"/>
  <c r="K45" i="3"/>
  <c r="K47" i="3"/>
  <c r="K48" i="3"/>
  <c r="K49" i="3"/>
  <c r="K50" i="3"/>
  <c r="K51" i="3"/>
  <c r="K52" i="3"/>
  <c r="K55" i="3"/>
  <c r="K56" i="3"/>
  <c r="K57" i="3"/>
  <c r="K58" i="3"/>
  <c r="K59" i="3"/>
  <c r="K60" i="3"/>
  <c r="F38" i="3"/>
  <c r="F39" i="3"/>
  <c r="F40" i="3"/>
  <c r="F41" i="3"/>
  <c r="F42" i="3"/>
  <c r="F43" i="3"/>
  <c r="F45" i="3"/>
  <c r="F47" i="3"/>
  <c r="F48" i="3"/>
  <c r="F49" i="3"/>
  <c r="F50" i="3"/>
  <c r="F51" i="3"/>
  <c r="F52" i="3"/>
  <c r="F55" i="3"/>
  <c r="C56" i="3"/>
  <c r="F56" i="3"/>
  <c r="F57" i="3"/>
  <c r="C58" i="3"/>
  <c r="F58" i="3"/>
  <c r="F59" i="3"/>
  <c r="F60" i="3"/>
  <c r="S9" i="3"/>
  <c r="R10" i="3"/>
  <c r="S10" i="3"/>
  <c r="R11" i="3"/>
  <c r="S11" i="3"/>
  <c r="S12" i="3"/>
  <c r="S13" i="3"/>
  <c r="S14" i="3"/>
  <c r="S16" i="3"/>
  <c r="S17" i="3"/>
  <c r="S19" i="3"/>
  <c r="S20" i="3"/>
  <c r="S21" i="3"/>
  <c r="S22" i="3"/>
  <c r="S23" i="3"/>
  <c r="S24" i="3"/>
  <c r="S25" i="3"/>
  <c r="S26" i="3"/>
  <c r="S29" i="3"/>
  <c r="S30" i="3"/>
  <c r="S31" i="3"/>
  <c r="S32" i="3"/>
  <c r="S33" i="3"/>
  <c r="S34" i="3"/>
  <c r="P17" i="3"/>
  <c r="Q17" i="3"/>
  <c r="Q19" i="3"/>
  <c r="Q20" i="3"/>
  <c r="Q21" i="3"/>
  <c r="Q22" i="3"/>
  <c r="Q23" i="3"/>
  <c r="Q24" i="3"/>
  <c r="Q25" i="3"/>
  <c r="Q26" i="3"/>
  <c r="Q29" i="3"/>
  <c r="Q30" i="3"/>
  <c r="Q31" i="3"/>
  <c r="Q32" i="3"/>
  <c r="Q33" i="3"/>
  <c r="Q34" i="3"/>
  <c r="M9" i="3"/>
  <c r="L10" i="3"/>
  <c r="M10" i="3"/>
  <c r="L11" i="3"/>
  <c r="M11" i="3"/>
  <c r="L12" i="3"/>
  <c r="M12" i="3"/>
  <c r="L13" i="3"/>
  <c r="M13" i="3"/>
  <c r="M14" i="3"/>
  <c r="L16" i="3"/>
  <c r="M16" i="3"/>
  <c r="L17" i="3"/>
  <c r="M17" i="3"/>
  <c r="M19" i="3"/>
  <c r="M20" i="3"/>
  <c r="M21" i="3"/>
  <c r="M22" i="3"/>
  <c r="M23" i="3"/>
  <c r="M24" i="3"/>
  <c r="M25" i="3"/>
  <c r="M26" i="3"/>
  <c r="M29" i="3"/>
  <c r="M30" i="3"/>
  <c r="M31" i="3"/>
  <c r="M32" i="3"/>
  <c r="M33" i="3"/>
  <c r="M34" i="3"/>
  <c r="K9" i="3"/>
  <c r="K10" i="3"/>
  <c r="K11" i="3"/>
  <c r="K12" i="3"/>
  <c r="K13" i="3"/>
  <c r="K14" i="3"/>
  <c r="K19" i="3"/>
  <c r="K20" i="3"/>
  <c r="K21" i="3"/>
  <c r="K22" i="3"/>
  <c r="K23" i="3"/>
  <c r="K24" i="3"/>
  <c r="K25" i="3"/>
  <c r="K26" i="3"/>
  <c r="K29" i="3"/>
  <c r="K30" i="3"/>
  <c r="K31" i="3"/>
  <c r="K32" i="3"/>
  <c r="K33" i="3"/>
  <c r="K34" i="3"/>
  <c r="F9" i="3"/>
  <c r="F10" i="3"/>
  <c r="F11" i="3"/>
  <c r="F12" i="3"/>
  <c r="F13" i="3"/>
  <c r="F14" i="3"/>
  <c r="F16" i="3"/>
  <c r="F17" i="3"/>
  <c r="F19" i="3"/>
  <c r="F20" i="3"/>
  <c r="F21" i="3"/>
  <c r="F22" i="3"/>
  <c r="F23" i="3"/>
  <c r="F24" i="3"/>
  <c r="F25" i="3"/>
  <c r="F26" i="3"/>
  <c r="F29" i="3"/>
  <c r="C30" i="3"/>
  <c r="F30" i="3"/>
  <c r="F31" i="3"/>
  <c r="C32" i="3"/>
  <c r="F32" i="3"/>
  <c r="F33" i="3"/>
  <c r="F34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Carolyn Hughes</author>
  </authors>
  <commentList>
    <comment ref="C96" authorId="0" shapeId="0" xr:uid="{D25BE1AE-F833-A64A-9B47-49AEEBF9FB67}">
      <text>
        <r>
          <rPr>
            <b/>
            <sz val="10"/>
            <color rgb="FF000000"/>
            <rFont val="Tahoma"/>
            <family val="2"/>
          </rPr>
          <t>Carolyn Hughes: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The 25% is based on the estimated 1/4 of patients who would qualify for testing after a risk assessment/screening. However, would we recommend Hep B testing regardless? Dr. Bismark and Dr. Felix said based on current conditions, would only recommend testing if the person was identified as having specific risk factors.</t>
        </r>
      </text>
    </comment>
    <comment ref="C149" authorId="0" shapeId="0" xr:uid="{9A7E04C0-DD1A-5F4F-B1DB-F6C9B70585BD}">
      <text>
        <r>
          <rPr>
            <b/>
            <sz val="10"/>
            <color rgb="FF000000"/>
            <rFont val="Tahoma"/>
            <family val="2"/>
          </rPr>
          <t>Carolyn Hughes: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Based on guidelines, PrEP reaches acceptable efficacy after 7 doses.</t>
        </r>
      </text>
    </comment>
    <comment ref="C169" authorId="0" shapeId="0" xr:uid="{2CA40689-B314-3F46-99C1-95E853C076F6}">
      <text>
        <r>
          <rPr>
            <b/>
            <sz val="10"/>
            <color rgb="FF000000"/>
            <rFont val="Tahoma"/>
            <family val="2"/>
          </rPr>
          <t>Carolyn Hughes: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Based on guidelines, PrEP reaches acceptable efficacy after 7 doses.</t>
        </r>
      </text>
    </comment>
    <comment ref="C203" authorId="0" shapeId="0" xr:uid="{5471AB8C-2E7B-7640-B9B8-57B4C96023D4}">
      <text>
        <r>
          <rPr>
            <b/>
            <sz val="10"/>
            <color rgb="FF000000"/>
            <rFont val="Tahoma"/>
            <family val="2"/>
          </rPr>
          <t>Carolyn Hughes: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The 25% is based on the estimated 1/4 of patients who would qualify for testing after a risk assessment/screening. However, would we recommend Hep B testing regardless? Dr. Bismark and Dr. Felix said based on current conditions, would only recommend testing if the person was identified as having specific risk factors.</t>
        </r>
      </text>
    </comment>
    <comment ref="C221" authorId="0" shapeId="0" xr:uid="{1E1486C8-9735-3A42-B05C-FFC2AD28E348}">
      <text>
        <r>
          <rPr>
            <b/>
            <sz val="10"/>
            <color rgb="FF000000"/>
            <rFont val="Tahoma"/>
            <family val="2"/>
          </rPr>
          <t>Carolyn Hughes: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>The 25% is based on the estimated 1/4 of patients who would qualify for testing after a risk assessment/screening. However, would we recommend Hep B testing regardless? Dr. Bismark and Dr. Felix said based on current conditions, would only recommend testing if the person was identified as having specific risk factors.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Carolyn Hughes</author>
  </authors>
  <commentList>
    <comment ref="L9" authorId="0" shapeId="0" xr:uid="{90E58462-EC81-DE43-95C5-2B23BC46481C}">
      <text>
        <r>
          <rPr>
            <b/>
            <sz val="10"/>
            <color rgb="FF000000"/>
            <rFont val="Tahoma"/>
            <family val="2"/>
          </rPr>
          <t>Carolyn Hughes: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Note: this does not include training here; training is in the capital costs. This is for direct patient visits and supervision, paperwork, etc. </t>
        </r>
      </text>
    </comment>
    <comment ref="L39" authorId="0" shapeId="0" xr:uid="{F83B55DC-D4BB-DC4E-ABE8-B6DBD3DF2208}">
      <text>
        <r>
          <rPr>
            <b/>
            <sz val="10"/>
            <color rgb="FF000000"/>
            <rFont val="Tahoma"/>
            <family val="2"/>
          </rPr>
          <t>Carolyn Hughes: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Note: this does not include training here; training is in the capital costs. This is for direct patient visits and supervision, paperwork, etc. </t>
        </r>
      </text>
    </comment>
    <comment ref="L73" authorId="0" shapeId="0" xr:uid="{ED43519C-EDD1-814D-96FF-C53F49F51D0F}">
      <text>
        <r>
          <rPr>
            <b/>
            <sz val="10"/>
            <color rgb="FF000000"/>
            <rFont val="Tahoma"/>
            <family val="2"/>
          </rPr>
          <t>Carolyn Hughes: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Note: this does not include training here; training is in the capital costs. This is for direct patient visits and supervision, paperwork, etc. </t>
        </r>
      </text>
    </comment>
    <comment ref="L104" authorId="0" shapeId="0" xr:uid="{2CFE3C49-030B-194D-A5F5-210C4E67173B}">
      <text>
        <r>
          <rPr>
            <b/>
            <sz val="10"/>
            <color rgb="FF000000"/>
            <rFont val="Tahoma"/>
            <family val="2"/>
          </rPr>
          <t>Carolyn Hughes:</t>
        </r>
        <r>
          <rPr>
            <sz val="10"/>
            <color rgb="FF000000"/>
            <rFont val="Tahoma"/>
            <family val="2"/>
          </rPr>
          <t xml:space="preserve">
</t>
        </r>
        <r>
          <rPr>
            <sz val="10"/>
            <color rgb="FF000000"/>
            <rFont val="Tahoma"/>
            <family val="2"/>
          </rPr>
          <t xml:space="preserve">Note: this does not include training here; training is in the capital costs. This is for direct patient visits and supervision, paperwork, etc. </t>
        </r>
      </text>
    </comment>
  </commentList>
</comments>
</file>

<file path=xl/sharedStrings.xml><?xml version="1.0" encoding="utf-8"?>
<sst xmlns="http://schemas.openxmlformats.org/spreadsheetml/2006/main" count="1219" uniqueCount="160">
  <si>
    <t xml:space="preserve">Target Recommendation </t>
  </si>
  <si>
    <t>Initial visit</t>
  </si>
  <si>
    <t>First follow-up visit</t>
  </si>
  <si>
    <t>Additional follow-up visits (per visit)</t>
  </si>
  <si>
    <t xml:space="preserve">All Strategies, including all combinations of strategies  </t>
  </si>
  <si>
    <t>Specific to strategy</t>
  </si>
  <si>
    <t xml:space="preserve">Goal/objective </t>
  </si>
  <si>
    <t xml:space="preserve">Assess eligibility for SAFER </t>
  </si>
  <si>
    <t>Determine eligibility and initiate strategies</t>
  </si>
  <si>
    <t>Assess adherence to strategy</t>
  </si>
  <si>
    <t xml:space="preserve">Setting </t>
  </si>
  <si>
    <t>Public sector/MoHCC</t>
  </si>
  <si>
    <t>Cadre delivering care</t>
  </si>
  <si>
    <t xml:space="preserve">Nurse/counsellor </t>
  </si>
  <si>
    <t xml:space="preserve">Frequency </t>
  </si>
  <si>
    <t>One-time</t>
  </si>
  <si>
    <t xml:space="preserve">Quarterly </t>
  </si>
  <si>
    <t>Counselling and assessments</t>
  </si>
  <si>
    <t xml:space="preserve">Safer conception </t>
  </si>
  <si>
    <t xml:space="preserve">Review menstrual tracker </t>
  </si>
  <si>
    <t>HIV pre- and post-test</t>
  </si>
  <si>
    <t>Discuss viral load results (where applicable)</t>
  </si>
  <si>
    <t>Pre-conception</t>
  </si>
  <si>
    <t xml:space="preserve">Re-test for HIV in seronegative partner </t>
  </si>
  <si>
    <t xml:space="preserve">Fertile period/menses tracking </t>
  </si>
  <si>
    <t>Provide condoms</t>
  </si>
  <si>
    <t>Nutritional counseling</t>
  </si>
  <si>
    <t xml:space="preserve">Prescribe, instruct, and provide safer strategy(ies) </t>
  </si>
  <si>
    <t>Provide support for safer strategy use, as needed</t>
  </si>
  <si>
    <t xml:space="preserve">STI screening and treatment, as applicable </t>
  </si>
  <si>
    <t xml:space="preserve">STI follow up, as needed </t>
  </si>
  <si>
    <t xml:space="preserve">Folic acid supplementation </t>
  </si>
  <si>
    <t>Services, tests, and assessments per strategy</t>
  </si>
  <si>
    <t xml:space="preserve">ART-VL </t>
  </si>
  <si>
    <t>Rapid HIV test (2; both partners)</t>
  </si>
  <si>
    <t>Rapid HIV test (1; HIV- partner)</t>
  </si>
  <si>
    <t>Viral load test (1)</t>
  </si>
  <si>
    <t>Urinanalysis (1)</t>
  </si>
  <si>
    <t>Urinanalysis -- 6 months following first test (1)</t>
  </si>
  <si>
    <t>Pregnancy test (1)</t>
  </si>
  <si>
    <t>Serum creatinine (+CrCl) (1)</t>
  </si>
  <si>
    <t>Hepatitis B (1; depending on screening results)</t>
  </si>
  <si>
    <t>Syphilis RPR (2; both partners)</t>
  </si>
  <si>
    <t>CD4 (1)</t>
  </si>
  <si>
    <t>CD4 -- 6 months following first test (1)</t>
  </si>
  <si>
    <t>FBC (1)</t>
  </si>
  <si>
    <t>FBC -- 6 months following first test (1)</t>
  </si>
  <si>
    <t xml:space="preserve">Medication </t>
  </si>
  <si>
    <t>ART refill if needed (1-3 month supply)</t>
  </si>
  <si>
    <r>
      <t xml:space="preserve">If HIV+ partner is </t>
    </r>
    <r>
      <rPr>
        <b/>
        <u/>
        <sz val="12"/>
        <color theme="1"/>
        <rFont val="Calibri"/>
        <family val="2"/>
        <scheme val="minor"/>
      </rPr>
      <t>NOT</t>
    </r>
    <r>
      <rPr>
        <b/>
        <sz val="12"/>
        <color theme="1"/>
        <rFont val="Calibri"/>
        <family val="2"/>
        <scheme val="minor"/>
      </rPr>
      <t xml:space="preserve"> on ART</t>
    </r>
  </si>
  <si>
    <r>
      <t xml:space="preserve">If HIV+ partner is </t>
    </r>
    <r>
      <rPr>
        <b/>
        <u/>
        <sz val="12"/>
        <color theme="1"/>
        <rFont val="Calibri"/>
        <family val="2"/>
        <scheme val="minor"/>
      </rPr>
      <t>NOT</t>
    </r>
    <r>
      <rPr>
        <b/>
        <sz val="12"/>
        <color theme="1"/>
        <rFont val="Calibri"/>
        <family val="2"/>
        <scheme val="minor"/>
      </rPr>
      <t xml:space="preserve"> virally suppressed</t>
    </r>
  </si>
  <si>
    <t>Provide ART (1-3 month supply)</t>
  </si>
  <si>
    <t xml:space="preserve">Provide 3-month supply </t>
  </si>
  <si>
    <t xml:space="preserve">ART adherence counseling </t>
  </si>
  <si>
    <t xml:space="preserve">Provide adherence counseling </t>
  </si>
  <si>
    <t xml:space="preserve">Provide adherence counseling, resistance testing </t>
  </si>
  <si>
    <t>Other HIV-related care, per guidelines</t>
  </si>
  <si>
    <t>Refer for ART management per guidelines</t>
  </si>
  <si>
    <t>PrEP</t>
  </si>
  <si>
    <t>Serum creatinine (+CrCl) -- 6 months following first test (1)</t>
  </si>
  <si>
    <t>Provide PrEP (1-2 month supply)</t>
  </si>
  <si>
    <t>Provide PrEP (3-month supply)</t>
  </si>
  <si>
    <t>Semen-washing</t>
  </si>
  <si>
    <t xml:space="preserve">SW supplies </t>
  </si>
  <si>
    <t xml:space="preserve">Provide semen collection materials </t>
  </si>
  <si>
    <t>Monthly semen-washing process and IUI</t>
  </si>
  <si>
    <t xml:space="preserve">Artificial vaginal insemination </t>
  </si>
  <si>
    <t xml:space="preserve">AVI supplies </t>
  </si>
  <si>
    <t>Provide AVI materials (3-6 month supply)</t>
  </si>
  <si>
    <t xml:space="preserve">Input type </t>
  </si>
  <si>
    <r>
      <t xml:space="preserve">SAFER Study (Observed) 
</t>
    </r>
    <r>
      <rPr>
        <sz val="14"/>
        <color theme="1"/>
        <rFont val="Calibri"/>
        <family val="2"/>
        <scheme val="minor"/>
      </rPr>
      <t xml:space="preserve">(Scenario 0) </t>
    </r>
  </si>
  <si>
    <t>Anticipated Real-World Program</t>
  </si>
  <si>
    <t>MOHCC unit prices 
(Scenarios 1, 2, 3)</t>
  </si>
  <si>
    <t>Target Intensity</t>
  </si>
  <si>
    <t>Unit price</t>
  </si>
  <si>
    <t>Unit</t>
  </si>
  <si>
    <t xml:space="preserve">Quantity </t>
  </si>
  <si>
    <t>Cost per couple</t>
  </si>
  <si>
    <t>Source</t>
  </si>
  <si>
    <t xml:space="preserve">Unit price </t>
  </si>
  <si>
    <t xml:space="preserve">Unit cost </t>
  </si>
  <si>
    <t xml:space="preserve">Source </t>
  </si>
  <si>
    <t>Personnel (pay and benefits)</t>
  </si>
  <si>
    <t xml:space="preserve">Physician/Manager  </t>
  </si>
  <si>
    <t xml:space="preserve">per hour </t>
  </si>
  <si>
    <t>SAFER Study</t>
  </si>
  <si>
    <t>USAID 2015, SAFER Study</t>
  </si>
  <si>
    <t xml:space="preserve">Nurse </t>
  </si>
  <si>
    <t xml:space="preserve">HIV Counsellor </t>
  </si>
  <si>
    <t xml:space="preserve">Pharmacist </t>
  </si>
  <si>
    <t>Pharmacy technician</t>
  </si>
  <si>
    <t xml:space="preserve">Clerk/receptionist </t>
  </si>
  <si>
    <t>Medication &amp; HIV Care</t>
  </si>
  <si>
    <t>TENOLAM-E</t>
  </si>
  <si>
    <t xml:space="preserve">per month </t>
  </si>
  <si>
    <t>MOHCC</t>
  </si>
  <si>
    <t>MOHCC, CHAI</t>
  </si>
  <si>
    <t>Care per guidelines</t>
  </si>
  <si>
    <t>Webb 2015, Marseille 2012</t>
  </si>
  <si>
    <t>Tests (kits, reagents, labor, equipment, transportation, storage)</t>
  </si>
  <si>
    <t xml:space="preserve">HIV rapid  </t>
  </si>
  <si>
    <t xml:space="preserve">per test </t>
  </si>
  <si>
    <t>CHAI 2016, SAFER Study</t>
  </si>
  <si>
    <t xml:space="preserve">Viral Load </t>
  </si>
  <si>
    <t>CD4</t>
  </si>
  <si>
    <t>FBC</t>
  </si>
  <si>
    <t xml:space="preserve">Urinalysis </t>
  </si>
  <si>
    <t xml:space="preserve">Creatinine </t>
  </si>
  <si>
    <t xml:space="preserve">Hepatitis B </t>
  </si>
  <si>
    <t xml:space="preserve">SAFER Study </t>
  </si>
  <si>
    <t xml:space="preserve">Pregnancy </t>
  </si>
  <si>
    <t xml:space="preserve">Capital and Other </t>
  </si>
  <si>
    <t>Offsite admin &amp; other*</t>
  </si>
  <si>
    <t xml:space="preserve">per couple </t>
  </si>
  <si>
    <t>Clinic supplies**</t>
  </si>
  <si>
    <t>Rent, utilities &amp; facility***</t>
  </si>
  <si>
    <t xml:space="preserve">Training </t>
  </si>
  <si>
    <t xml:space="preserve">Total per couple </t>
  </si>
  <si>
    <t xml:space="preserve">PrEP </t>
  </si>
  <si>
    <t xml:space="preserve">Personnel </t>
  </si>
  <si>
    <t>per month</t>
  </si>
  <si>
    <t>CHAI</t>
  </si>
  <si>
    <t xml:space="preserve">Tests </t>
  </si>
  <si>
    <t xml:space="preserve">Semen washing </t>
  </si>
  <si>
    <t xml:space="preserve">Physician </t>
  </si>
  <si>
    <t>Semen-washing process</t>
  </si>
  <si>
    <t xml:space="preserve">   Personnel </t>
  </si>
  <si>
    <t>per attempt</t>
  </si>
  <si>
    <t xml:space="preserve">   Reagents &amp; consumables</t>
  </si>
  <si>
    <t xml:space="preserve">   Capital equipment </t>
  </si>
  <si>
    <t xml:space="preserve">   IUI catheter</t>
  </si>
  <si>
    <t>Artificial vaginal insemination (AVI)</t>
  </si>
  <si>
    <t>USAID, 2015</t>
  </si>
  <si>
    <t xml:space="preserve">AVI materials </t>
  </si>
  <si>
    <t xml:space="preserve">   Condoms, syringes</t>
  </si>
  <si>
    <t>General supplies**</t>
  </si>
  <si>
    <t>Syphilis RPR</t>
  </si>
  <si>
    <t>PrEP + AVI</t>
  </si>
  <si>
    <t>PrEP + SW</t>
  </si>
  <si>
    <t>ART-VL + AVI</t>
  </si>
  <si>
    <t>ART-VL + SW</t>
  </si>
  <si>
    <t xml:space="preserve">ART-VL + PrEP </t>
  </si>
  <si>
    <t>Unit cost</t>
  </si>
  <si>
    <t xml:space="preserve">Target Intensity </t>
  </si>
  <si>
    <r>
      <t xml:space="preserve">SAFER Study (Observed)
</t>
    </r>
    <r>
      <rPr>
        <sz val="14"/>
        <color theme="1"/>
        <rFont val="Calibri"/>
        <family val="2"/>
        <scheme val="minor"/>
      </rPr>
      <t>(Scenario 0)</t>
    </r>
  </si>
  <si>
    <t xml:space="preserve">SAFER Cost Analysis Cost Inputs Table: Individual strategies total cost per couple </t>
  </si>
  <si>
    <t xml:space="preserve">SAFER Cost Analysis Cost Inputs Table: Strategy combinations total cost per couple </t>
  </si>
  <si>
    <t>ART refill as needed (3 month supply)</t>
  </si>
  <si>
    <t xml:space="preserve">Provide refill as needed </t>
  </si>
  <si>
    <t>Discuss VL results, retest to confirm suppression (1)</t>
  </si>
  <si>
    <t>Terris-Prestholt 2015</t>
  </si>
  <si>
    <t>SAFER Conception Target Resource Intensity: Strategy Details and Tests</t>
  </si>
  <si>
    <t>High Intensity (Study-level) with MOHCC (Real-world) Prices 
(Scenario 1)</t>
  </si>
  <si>
    <t>Target Intensity, Incremental Cost Added to Current Practice  
(Scenario 2)</t>
  </si>
  <si>
    <t>Target Intensity, Incremental Cost Added to SOC 
(Scenario 3)</t>
  </si>
  <si>
    <t>High Intensity (Study-level) with MOHCC (Real-world) Prices 
 (Scenario 1)</t>
  </si>
  <si>
    <t>Clinic equipment (non-lab)****</t>
  </si>
  <si>
    <t>Training (time and materials)</t>
  </si>
  <si>
    <t xml:space="preserve">SAFER Study (Observed) </t>
  </si>
  <si>
    <t>SAFER Study (Observed)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</si>
</sst>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164" formatCode="&quot;$&quot;#,##0.00"/>
    <numFmt numFmtId="165" formatCode="0.0"/>
  </numFmts>
  <fonts count="12">
    <font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0"/>
      <color rgb="FF000000"/>
      <name val="Tahoma"/>
      <family val="2"/>
    </font>
    <font>
      <sz val="10"/>
      <color rgb="FF000000"/>
      <name val="Tahoma"/>
      <family val="2"/>
    </font>
    <font>
      <sz val="14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indexed="64"/>
      </top>
      <bottom style="thin">
        <color theme="1"/>
      </bottom>
      <diagonal/>
    </border>
    <border>
      <left/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/>
      <right/>
      <top/>
      <bottom style="thin">
        <color theme="2" tint="-0.499984740745262"/>
      </bottom>
      <diagonal/>
    </border>
    <border>
      <left/>
      <right style="thin">
        <color indexed="64"/>
      </right>
      <top/>
      <bottom style="thin">
        <color theme="2" tint="-0.4999847407452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theme="1"/>
      </left>
      <right/>
      <top/>
      <bottom/>
      <diagonal/>
    </border>
    <border>
      <left/>
      <right style="thin">
        <color theme="1"/>
      </right>
      <top/>
      <bottom/>
      <diagonal/>
    </border>
  </borders>
  <cellStyleXfs count="1">
    <xf numFmtId="0" fontId="0" fillId="0" borderId="0"/>
  </cellStyleXfs>
  <cellXfs count="124">
    <xf numFmtId="0" fontId="0" fillId="0" borderId="0" xfId="0"/>
    <xf numFmtId="0" fontId="0" fillId="0" borderId="0" xfId="0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 vertical="center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/>
    <xf numFmtId="0" fontId="1" fillId="3" borderId="0" xfId="0" applyFont="1" applyFill="1" applyAlignment="1">
      <alignment horizontal="left"/>
    </xf>
    <xf numFmtId="0" fontId="0" fillId="3" borderId="0" xfId="0" applyFill="1"/>
    <xf numFmtId="0" fontId="2" fillId="0" borderId="0" xfId="0" applyFont="1"/>
    <xf numFmtId="0" fontId="1" fillId="4" borderId="0" xfId="0" applyFont="1" applyFill="1"/>
    <xf numFmtId="0" fontId="1" fillId="4" borderId="0" xfId="0" applyFont="1" applyFill="1" applyAlignment="1">
      <alignment horizontal="left"/>
    </xf>
    <xf numFmtId="0" fontId="0" fillId="4" borderId="0" xfId="0" applyFill="1"/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wrapText="1" indent="2"/>
    </xf>
    <xf numFmtId="0" fontId="2" fillId="0" borderId="0" xfId="0" applyFont="1" applyAlignment="1">
      <alignment horizontal="left"/>
    </xf>
    <xf numFmtId="0" fontId="0" fillId="0" borderId="0" xfId="0" applyAlignment="1">
      <alignment wrapText="1"/>
    </xf>
    <xf numFmtId="0" fontId="2" fillId="3" borderId="0" xfId="0" applyFont="1" applyFill="1" applyAlignment="1">
      <alignment horizontal="left" indent="2"/>
    </xf>
    <xf numFmtId="0" fontId="0" fillId="3" borderId="0" xfId="0" applyFill="1" applyAlignment="1">
      <alignment wrapText="1"/>
    </xf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 indent="2"/>
    </xf>
    <xf numFmtId="0" fontId="0" fillId="0" borderId="0" xfId="0" applyAlignment="1">
      <alignment horizontal="left" indent="3"/>
    </xf>
    <xf numFmtId="0" fontId="3" fillId="0" borderId="0" xfId="0" applyFont="1" applyAlignment="1">
      <alignment horizontal="left"/>
    </xf>
    <xf numFmtId="164" fontId="0" fillId="0" borderId="0" xfId="0" applyNumberFormat="1"/>
    <xf numFmtId="0" fontId="4" fillId="0" borderId="0" xfId="0" applyFont="1" applyAlignment="1">
      <alignment vertical="center"/>
    </xf>
    <xf numFmtId="0" fontId="8" fillId="0" borderId="13" xfId="0" applyFont="1" applyBorder="1" applyAlignment="1">
      <alignment vertical="center"/>
    </xf>
    <xf numFmtId="0" fontId="8" fillId="0" borderId="18" xfId="0" applyFont="1" applyBorder="1" applyAlignment="1">
      <alignment vertical="center"/>
    </xf>
    <xf numFmtId="0" fontId="0" fillId="0" borderId="19" xfId="0" applyBorder="1"/>
    <xf numFmtId="164" fontId="0" fillId="0" borderId="19" xfId="0" applyNumberForma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164" fontId="0" fillId="4" borderId="0" xfId="0" applyNumberFormat="1" applyFill="1"/>
    <xf numFmtId="0" fontId="0" fillId="4" borderId="21" xfId="0" applyFill="1" applyBorder="1"/>
    <xf numFmtId="0" fontId="0" fillId="0" borderId="21" xfId="0" applyBorder="1"/>
    <xf numFmtId="0" fontId="0" fillId="0" borderId="22" xfId="0" applyBorder="1"/>
    <xf numFmtId="0" fontId="9" fillId="0" borderId="22" xfId="0" applyFont="1" applyBorder="1"/>
    <xf numFmtId="164" fontId="9" fillId="0" borderId="0" xfId="0" applyNumberFormat="1" applyFont="1"/>
    <xf numFmtId="0" fontId="0" fillId="0" borderId="23" xfId="0" applyBorder="1"/>
    <xf numFmtId="164" fontId="0" fillId="0" borderId="24" xfId="0" applyNumberFormat="1" applyBorder="1"/>
    <xf numFmtId="0" fontId="2" fillId="0" borderId="0" xfId="0" applyFont="1" applyAlignment="1">
      <alignment horizontal="left" indent="1"/>
    </xf>
    <xf numFmtId="16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65" fontId="0" fillId="0" borderId="0" xfId="0" applyNumberFormat="1" applyAlignment="1">
      <alignment horizontal="center"/>
    </xf>
    <xf numFmtId="0" fontId="0" fillId="0" borderId="21" xfId="0" applyBorder="1" applyAlignment="1">
      <alignment horizontal="center"/>
    </xf>
    <xf numFmtId="8" fontId="0" fillId="0" borderId="0" xfId="0" applyNumberFormat="1" applyAlignment="1">
      <alignment horizontal="center"/>
    </xf>
    <xf numFmtId="165" fontId="0" fillId="0" borderId="22" xfId="0" applyNumberFormat="1" applyBorder="1" applyAlignment="1">
      <alignment horizontal="center"/>
    </xf>
    <xf numFmtId="0" fontId="0" fillId="0" borderId="23" xfId="0" applyBorder="1" applyAlignment="1">
      <alignment horizontal="center"/>
    </xf>
    <xf numFmtId="164" fontId="0" fillId="0" borderId="24" xfId="0" applyNumberFormat="1" applyBorder="1" applyAlignment="1">
      <alignment horizontal="center"/>
    </xf>
    <xf numFmtId="0" fontId="0" fillId="0" borderId="22" xfId="0" applyBorder="1" applyAlignment="1">
      <alignment horizontal="center"/>
    </xf>
    <xf numFmtId="2" fontId="0" fillId="0" borderId="0" xfId="0" applyNumberFormat="1" applyAlignment="1">
      <alignment horizontal="center"/>
    </xf>
    <xf numFmtId="2" fontId="0" fillId="0" borderId="22" xfId="0" applyNumberFormat="1" applyBorder="1" applyAlignment="1">
      <alignment horizontal="center"/>
    </xf>
    <xf numFmtId="0" fontId="9" fillId="0" borderId="22" xfId="0" applyFont="1" applyBorder="1" applyAlignment="1">
      <alignment horizontal="center"/>
    </xf>
    <xf numFmtId="164" fontId="9" fillId="0" borderId="0" xfId="0" applyNumberFormat="1" applyFont="1" applyAlignment="1">
      <alignment horizontal="center"/>
    </xf>
    <xf numFmtId="0" fontId="2" fillId="5" borderId="0" xfId="0" applyFont="1" applyFill="1" applyAlignment="1">
      <alignment horizontal="left"/>
    </xf>
    <xf numFmtId="0" fontId="0" fillId="5" borderId="0" xfId="0" applyFill="1" applyAlignment="1">
      <alignment horizontal="center"/>
    </xf>
    <xf numFmtId="164" fontId="2" fillId="5" borderId="0" xfId="0" applyNumberFormat="1" applyFont="1" applyFill="1" applyAlignment="1">
      <alignment horizontal="center"/>
    </xf>
    <xf numFmtId="0" fontId="0" fillId="5" borderId="21" xfId="0" applyFill="1" applyBorder="1" applyAlignment="1">
      <alignment horizontal="center"/>
    </xf>
    <xf numFmtId="0" fontId="0" fillId="5" borderId="22" xfId="0" applyFill="1" applyBorder="1" applyAlignment="1">
      <alignment horizontal="center"/>
    </xf>
    <xf numFmtId="0" fontId="9" fillId="5" borderId="22" xfId="0" applyFont="1" applyFill="1" applyBorder="1" applyAlignment="1">
      <alignment horizontal="center"/>
    </xf>
    <xf numFmtId="0" fontId="0" fillId="5" borderId="23" xfId="0" applyFill="1" applyBorder="1" applyAlignment="1">
      <alignment horizontal="center"/>
    </xf>
    <xf numFmtId="164" fontId="2" fillId="5" borderId="24" xfId="0" applyNumberFormat="1" applyFont="1" applyFill="1" applyBorder="1" applyAlignment="1">
      <alignment horizontal="center"/>
    </xf>
    <xf numFmtId="164" fontId="0" fillId="4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0" fontId="0" fillId="4" borderId="21" xfId="0" applyFill="1" applyBorder="1" applyAlignment="1">
      <alignment horizontal="center"/>
    </xf>
    <xf numFmtId="164" fontId="9" fillId="4" borderId="0" xfId="0" applyNumberFormat="1" applyFont="1" applyFill="1" applyAlignment="1">
      <alignment horizontal="center"/>
    </xf>
    <xf numFmtId="164" fontId="0" fillId="0" borderId="23" xfId="0" applyNumberFormat="1" applyBorder="1" applyAlignment="1">
      <alignment horizontal="center"/>
    </xf>
    <xf numFmtId="2" fontId="0" fillId="0" borderId="23" xfId="0" applyNumberFormat="1" applyBorder="1" applyAlignment="1">
      <alignment horizontal="center"/>
    </xf>
    <xf numFmtId="1" fontId="0" fillId="0" borderId="23" xfId="0" applyNumberFormat="1" applyBorder="1" applyAlignment="1">
      <alignment horizontal="center"/>
    </xf>
    <xf numFmtId="0" fontId="0" fillId="0" borderId="0" xfId="0" applyAlignment="1">
      <alignment horizontal="left" indent="1"/>
    </xf>
    <xf numFmtId="0" fontId="0" fillId="0" borderId="22" xfId="0" applyBorder="1" applyAlignment="1">
      <alignment horizontal="center" vertical="center"/>
    </xf>
    <xf numFmtId="164" fontId="10" fillId="5" borderId="0" xfId="0" applyNumberFormat="1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2" fillId="5" borderId="23" xfId="0" applyFont="1" applyFill="1" applyBorder="1" applyAlignment="1">
      <alignment horizontal="center"/>
    </xf>
    <xf numFmtId="164" fontId="10" fillId="5" borderId="24" xfId="0" applyNumberFormat="1" applyFont="1" applyFill="1" applyBorder="1" applyAlignment="1">
      <alignment horizontal="center"/>
    </xf>
    <xf numFmtId="0" fontId="10" fillId="5" borderId="22" xfId="0" applyFont="1" applyFill="1" applyBorder="1" applyAlignment="1">
      <alignment horizontal="center"/>
    </xf>
    <xf numFmtId="0" fontId="2" fillId="5" borderId="22" xfId="0" applyFont="1" applyFill="1" applyBorder="1" applyAlignment="1">
      <alignment horizontal="center"/>
    </xf>
    <xf numFmtId="0" fontId="2" fillId="5" borderId="21" xfId="0" applyFont="1" applyFill="1" applyBorder="1" applyAlignment="1">
      <alignment horizontal="center"/>
    </xf>
    <xf numFmtId="164" fontId="9" fillId="0" borderId="24" xfId="0" applyNumberFormat="1" applyFont="1" applyBorder="1" applyAlignment="1">
      <alignment horizontal="center"/>
    </xf>
    <xf numFmtId="2" fontId="9" fillId="0" borderId="22" xfId="0" applyNumberFormat="1" applyFont="1" applyBorder="1" applyAlignment="1">
      <alignment horizontal="center"/>
    </xf>
    <xf numFmtId="165" fontId="9" fillId="0" borderId="22" xfId="0" applyNumberFormat="1" applyFont="1" applyBorder="1" applyAlignment="1">
      <alignment horizontal="center"/>
    </xf>
    <xf numFmtId="0" fontId="9" fillId="0" borderId="22" xfId="0" applyFont="1" applyBorder="1" applyAlignment="1">
      <alignment horizontal="center" vertical="center"/>
    </xf>
    <xf numFmtId="0" fontId="0" fillId="0" borderId="0" xfId="0" applyNumberFormat="1" applyAlignment="1">
      <alignment horizontal="center"/>
    </xf>
    <xf numFmtId="164" fontId="0" fillId="0" borderId="21" xfId="0" applyNumberFormat="1" applyBorder="1" applyAlignment="1">
      <alignment horizontal="center"/>
    </xf>
    <xf numFmtId="164" fontId="0" fillId="0" borderId="0" xfId="0" applyNumberFormat="1" applyProtection="1">
      <protection hidden="1"/>
    </xf>
    <xf numFmtId="0" fontId="0" fillId="0" borderId="0" xfId="0" applyProtection="1">
      <protection hidden="1"/>
    </xf>
    <xf numFmtId="0" fontId="4" fillId="0" borderId="0" xfId="0" applyFont="1" applyAlignment="1" applyProtection="1">
      <alignment vertical="center"/>
      <protection hidden="1"/>
    </xf>
    <xf numFmtId="0" fontId="4" fillId="0" borderId="3" xfId="0" applyFont="1" applyBorder="1" applyAlignment="1" applyProtection="1">
      <alignment vertical="center" wrapText="1"/>
      <protection hidden="1"/>
    </xf>
    <xf numFmtId="0" fontId="8" fillId="0" borderId="4" xfId="0" applyFont="1" applyBorder="1" applyAlignment="1" applyProtection="1">
      <alignment vertical="center"/>
      <protection hidden="1"/>
    </xf>
    <xf numFmtId="0" fontId="8" fillId="0" borderId="10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164" fontId="0" fillId="0" borderId="19" xfId="0" applyNumberFormat="1" applyBorder="1" applyAlignment="1" applyProtection="1">
      <alignment horizontal="center"/>
      <protection hidden="1"/>
    </xf>
    <xf numFmtId="0" fontId="0" fillId="0" borderId="19" xfId="0" applyBorder="1" applyAlignment="1" applyProtection="1">
      <alignment horizontal="center"/>
      <protection hidden="1"/>
    </xf>
    <xf numFmtId="164" fontId="0" fillId="4" borderId="0" xfId="0" applyNumberFormat="1" applyFill="1" applyProtection="1">
      <protection hidden="1"/>
    </xf>
    <xf numFmtId="0" fontId="0" fillId="4" borderId="0" xfId="0" applyFill="1" applyProtection="1">
      <protection hidden="1"/>
    </xf>
    <xf numFmtId="164" fontId="0" fillId="0" borderId="0" xfId="0" applyNumberFormat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165" fontId="0" fillId="0" borderId="0" xfId="0" applyNumberFormat="1" applyAlignment="1" applyProtection="1">
      <alignment horizontal="center"/>
      <protection hidden="1"/>
    </xf>
    <xf numFmtId="2" fontId="0" fillId="0" borderId="0" xfId="0" applyNumberFormat="1" applyAlignment="1" applyProtection="1">
      <alignment horizontal="center"/>
      <protection hidden="1"/>
    </xf>
    <xf numFmtId="164" fontId="0" fillId="5" borderId="0" xfId="0" applyNumberFormat="1" applyFill="1" applyAlignment="1" applyProtection="1">
      <alignment horizontal="center"/>
      <protection hidden="1"/>
    </xf>
    <xf numFmtId="0" fontId="0" fillId="5" borderId="0" xfId="0" applyFill="1" applyAlignment="1" applyProtection="1">
      <alignment horizontal="center"/>
      <protection hidden="1"/>
    </xf>
    <xf numFmtId="164" fontId="0" fillId="4" borderId="0" xfId="0" applyNumberFormat="1" applyFill="1" applyAlignment="1" applyProtection="1">
      <alignment horizontal="center"/>
      <protection hidden="1"/>
    </xf>
    <xf numFmtId="0" fontId="0" fillId="4" borderId="0" xfId="0" applyFill="1" applyAlignment="1" applyProtection="1">
      <alignment horizontal="center"/>
      <protection hidden="1"/>
    </xf>
    <xf numFmtId="0" fontId="0" fillId="0" borderId="0" xfId="0" applyAlignment="1" applyProtection="1">
      <alignment horizontal="center" vertical="center"/>
      <protection hidden="1"/>
    </xf>
    <xf numFmtId="164" fontId="2" fillId="5" borderId="0" xfId="0" applyNumberFormat="1" applyFont="1" applyFill="1" applyAlignment="1" applyProtection="1">
      <alignment horizontal="center"/>
      <protection hidden="1"/>
    </xf>
    <xf numFmtId="0" fontId="2" fillId="5" borderId="0" xfId="0" applyFont="1" applyFill="1" applyAlignment="1" applyProtection="1">
      <alignment horizontal="center"/>
      <protection hidden="1"/>
    </xf>
    <xf numFmtId="2" fontId="11" fillId="0" borderId="0" xfId="0" applyNumberFormat="1" applyFont="1" applyAlignment="1" applyProtection="1">
      <alignment horizontal="center"/>
      <protection hidden="1"/>
    </xf>
    <xf numFmtId="0" fontId="2" fillId="2" borderId="0" xfId="0" applyFont="1" applyFill="1" applyAlignment="1">
      <alignment horizontal="center"/>
    </xf>
    <xf numFmtId="0" fontId="4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59</xdr:row>
      <xdr:rowOff>25400</xdr:rowOff>
    </xdr:from>
    <xdr:to>
      <xdr:col>4</xdr:col>
      <xdr:colOff>3225800</xdr:colOff>
      <xdr:row>62</xdr:row>
      <xdr:rowOff>50800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67C040F2-7452-DD4F-87A8-0EEC6151D67F}"/>
            </a:ext>
          </a:extLst>
        </xdr:cNvPr>
        <xdr:cNvSpPr txBox="1"/>
      </xdr:nvSpPr>
      <xdr:spPr>
        <a:xfrm>
          <a:off x="177800" y="11569700"/>
          <a:ext cx="12065000" cy="63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aseline="0"/>
            <a:t>ART=Antiretroviral therapy. ART-VL=Antiretroviral therapy with frequent viral load testing. AVI=Artificial vaginal insemination, at home.  HBV=Hepatitis B virus.  PrEP=Pre-exposure prophylaxis (with TRUVADA [emtricitabine/tenofovir disoproxil fumarate]). STI=Sexually transmitted infection. SW=Semen washing. </a:t>
          </a:r>
          <a:endParaRPr lang="en-US" sz="12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13957</xdr:colOff>
      <xdr:row>110</xdr:row>
      <xdr:rowOff>167473</xdr:rowOff>
    </xdr:from>
    <xdr:to>
      <xdr:col>15</xdr:col>
      <xdr:colOff>12700</xdr:colOff>
      <xdr:row>116</xdr:row>
      <xdr:rowOff>12700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9EDA5E53-9962-0D45-AED3-EFF3103E5FB3}"/>
            </a:ext>
          </a:extLst>
        </xdr:cNvPr>
        <xdr:cNvSpPr txBox="1"/>
      </xdr:nvSpPr>
      <xdr:spPr>
        <a:xfrm>
          <a:off x="293357" y="21427273"/>
          <a:ext cx="14921243" cy="106442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*Includes</a:t>
          </a:r>
          <a:r>
            <a:rPr lang="en-US" sz="1100" baseline="0"/>
            <a:t> time and costs for non-clinic, non-laboratory tasks, such as human resources, accounting, and other off-site personnel.</a:t>
          </a:r>
          <a:endParaRPr lang="en-US" sz="1100"/>
        </a:p>
        <a:p>
          <a:r>
            <a:rPr lang="en-US" sz="1100"/>
            <a:t>**Includes consumable clinic supplies</a:t>
          </a:r>
          <a:r>
            <a:rPr lang="en-US" sz="1100" baseline="0"/>
            <a:t> not specific to an individual strategy (paper, binders, condoms, folic acid supplements).</a:t>
          </a:r>
          <a:endParaRPr lang="en-US" sz="1100"/>
        </a:p>
        <a:p>
          <a:r>
            <a:rPr lang="en-US" sz="1100"/>
            <a:t>***Includes</a:t>
          </a:r>
          <a:r>
            <a:rPr lang="en-US" sz="1100" baseline="0"/>
            <a:t> rent, maintenance, electricity, internet, phone communications, office equipment (Xerox machine and computers), security, and insurance. </a:t>
          </a:r>
          <a:br>
            <a:rPr lang="en-US" sz="1100" baseline="0"/>
          </a:br>
          <a:r>
            <a:rPr lang="en-US" sz="1100" baseline="0"/>
            <a:t>****Includes capital goods used for clinical, non-laboratory purposes, such as an examination table, patient exam room chair, and other materials.</a:t>
          </a:r>
        </a:p>
        <a:p>
          <a:r>
            <a:rPr lang="en-US" sz="1100" baseline="0"/>
            <a:t>Further specification on details within each strategy available upon request. </a:t>
          </a:r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190500</xdr:colOff>
      <xdr:row>159</xdr:row>
      <xdr:rowOff>0</xdr:rowOff>
    </xdr:from>
    <xdr:to>
      <xdr:col>7</xdr:col>
      <xdr:colOff>584060</xdr:colOff>
      <xdr:row>163</xdr:row>
      <xdr:rowOff>165100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F6AEEE3F-1204-1047-8548-8343F5A5C9DE}"/>
            </a:ext>
          </a:extLst>
        </xdr:cNvPr>
        <xdr:cNvSpPr txBox="1"/>
      </xdr:nvSpPr>
      <xdr:spPr>
        <a:xfrm>
          <a:off x="190500" y="32931100"/>
          <a:ext cx="10299560" cy="977900"/>
        </a:xfrm>
        <a:prstGeom prst="rect">
          <a:avLst/>
        </a:prstGeom>
        <a:solidFill>
          <a:schemeClr val="bg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*Includes</a:t>
          </a:r>
          <a:r>
            <a:rPr lang="en-US" sz="1100" baseline="0"/>
            <a:t> time and costs for non-clinic, non-laboratory tasks, such as human resources, accounting, and other off-site personnel.</a:t>
          </a:r>
          <a:endParaRPr lang="en-US" sz="1100"/>
        </a:p>
        <a:p>
          <a:r>
            <a:rPr lang="en-US" sz="1100"/>
            <a:t>**Includes consumable clinic supplies</a:t>
          </a:r>
          <a:r>
            <a:rPr lang="en-US" sz="1100" baseline="0"/>
            <a:t> not specific to an individual strategy (paper, binders, condoms, folic acid supplements).</a:t>
          </a:r>
          <a:endParaRPr lang="en-US" sz="1100"/>
        </a:p>
        <a:p>
          <a:r>
            <a:rPr lang="en-US" sz="1100"/>
            <a:t>***Includes</a:t>
          </a:r>
          <a:r>
            <a:rPr lang="en-US" sz="1100" baseline="0"/>
            <a:t> rent, maintenance, electricity, internet, phone communications, office equipment (Xerox machine and computers), security, and insurance. </a:t>
          </a:r>
          <a:br>
            <a:rPr lang="en-US" sz="1100" baseline="0"/>
          </a:br>
          <a:r>
            <a:rPr lang="en-US" sz="1100" baseline="0"/>
            <a:t>****Includes capital goods used for clinical, non-laboratory purposes, such as an examination table, patient exam room chair, and other materials.</a:t>
          </a:r>
        </a:p>
        <a:p>
          <a:r>
            <a:rPr lang="en-US" sz="1100" baseline="0"/>
            <a:t>Further specification on details within each strategy available upon request. </a:t>
          </a:r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D3261-72D8-4540-9FDA-4A50C351CC99}">
  <dimension ref="A1:N228"/>
  <sheetViews>
    <sheetView showGridLines="0" tabSelected="1" zoomScale="119" zoomScaleNormal="119" workbookViewId="0">
      <selection activeCell="B27" sqref="B27"/>
    </sheetView>
  </sheetViews>
  <sheetFormatPr baseColWidth="10" defaultRowHeight="16"/>
  <cols>
    <col min="1" max="1" width="2.33203125" customWidth="1"/>
    <col min="2" max="2" width="28.5" customWidth="1"/>
    <col min="3" max="3" width="44.5" customWidth="1"/>
    <col min="4" max="4" width="43" customWidth="1"/>
    <col min="5" max="5" width="42.5" customWidth="1"/>
    <col min="6" max="6" width="6.1640625" customWidth="1"/>
  </cols>
  <sheetData>
    <row r="1" spans="2:6">
      <c r="C1" s="1"/>
    </row>
    <row r="2" spans="2:6" ht="19">
      <c r="B2" s="2" t="s">
        <v>151</v>
      </c>
    </row>
    <row r="3" spans="2:6" ht="19">
      <c r="B3" s="3"/>
    </row>
    <row r="4" spans="2:6">
      <c r="C4" s="106" t="s">
        <v>0</v>
      </c>
      <c r="D4" s="106"/>
      <c r="E4" s="106"/>
      <c r="F4" s="106"/>
    </row>
    <row r="5" spans="2:6">
      <c r="C5" s="4" t="s">
        <v>1</v>
      </c>
      <c r="D5" s="4" t="s">
        <v>2</v>
      </c>
      <c r="E5" s="4" t="s">
        <v>3</v>
      </c>
      <c r="F5" s="4"/>
    </row>
    <row r="6" spans="2:6">
      <c r="B6" s="5" t="s">
        <v>4</v>
      </c>
      <c r="C6" s="6"/>
      <c r="D6" s="7"/>
      <c r="E6" s="7" t="s">
        <v>5</v>
      </c>
      <c r="F6" s="7"/>
    </row>
    <row r="7" spans="2:6">
      <c r="B7" s="8" t="s">
        <v>6</v>
      </c>
      <c r="C7" s="1" t="s">
        <v>7</v>
      </c>
      <c r="D7" t="s">
        <v>8</v>
      </c>
      <c r="E7" t="s">
        <v>9</v>
      </c>
    </row>
    <row r="8" spans="2:6">
      <c r="B8" s="8" t="s">
        <v>10</v>
      </c>
      <c r="C8" s="1" t="s">
        <v>11</v>
      </c>
      <c r="D8" s="1" t="s">
        <v>11</v>
      </c>
      <c r="E8" s="1" t="s">
        <v>11</v>
      </c>
    </row>
    <row r="9" spans="2:6">
      <c r="B9" s="8" t="s">
        <v>12</v>
      </c>
      <c r="C9" s="1" t="s">
        <v>13</v>
      </c>
      <c r="D9" s="1" t="s">
        <v>13</v>
      </c>
      <c r="E9" s="1" t="s">
        <v>13</v>
      </c>
    </row>
    <row r="10" spans="2:6">
      <c r="B10" s="8" t="s">
        <v>14</v>
      </c>
      <c r="C10" s="1" t="s">
        <v>15</v>
      </c>
      <c r="D10" t="s">
        <v>15</v>
      </c>
      <c r="E10" t="s">
        <v>16</v>
      </c>
    </row>
    <row r="11" spans="2:6">
      <c r="B11" s="8" t="s">
        <v>17</v>
      </c>
      <c r="C11" s="1" t="s">
        <v>18</v>
      </c>
      <c r="D11" t="s">
        <v>19</v>
      </c>
      <c r="E11" t="s">
        <v>19</v>
      </c>
    </row>
    <row r="12" spans="2:6">
      <c r="B12" s="8"/>
      <c r="C12" s="1" t="s">
        <v>20</v>
      </c>
      <c r="D12" t="s">
        <v>21</v>
      </c>
      <c r="E12" t="s">
        <v>21</v>
      </c>
    </row>
    <row r="13" spans="2:6">
      <c r="B13" s="8"/>
      <c r="C13" t="s">
        <v>22</v>
      </c>
      <c r="D13" t="s">
        <v>23</v>
      </c>
      <c r="E13" t="s">
        <v>23</v>
      </c>
    </row>
    <row r="14" spans="2:6">
      <c r="B14" s="8"/>
      <c r="C14" t="s">
        <v>24</v>
      </c>
      <c r="D14" t="s">
        <v>25</v>
      </c>
      <c r="E14" t="s">
        <v>25</v>
      </c>
    </row>
    <row r="15" spans="2:6">
      <c r="B15" s="8"/>
      <c r="C15" t="s">
        <v>26</v>
      </c>
      <c r="D15" t="s">
        <v>27</v>
      </c>
      <c r="E15" t="s">
        <v>28</v>
      </c>
    </row>
    <row r="16" spans="2:6">
      <c r="B16" s="8"/>
      <c r="C16" s="1" t="s">
        <v>29</v>
      </c>
      <c r="D16" t="s">
        <v>30</v>
      </c>
    </row>
    <row r="17" spans="1:14">
      <c r="B17" s="8"/>
      <c r="C17" s="1" t="s">
        <v>31</v>
      </c>
    </row>
    <row r="18" spans="1:14">
      <c r="B18" s="8"/>
      <c r="C18" s="1"/>
    </row>
    <row r="19" spans="1:14">
      <c r="B19" s="5" t="s">
        <v>32</v>
      </c>
      <c r="C19" s="6"/>
      <c r="D19" s="7"/>
      <c r="E19" s="7" t="s">
        <v>5</v>
      </c>
      <c r="F19" s="7"/>
    </row>
    <row r="20" spans="1:14" s="11" customFormat="1" ht="8" customHeight="1">
      <c r="A20"/>
      <c r="B20" s="9"/>
      <c r="C20" s="10"/>
      <c r="G20"/>
      <c r="H20"/>
      <c r="I20"/>
      <c r="J20"/>
      <c r="K20"/>
      <c r="L20"/>
      <c r="M20"/>
      <c r="N20"/>
    </row>
    <row r="21" spans="1:14">
      <c r="B21" s="8" t="s">
        <v>33</v>
      </c>
      <c r="C21" s="1" t="s">
        <v>34</v>
      </c>
      <c r="D21" s="1" t="s">
        <v>35</v>
      </c>
      <c r="E21" s="1" t="s">
        <v>35</v>
      </c>
    </row>
    <row r="22" spans="1:14">
      <c r="B22" s="8"/>
      <c r="C22" s="1" t="s">
        <v>36</v>
      </c>
      <c r="D22" s="1" t="s">
        <v>149</v>
      </c>
      <c r="E22" s="1" t="s">
        <v>36</v>
      </c>
    </row>
    <row r="23" spans="1:14">
      <c r="B23" s="8"/>
      <c r="C23" s="1" t="s">
        <v>37</v>
      </c>
      <c r="D23" s="1"/>
      <c r="E23" s="1" t="s">
        <v>38</v>
      </c>
    </row>
    <row r="24" spans="1:14">
      <c r="B24" s="8"/>
      <c r="C24" s="1" t="s">
        <v>39</v>
      </c>
      <c r="D24" s="1" t="s">
        <v>39</v>
      </c>
      <c r="E24" s="1" t="s">
        <v>39</v>
      </c>
    </row>
    <row r="25" spans="1:14">
      <c r="B25" s="8"/>
      <c r="C25" s="1" t="s">
        <v>40</v>
      </c>
      <c r="E25" s="1" t="s">
        <v>40</v>
      </c>
    </row>
    <row r="26" spans="1:14">
      <c r="B26" s="8"/>
      <c r="C26" s="1" t="s">
        <v>41</v>
      </c>
      <c r="D26" s="1"/>
      <c r="E26" s="1"/>
    </row>
    <row r="27" spans="1:14">
      <c r="B27" s="8"/>
      <c r="C27" s="1" t="s">
        <v>42</v>
      </c>
      <c r="D27" s="1"/>
      <c r="E27" s="1"/>
    </row>
    <row r="28" spans="1:14">
      <c r="B28" s="8"/>
      <c r="C28" s="1" t="s">
        <v>43</v>
      </c>
      <c r="D28" s="1"/>
      <c r="E28" s="1" t="s">
        <v>44</v>
      </c>
    </row>
    <row r="29" spans="1:14">
      <c r="B29" s="8"/>
      <c r="C29" s="1" t="s">
        <v>45</v>
      </c>
      <c r="D29" s="1"/>
      <c r="E29" s="1" t="s">
        <v>46</v>
      </c>
    </row>
    <row r="30" spans="1:14" ht="23" customHeight="1">
      <c r="B30" s="12" t="s">
        <v>47</v>
      </c>
      <c r="C30" s="1" t="s">
        <v>48</v>
      </c>
      <c r="D30" s="1" t="s">
        <v>48</v>
      </c>
      <c r="E30" s="1" t="s">
        <v>147</v>
      </c>
    </row>
    <row r="31" spans="1:14" ht="23" customHeight="1">
      <c r="B31" s="13" t="s">
        <v>49</v>
      </c>
      <c r="D31" s="14" t="s">
        <v>50</v>
      </c>
      <c r="E31" s="14" t="s">
        <v>50</v>
      </c>
    </row>
    <row r="32" spans="1:14" ht="17" customHeight="1">
      <c r="B32" s="13"/>
      <c r="C32" s="15" t="s">
        <v>51</v>
      </c>
      <c r="D32" s="1" t="s">
        <v>148</v>
      </c>
      <c r="E32" s="1" t="s">
        <v>52</v>
      </c>
    </row>
    <row r="33" spans="1:14" ht="17">
      <c r="B33" s="8"/>
      <c r="C33" s="15" t="s">
        <v>53</v>
      </c>
      <c r="D33" t="s">
        <v>54</v>
      </c>
      <c r="E33" t="s">
        <v>55</v>
      </c>
    </row>
    <row r="34" spans="1:14">
      <c r="B34" s="8"/>
      <c r="C34" s="1" t="s">
        <v>56</v>
      </c>
      <c r="D34" t="s">
        <v>57</v>
      </c>
      <c r="E34" t="s">
        <v>57</v>
      </c>
    </row>
    <row r="35" spans="1:14">
      <c r="B35" s="8"/>
      <c r="C35" s="1"/>
    </row>
    <row r="36" spans="1:14" s="11" customFormat="1" ht="7" customHeight="1">
      <c r="A36"/>
      <c r="B36" s="9"/>
      <c r="C36" s="10"/>
      <c r="G36"/>
      <c r="H36"/>
      <c r="I36"/>
      <c r="J36"/>
      <c r="K36"/>
      <c r="L36"/>
      <c r="M36"/>
      <c r="N36"/>
    </row>
    <row r="37" spans="1:14">
      <c r="B37" s="8" t="s">
        <v>58</v>
      </c>
      <c r="C37" s="1" t="s">
        <v>34</v>
      </c>
      <c r="D37" s="1" t="s">
        <v>35</v>
      </c>
      <c r="E37" s="1" t="s">
        <v>35</v>
      </c>
    </row>
    <row r="38" spans="1:14">
      <c r="B38" s="8"/>
      <c r="C38" s="1" t="s">
        <v>37</v>
      </c>
      <c r="E38" s="1" t="s">
        <v>38</v>
      </c>
    </row>
    <row r="39" spans="1:14">
      <c r="B39" s="8"/>
      <c r="C39" s="1" t="s">
        <v>39</v>
      </c>
      <c r="D39" s="1" t="s">
        <v>39</v>
      </c>
      <c r="E39" s="1" t="s">
        <v>39</v>
      </c>
    </row>
    <row r="40" spans="1:14">
      <c r="B40" s="8"/>
      <c r="C40" s="1" t="s">
        <v>40</v>
      </c>
      <c r="D40" s="1"/>
      <c r="E40" s="1" t="s">
        <v>59</v>
      </c>
    </row>
    <row r="41" spans="1:14">
      <c r="B41" s="8"/>
      <c r="C41" s="1" t="s">
        <v>41</v>
      </c>
    </row>
    <row r="42" spans="1:14">
      <c r="B42" s="8"/>
      <c r="C42" s="1" t="s">
        <v>42</v>
      </c>
    </row>
    <row r="43" spans="1:14" ht="17">
      <c r="B43" s="12" t="s">
        <v>47</v>
      </c>
      <c r="C43" s="15" t="s">
        <v>60</v>
      </c>
      <c r="D43" t="s">
        <v>60</v>
      </c>
      <c r="E43" t="s">
        <v>61</v>
      </c>
    </row>
    <row r="44" spans="1:14">
      <c r="B44" s="8"/>
      <c r="C44" s="1"/>
    </row>
    <row r="45" spans="1:14" ht="6" customHeight="1">
      <c r="B45" s="9"/>
      <c r="C45" s="10"/>
      <c r="D45" s="11"/>
      <c r="E45" s="11"/>
      <c r="F45" s="11"/>
    </row>
    <row r="46" spans="1:14">
      <c r="B46" s="8" t="s">
        <v>62</v>
      </c>
      <c r="C46" s="1" t="s">
        <v>34</v>
      </c>
      <c r="D46" s="1" t="s">
        <v>35</v>
      </c>
      <c r="E46" s="1" t="s">
        <v>35</v>
      </c>
    </row>
    <row r="47" spans="1:14">
      <c r="B47" s="8"/>
      <c r="C47" s="1" t="s">
        <v>39</v>
      </c>
      <c r="D47" s="1" t="s">
        <v>39</v>
      </c>
      <c r="E47" s="1" t="s">
        <v>39</v>
      </c>
    </row>
    <row r="48" spans="1:14">
      <c r="B48" s="8"/>
      <c r="C48" s="1" t="s">
        <v>41</v>
      </c>
    </row>
    <row r="49" spans="2:6">
      <c r="B49" s="8"/>
      <c r="C49" s="1" t="s">
        <v>42</v>
      </c>
    </row>
    <row r="50" spans="2:6" ht="17">
      <c r="B50" s="12" t="s">
        <v>63</v>
      </c>
      <c r="C50" s="15"/>
      <c r="D50" s="15" t="s">
        <v>64</v>
      </c>
      <c r="E50" s="1" t="s">
        <v>65</v>
      </c>
    </row>
    <row r="51" spans="2:6" ht="17">
      <c r="B51" s="12"/>
      <c r="C51" s="15"/>
      <c r="E51" s="15" t="s">
        <v>64</v>
      </c>
    </row>
    <row r="52" spans="2:6" ht="6" customHeight="1">
      <c r="B52" s="9"/>
      <c r="C52" s="10"/>
      <c r="D52" s="11"/>
      <c r="E52" s="11"/>
      <c r="F52" s="11"/>
    </row>
    <row r="53" spans="2:6">
      <c r="B53" s="8" t="s">
        <v>66</v>
      </c>
      <c r="C53" s="1" t="s">
        <v>34</v>
      </c>
      <c r="D53" s="1" t="s">
        <v>35</v>
      </c>
      <c r="E53" s="1" t="s">
        <v>35</v>
      </c>
    </row>
    <row r="54" spans="2:6">
      <c r="B54" s="8"/>
      <c r="C54" s="1" t="s">
        <v>39</v>
      </c>
      <c r="D54" s="1" t="s">
        <v>39</v>
      </c>
      <c r="E54" s="1" t="s">
        <v>39</v>
      </c>
    </row>
    <row r="55" spans="2:6">
      <c r="B55" s="8"/>
      <c r="C55" s="1" t="s">
        <v>41</v>
      </c>
    </row>
    <row r="56" spans="2:6">
      <c r="B56" s="8"/>
      <c r="C56" s="1" t="s">
        <v>42</v>
      </c>
    </row>
    <row r="57" spans="2:6" ht="17">
      <c r="B57" s="12" t="s">
        <v>67</v>
      </c>
      <c r="D57" s="15" t="s">
        <v>68</v>
      </c>
      <c r="E57" s="15" t="s">
        <v>68</v>
      </c>
    </row>
    <row r="58" spans="2:6">
      <c r="B58" s="12"/>
      <c r="D58" s="15"/>
      <c r="E58" s="15"/>
    </row>
    <row r="59" spans="2:6" ht="5" customHeight="1">
      <c r="B59" s="16"/>
      <c r="C59" s="7"/>
      <c r="D59" s="17"/>
      <c r="E59" s="17"/>
      <c r="F59" s="7"/>
    </row>
    <row r="60" spans="2:6">
      <c r="B60" s="12"/>
      <c r="D60" s="15"/>
      <c r="E60" s="15"/>
    </row>
    <row r="61" spans="2:6">
      <c r="B61" s="12"/>
      <c r="D61" s="15"/>
      <c r="E61" s="15"/>
    </row>
    <row r="62" spans="2:6">
      <c r="B62" s="12"/>
      <c r="C62" s="15"/>
    </row>
    <row r="64" spans="2:6">
      <c r="B64" s="18"/>
      <c r="C64" s="19"/>
    </row>
    <row r="65" spans="2:3">
      <c r="C65" s="14"/>
    </row>
    <row r="66" spans="2:3">
      <c r="B66" s="8"/>
      <c r="C66" s="1"/>
    </row>
    <row r="67" spans="2:3">
      <c r="B67" s="20"/>
      <c r="C67" s="1"/>
    </row>
    <row r="68" spans="2:3">
      <c r="B68" s="20"/>
      <c r="C68" s="1"/>
    </row>
    <row r="69" spans="2:3">
      <c r="B69" s="20"/>
      <c r="C69" s="1"/>
    </row>
    <row r="70" spans="2:3">
      <c r="B70" s="20"/>
      <c r="C70" s="1"/>
    </row>
    <row r="71" spans="2:3">
      <c r="B71" s="12"/>
      <c r="C71" s="1"/>
    </row>
    <row r="72" spans="2:3">
      <c r="B72" s="21"/>
      <c r="C72" s="1"/>
    </row>
    <row r="73" spans="2:3">
      <c r="B73" s="21"/>
      <c r="C73" s="1"/>
    </row>
    <row r="74" spans="2:3">
      <c r="B74" s="21"/>
      <c r="C74" s="1"/>
    </row>
    <row r="75" spans="2:3">
      <c r="B75" s="21"/>
      <c r="C75" s="1"/>
    </row>
    <row r="76" spans="2:3">
      <c r="B76" s="21"/>
      <c r="C76" s="1"/>
    </row>
    <row r="77" spans="2:3">
      <c r="B77" s="21"/>
      <c r="C77" s="1"/>
    </row>
    <row r="78" spans="2:3">
      <c r="B78" s="21"/>
      <c r="C78" s="1"/>
    </row>
    <row r="79" spans="2:3">
      <c r="B79" s="21"/>
      <c r="C79" s="1"/>
    </row>
    <row r="80" spans="2:3">
      <c r="B80" s="21"/>
      <c r="C80" s="1"/>
    </row>
    <row r="81" spans="2:3">
      <c r="B81" s="12"/>
      <c r="C81" s="1"/>
    </row>
    <row r="82" spans="2:3">
      <c r="B82" s="21"/>
      <c r="C82" s="1"/>
    </row>
    <row r="83" spans="2:3">
      <c r="B83" s="21"/>
      <c r="C83" s="1"/>
    </row>
    <row r="84" spans="2:3">
      <c r="B84" s="21"/>
      <c r="C84" s="1"/>
    </row>
    <row r="85" spans="2:3">
      <c r="B85" s="8"/>
      <c r="C85" s="1"/>
    </row>
    <row r="86" spans="2:3">
      <c r="B86" s="20"/>
      <c r="C86" s="1"/>
    </row>
    <row r="87" spans="2:3">
      <c r="B87" s="20"/>
      <c r="C87" s="1"/>
    </row>
    <row r="88" spans="2:3">
      <c r="B88" s="20"/>
      <c r="C88" s="1"/>
    </row>
    <row r="89" spans="2:3">
      <c r="B89" s="20"/>
      <c r="C89" s="1"/>
    </row>
    <row r="90" spans="2:3">
      <c r="B90" s="12"/>
      <c r="C90" s="1"/>
    </row>
    <row r="91" spans="2:3">
      <c r="B91" s="21"/>
      <c r="C91" s="1"/>
    </row>
    <row r="92" spans="2:3">
      <c r="B92" s="21"/>
      <c r="C92" s="1"/>
    </row>
    <row r="93" spans="2:3">
      <c r="B93" s="21"/>
      <c r="C93" s="1"/>
    </row>
    <row r="94" spans="2:3">
      <c r="B94" s="21"/>
      <c r="C94" s="1"/>
    </row>
    <row r="95" spans="2:3">
      <c r="B95" s="21"/>
      <c r="C95" s="1"/>
    </row>
    <row r="96" spans="2:3">
      <c r="B96" s="21"/>
      <c r="C96" s="1"/>
    </row>
    <row r="97" spans="2:3">
      <c r="B97" s="21"/>
      <c r="C97" s="1"/>
    </row>
    <row r="98" spans="2:3">
      <c r="B98" s="21"/>
      <c r="C98" s="1"/>
    </row>
    <row r="99" spans="2:3">
      <c r="B99" s="12"/>
      <c r="C99" s="1"/>
    </row>
    <row r="100" spans="2:3">
      <c r="B100" s="21"/>
      <c r="C100" s="1"/>
    </row>
    <row r="101" spans="2:3">
      <c r="B101" s="21"/>
      <c r="C101" s="1"/>
    </row>
    <row r="102" spans="2:3">
      <c r="B102" s="8"/>
      <c r="C102" s="1"/>
    </row>
    <row r="103" spans="2:3">
      <c r="B103" s="20"/>
      <c r="C103" s="1"/>
    </row>
    <row r="104" spans="2:3">
      <c r="B104" s="20"/>
      <c r="C104" s="1"/>
    </row>
    <row r="105" spans="2:3">
      <c r="B105" s="20"/>
      <c r="C105" s="1"/>
    </row>
    <row r="106" spans="2:3">
      <c r="B106" s="20"/>
      <c r="C106" s="1"/>
    </row>
    <row r="107" spans="2:3">
      <c r="B107" s="20"/>
      <c r="C107" s="1"/>
    </row>
    <row r="108" spans="2:3">
      <c r="B108" s="12"/>
      <c r="C108" s="1"/>
    </row>
    <row r="109" spans="2:3">
      <c r="B109" s="21"/>
      <c r="C109" s="1"/>
    </row>
    <row r="110" spans="2:3">
      <c r="B110" s="21"/>
      <c r="C110" s="1"/>
    </row>
    <row r="111" spans="2:3">
      <c r="B111" s="21"/>
      <c r="C111" s="1"/>
    </row>
    <row r="112" spans="2:3">
      <c r="B112" s="21"/>
      <c r="C112" s="1"/>
    </row>
    <row r="113" spans="2:3">
      <c r="B113" s="21"/>
      <c r="C113" s="1"/>
    </row>
    <row r="114" spans="2:3">
      <c r="B114" s="12"/>
      <c r="C114" s="1"/>
    </row>
    <row r="115" spans="2:3">
      <c r="B115" s="21"/>
      <c r="C115" s="1"/>
    </row>
    <row r="116" spans="2:3">
      <c r="B116" s="21"/>
      <c r="C116" s="1"/>
    </row>
    <row r="117" spans="2:3">
      <c r="B117" s="8"/>
      <c r="C117" s="1"/>
    </row>
    <row r="118" spans="2:3">
      <c r="B118" s="20"/>
      <c r="C118" s="1"/>
    </row>
    <row r="119" spans="2:3">
      <c r="B119" s="20"/>
      <c r="C119" s="1"/>
    </row>
    <row r="120" spans="2:3">
      <c r="B120" s="20"/>
      <c r="C120" s="1"/>
    </row>
    <row r="121" spans="2:3">
      <c r="B121" s="12"/>
      <c r="C121" s="1"/>
    </row>
    <row r="122" spans="2:3">
      <c r="B122" s="21"/>
      <c r="C122" s="1"/>
    </row>
    <row r="123" spans="2:3">
      <c r="B123" s="21"/>
      <c r="C123" s="1"/>
    </row>
    <row r="124" spans="2:3">
      <c r="B124" s="21"/>
      <c r="C124" s="1"/>
    </row>
    <row r="125" spans="2:3">
      <c r="B125" s="21"/>
      <c r="C125" s="1"/>
    </row>
    <row r="126" spans="2:3">
      <c r="B126" s="21"/>
      <c r="C126" s="1"/>
    </row>
    <row r="127" spans="2:3">
      <c r="B127" s="12"/>
      <c r="C127" s="1"/>
    </row>
    <row r="128" spans="2:3">
      <c r="B128" s="21"/>
      <c r="C128" s="1"/>
    </row>
    <row r="129" spans="2:3">
      <c r="B129" s="21"/>
      <c r="C129" s="1"/>
    </row>
    <row r="130" spans="2:3">
      <c r="B130" s="19"/>
      <c r="C130" s="22"/>
    </row>
    <row r="131" spans="2:3">
      <c r="C131" s="14"/>
    </row>
    <row r="132" spans="2:3">
      <c r="B132" s="8"/>
      <c r="C132" s="1"/>
    </row>
    <row r="133" spans="2:3">
      <c r="B133" s="20"/>
      <c r="C133" s="1"/>
    </row>
    <row r="134" spans="2:3">
      <c r="B134" s="20"/>
      <c r="C134" s="1"/>
    </row>
    <row r="135" spans="2:3">
      <c r="B135" s="20"/>
      <c r="C135" s="1"/>
    </row>
    <row r="136" spans="2:3">
      <c r="B136" s="20"/>
      <c r="C136" s="1"/>
    </row>
    <row r="137" spans="2:3">
      <c r="B137" s="12"/>
      <c r="C137" s="1"/>
    </row>
    <row r="138" spans="2:3">
      <c r="B138" s="21"/>
      <c r="C138" s="1"/>
    </row>
    <row r="139" spans="2:3">
      <c r="B139" s="21"/>
      <c r="C139" s="1"/>
    </row>
    <row r="140" spans="2:3">
      <c r="B140" s="21"/>
      <c r="C140" s="1"/>
    </row>
    <row r="141" spans="2:3">
      <c r="B141" s="21"/>
      <c r="C141" s="1"/>
    </row>
    <row r="142" spans="2:3">
      <c r="B142" s="21"/>
      <c r="C142" s="1"/>
    </row>
    <row r="143" spans="2:3">
      <c r="B143" s="21"/>
      <c r="C143" s="1"/>
    </row>
    <row r="144" spans="2:3">
      <c r="B144" s="21"/>
      <c r="C144" s="1"/>
    </row>
    <row r="145" spans="2:3">
      <c r="B145" s="21"/>
      <c r="C145" s="1"/>
    </row>
    <row r="146" spans="2:3">
      <c r="B146" s="21"/>
      <c r="C146" s="1"/>
    </row>
    <row r="147" spans="2:3">
      <c r="B147" s="12"/>
      <c r="C147" s="1"/>
    </row>
    <row r="148" spans="2:3">
      <c r="B148" s="21"/>
      <c r="C148" s="1"/>
    </row>
    <row r="149" spans="2:3">
      <c r="B149" s="21"/>
      <c r="C149" s="1"/>
    </row>
    <row r="150" spans="2:3">
      <c r="B150" s="21"/>
      <c r="C150" s="1"/>
    </row>
    <row r="151" spans="2:3">
      <c r="B151" s="21"/>
      <c r="C151" s="1"/>
    </row>
    <row r="152" spans="2:3">
      <c r="B152" s="8"/>
      <c r="C152" s="1"/>
    </row>
    <row r="153" spans="2:3">
      <c r="B153" s="20"/>
      <c r="C153" s="1"/>
    </row>
    <row r="154" spans="2:3">
      <c r="B154" s="20"/>
      <c r="C154" s="1"/>
    </row>
    <row r="155" spans="2:3">
      <c r="B155" s="20"/>
      <c r="C155" s="1"/>
    </row>
    <row r="156" spans="2:3">
      <c r="B156" s="20"/>
      <c r="C156" s="1"/>
    </row>
    <row r="157" spans="2:3">
      <c r="B157" s="20"/>
      <c r="C157" s="1"/>
    </row>
    <row r="158" spans="2:3">
      <c r="B158" s="12"/>
      <c r="C158" s="1"/>
    </row>
    <row r="159" spans="2:3">
      <c r="B159" s="21"/>
      <c r="C159" s="1"/>
    </row>
    <row r="160" spans="2:3">
      <c r="B160" s="21"/>
      <c r="C160" s="1"/>
    </row>
    <row r="161" spans="2:3">
      <c r="B161" s="21"/>
      <c r="C161" s="1"/>
    </row>
    <row r="162" spans="2:3">
      <c r="B162" s="21"/>
      <c r="C162" s="1"/>
    </row>
    <row r="163" spans="2:3">
      <c r="B163" s="21"/>
      <c r="C163" s="1"/>
    </row>
    <row r="164" spans="2:3">
      <c r="B164" s="21"/>
      <c r="C164" s="1"/>
    </row>
    <row r="165" spans="2:3">
      <c r="B165" s="21"/>
      <c r="C165" s="1"/>
    </row>
    <row r="166" spans="2:3">
      <c r="B166" s="21"/>
      <c r="C166" s="1"/>
    </row>
    <row r="167" spans="2:3">
      <c r="B167" s="12"/>
      <c r="C167" s="1"/>
    </row>
    <row r="168" spans="2:3">
      <c r="B168" s="21"/>
      <c r="C168" s="1"/>
    </row>
    <row r="169" spans="2:3">
      <c r="B169" s="21"/>
      <c r="C169" s="1"/>
    </row>
    <row r="170" spans="2:3">
      <c r="B170" s="21"/>
      <c r="C170" s="1"/>
    </row>
    <row r="171" spans="2:3">
      <c r="B171" s="21"/>
      <c r="C171" s="1"/>
    </row>
    <row r="172" spans="2:3">
      <c r="B172" s="8"/>
      <c r="C172" s="1"/>
    </row>
    <row r="173" spans="2:3">
      <c r="B173" s="20"/>
      <c r="C173" s="1"/>
    </row>
    <row r="174" spans="2:3">
      <c r="B174" s="20"/>
      <c r="C174" s="1"/>
    </row>
    <row r="175" spans="2:3">
      <c r="B175" s="20"/>
      <c r="C175" s="1"/>
    </row>
    <row r="176" spans="2:3">
      <c r="B176" s="20"/>
      <c r="C176" s="1"/>
    </row>
    <row r="177" spans="2:3">
      <c r="B177" s="12"/>
      <c r="C177" s="1"/>
    </row>
    <row r="178" spans="2:3">
      <c r="B178" s="21"/>
      <c r="C178" s="1"/>
    </row>
    <row r="179" spans="2:3">
      <c r="B179" s="21"/>
      <c r="C179" s="1"/>
    </row>
    <row r="180" spans="2:3">
      <c r="B180" s="21"/>
      <c r="C180" s="1"/>
    </row>
    <row r="181" spans="2:3">
      <c r="B181" s="21"/>
      <c r="C181" s="1"/>
    </row>
    <row r="182" spans="2:3">
      <c r="B182" s="21"/>
      <c r="C182" s="1"/>
    </row>
    <row r="183" spans="2:3">
      <c r="B183" s="21"/>
      <c r="C183" s="1"/>
    </row>
    <row r="184" spans="2:3">
      <c r="B184" s="21"/>
      <c r="C184" s="1"/>
    </row>
    <row r="185" spans="2:3">
      <c r="B185" s="21"/>
      <c r="C185" s="1"/>
    </row>
    <row r="186" spans="2:3">
      <c r="B186" s="12"/>
      <c r="C186" s="1"/>
    </row>
    <row r="187" spans="2:3">
      <c r="B187" s="21"/>
      <c r="C187" s="1"/>
    </row>
    <row r="188" spans="2:3">
      <c r="B188" s="21"/>
      <c r="C188" s="1"/>
    </row>
    <row r="189" spans="2:3">
      <c r="B189" s="21"/>
      <c r="C189" s="1"/>
    </row>
    <row r="190" spans="2:3">
      <c r="B190" s="21"/>
      <c r="C190" s="1"/>
    </row>
    <row r="191" spans="2:3">
      <c r="B191" s="8"/>
      <c r="C191" s="1"/>
    </row>
    <row r="192" spans="2:3">
      <c r="B192" s="20"/>
      <c r="C192" s="1"/>
    </row>
    <row r="193" spans="2:3">
      <c r="B193" s="20"/>
      <c r="C193" s="1"/>
    </row>
    <row r="194" spans="2:3">
      <c r="B194" s="20"/>
      <c r="C194" s="1"/>
    </row>
    <row r="195" spans="2:3">
      <c r="B195" s="20"/>
      <c r="C195" s="1"/>
    </row>
    <row r="196" spans="2:3">
      <c r="B196" s="20"/>
      <c r="C196" s="1"/>
    </row>
    <row r="197" spans="2:3">
      <c r="B197" s="12"/>
      <c r="C197" s="1"/>
    </row>
    <row r="198" spans="2:3">
      <c r="B198" s="21"/>
      <c r="C198" s="1"/>
    </row>
    <row r="199" spans="2:3">
      <c r="B199" s="21"/>
      <c r="C199" s="1"/>
    </row>
    <row r="200" spans="2:3">
      <c r="B200" s="21"/>
      <c r="C200" s="1"/>
    </row>
    <row r="201" spans="2:3">
      <c r="B201" s="21"/>
      <c r="C201" s="1"/>
    </row>
    <row r="202" spans="2:3">
      <c r="B202" s="21"/>
      <c r="C202" s="1"/>
    </row>
    <row r="203" spans="2:3">
      <c r="B203" s="21"/>
      <c r="C203" s="1"/>
    </row>
    <row r="204" spans="2:3">
      <c r="B204" s="21"/>
      <c r="C204" s="1"/>
    </row>
    <row r="205" spans="2:3">
      <c r="B205" s="21"/>
      <c r="C205" s="1"/>
    </row>
    <row r="206" spans="2:3">
      <c r="B206" s="12"/>
      <c r="C206" s="1"/>
    </row>
    <row r="207" spans="2:3">
      <c r="B207" s="21"/>
      <c r="C207" s="1"/>
    </row>
    <row r="208" spans="2:3">
      <c r="B208" s="21"/>
      <c r="C208" s="1"/>
    </row>
    <row r="209" spans="2:3">
      <c r="B209" s="21"/>
      <c r="C209" s="1"/>
    </row>
    <row r="210" spans="2:3">
      <c r="B210" s="8"/>
      <c r="C210" s="1"/>
    </row>
    <row r="211" spans="2:3">
      <c r="B211" s="20"/>
      <c r="C211" s="1"/>
    </row>
    <row r="212" spans="2:3">
      <c r="B212" s="20"/>
      <c r="C212" s="1"/>
    </row>
    <row r="213" spans="2:3">
      <c r="B213" s="20"/>
      <c r="C213" s="1"/>
    </row>
    <row r="214" spans="2:3">
      <c r="B214" s="20"/>
      <c r="C214" s="1"/>
    </row>
    <row r="215" spans="2:3">
      <c r="B215" s="12"/>
      <c r="C215" s="1"/>
    </row>
    <row r="216" spans="2:3">
      <c r="B216" s="21"/>
      <c r="C216" s="1"/>
    </row>
    <row r="217" spans="2:3">
      <c r="B217" s="21"/>
      <c r="C217" s="1"/>
    </row>
    <row r="218" spans="2:3">
      <c r="B218" s="21"/>
      <c r="C218" s="1"/>
    </row>
    <row r="219" spans="2:3">
      <c r="B219" s="21"/>
      <c r="C219" s="1"/>
    </row>
    <row r="220" spans="2:3">
      <c r="B220" s="21"/>
      <c r="C220" s="1"/>
    </row>
    <row r="221" spans="2:3">
      <c r="B221" s="21"/>
      <c r="C221" s="1"/>
    </row>
    <row r="222" spans="2:3">
      <c r="B222" s="21"/>
      <c r="C222" s="1"/>
    </row>
    <row r="223" spans="2:3">
      <c r="B223" s="21"/>
      <c r="C223" s="1"/>
    </row>
    <row r="224" spans="2:3">
      <c r="B224" s="12"/>
      <c r="C224" s="1"/>
    </row>
    <row r="225" spans="2:3">
      <c r="B225" s="21"/>
      <c r="C225" s="1"/>
    </row>
    <row r="226" spans="2:3">
      <c r="B226" s="21"/>
      <c r="C226" s="1"/>
    </row>
    <row r="227" spans="2:3">
      <c r="C227" s="1"/>
    </row>
    <row r="228" spans="2:3">
      <c r="C228" s="1"/>
    </row>
  </sheetData>
  <mergeCells count="1">
    <mergeCell ref="C4:F4"/>
  </mergeCells>
  <pageMargins left="0.7" right="0.7" top="0.75" bottom="0.75" header="0.3" footer="0.3"/>
  <pageSetup orientation="portrait" horizontalDpi="0" verticalDpi="0"/>
  <drawing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5B517-15AC-5C47-B26D-97DDDC05758A}">
  <sheetPr>
    <pageSetUpPr fitToPage="1"/>
  </sheetPr>
  <dimension ref="B1:T180"/>
  <sheetViews>
    <sheetView showGridLines="0" zoomScaleNormal="100" zoomScalePageLayoutView="119" workbookViewId="0">
      <pane xSplit="2" ySplit="6" topLeftCell="F7" activePane="bottomRight" state="frozen"/>
      <selection pane="topRight" activeCell="C1" sqref="C1"/>
      <selection pane="bottomLeft" activeCell="A7" sqref="A7"/>
      <selection pane="bottomRight" activeCell="B1" sqref="B1:F1048576"/>
    </sheetView>
  </sheetViews>
  <sheetFormatPr baseColWidth="10" defaultColWidth="11" defaultRowHeight="16"/>
  <cols>
    <col min="1" max="1" width="3.6640625" customWidth="1"/>
    <col min="2" max="2" width="28.83203125" customWidth="1"/>
    <col min="3" max="3" width="19" style="83" hidden="1" customWidth="1"/>
    <col min="4" max="4" width="18.33203125" style="84" hidden="1" customWidth="1"/>
    <col min="5" max="5" width="15.5" style="84" hidden="1" customWidth="1"/>
    <col min="6" max="6" width="18.6640625" style="23" customWidth="1"/>
    <col min="7" max="7" width="26" style="33" customWidth="1"/>
    <col min="8" max="8" width="17" customWidth="1"/>
    <col min="9" max="9" width="18.33203125" customWidth="1"/>
    <col min="10" max="10" width="15.5" customWidth="1"/>
    <col min="11" max="11" width="18.6640625" style="23" customWidth="1"/>
    <col min="12" max="13" width="18.6640625" style="23" hidden="1" customWidth="1"/>
    <col min="14" max="14" width="17" hidden="1" customWidth="1"/>
    <col min="15" max="15" width="18.33203125" hidden="1" customWidth="1"/>
    <col min="16" max="16" width="18.83203125" customWidth="1"/>
    <col min="17" max="19" width="18.6640625" style="23" customWidth="1"/>
    <col min="20" max="20" width="23" customWidth="1"/>
  </cols>
  <sheetData>
    <row r="1" spans="2:20" ht="11" customHeight="1">
      <c r="G1"/>
    </row>
    <row r="2" spans="2:20" ht="37" customHeight="1">
      <c r="B2" s="24" t="s">
        <v>145</v>
      </c>
      <c r="C2" s="85"/>
      <c r="D2" s="85"/>
      <c r="E2" s="85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</row>
    <row r="3" spans="2:20" ht="28" customHeight="1">
      <c r="B3" s="107" t="s">
        <v>69</v>
      </c>
      <c r="C3" s="86" t="s">
        <v>70</v>
      </c>
      <c r="D3" s="87"/>
      <c r="E3" s="87"/>
      <c r="F3" s="119" t="s">
        <v>158</v>
      </c>
      <c r="G3" s="120"/>
      <c r="H3" s="109" t="s">
        <v>71</v>
      </c>
      <c r="I3" s="110"/>
      <c r="J3" s="110"/>
      <c r="K3" s="110"/>
      <c r="L3" s="110"/>
      <c r="M3" s="110"/>
      <c r="N3" s="110"/>
      <c r="O3" s="110"/>
      <c r="P3" s="110"/>
      <c r="Q3" s="110"/>
      <c r="R3" s="110"/>
      <c r="S3" s="110"/>
      <c r="T3" s="111"/>
    </row>
    <row r="4" spans="2:20" ht="56" customHeight="1">
      <c r="B4" s="108"/>
      <c r="C4" s="88"/>
      <c r="D4" s="89"/>
      <c r="E4" s="89"/>
      <c r="F4" s="121"/>
      <c r="G4" s="122"/>
      <c r="H4" s="112" t="s">
        <v>72</v>
      </c>
      <c r="I4" s="113"/>
      <c r="J4" s="114" t="s">
        <v>152</v>
      </c>
      <c r="K4" s="115"/>
      <c r="L4" s="116" t="s">
        <v>73</v>
      </c>
      <c r="M4" s="115"/>
      <c r="N4" s="25"/>
      <c r="O4" s="25"/>
      <c r="P4" s="112" t="s">
        <v>153</v>
      </c>
      <c r="Q4" s="117"/>
      <c r="R4" s="118" t="s">
        <v>154</v>
      </c>
      <c r="S4" s="117"/>
      <c r="T4" s="26"/>
    </row>
    <row r="5" spans="2:20">
      <c r="B5" s="27"/>
      <c r="C5" s="90" t="s">
        <v>74</v>
      </c>
      <c r="D5" s="91" t="s">
        <v>75</v>
      </c>
      <c r="E5" s="91" t="s">
        <v>76</v>
      </c>
      <c r="F5" s="28" t="s">
        <v>77</v>
      </c>
      <c r="G5" s="30" t="s">
        <v>78</v>
      </c>
      <c r="H5" s="29" t="s">
        <v>79</v>
      </c>
      <c r="I5" s="29" t="s">
        <v>75</v>
      </c>
      <c r="J5" s="29" t="s">
        <v>76</v>
      </c>
      <c r="K5" s="28" t="s">
        <v>77</v>
      </c>
      <c r="L5" s="29" t="s">
        <v>76</v>
      </c>
      <c r="M5" s="28" t="s">
        <v>77</v>
      </c>
      <c r="N5" s="29" t="s">
        <v>80</v>
      </c>
      <c r="O5" s="29" t="s">
        <v>75</v>
      </c>
      <c r="P5" s="29" t="s">
        <v>76</v>
      </c>
      <c r="Q5" s="28" t="s">
        <v>77</v>
      </c>
      <c r="R5" s="29" t="s">
        <v>76</v>
      </c>
      <c r="S5" s="28" t="s">
        <v>77</v>
      </c>
      <c r="T5" s="29" t="s">
        <v>81</v>
      </c>
    </row>
    <row r="6" spans="2:20" ht="10" customHeight="1">
      <c r="B6" s="11"/>
      <c r="C6" s="92"/>
      <c r="D6" s="93"/>
      <c r="E6" s="93"/>
      <c r="F6" s="31"/>
      <c r="G6" s="32"/>
      <c r="H6" s="11"/>
      <c r="I6" s="11"/>
      <c r="J6" s="11"/>
      <c r="K6" s="31"/>
      <c r="L6" s="11"/>
      <c r="M6" s="31"/>
      <c r="N6" s="11"/>
      <c r="O6" s="11"/>
      <c r="P6" s="11"/>
      <c r="Q6" s="31"/>
      <c r="R6" s="31"/>
      <c r="S6" s="31"/>
      <c r="T6" s="11"/>
    </row>
    <row r="7" spans="2:20" ht="19">
      <c r="B7" s="2" t="s">
        <v>33</v>
      </c>
      <c r="J7" s="34"/>
      <c r="L7" s="35"/>
      <c r="M7" s="36"/>
      <c r="P7" s="37"/>
      <c r="Q7" s="38"/>
      <c r="R7"/>
      <c r="S7" s="38"/>
    </row>
    <row r="8" spans="2:20">
      <c r="B8" s="39" t="s">
        <v>82</v>
      </c>
      <c r="J8" s="34"/>
      <c r="L8" s="35"/>
      <c r="M8" s="36"/>
      <c r="P8" s="37"/>
      <c r="Q8" s="38"/>
      <c r="R8"/>
      <c r="S8" s="38"/>
    </row>
    <row r="9" spans="2:20">
      <c r="B9" s="20" t="s">
        <v>83</v>
      </c>
      <c r="C9" s="94">
        <v>37.299999999999997</v>
      </c>
      <c r="D9" s="95" t="s">
        <v>84</v>
      </c>
      <c r="E9" s="96">
        <f>(30+25+25+40)/60</f>
        <v>2</v>
      </c>
      <c r="F9" s="40">
        <f t="shared" ref="F9:F14" si="0">C9*E9</f>
        <v>74.599999999999994</v>
      </c>
      <c r="G9" s="43" t="s">
        <v>85</v>
      </c>
      <c r="H9" s="44">
        <v>37.299999999999997</v>
      </c>
      <c r="I9" s="41" t="s">
        <v>84</v>
      </c>
      <c r="J9" s="45">
        <f>E9</f>
        <v>2</v>
      </c>
      <c r="K9" s="40">
        <f t="shared" ref="K9:K17" si="1">H9*J9</f>
        <v>74.599999999999994</v>
      </c>
      <c r="L9" s="46">
        <v>0.5</v>
      </c>
      <c r="M9" s="40">
        <f>H9*L9</f>
        <v>18.649999999999999</v>
      </c>
      <c r="N9" s="44">
        <v>37.299999999999997</v>
      </c>
      <c r="O9" s="41" t="s">
        <v>84</v>
      </c>
      <c r="P9" s="46">
        <v>0.75</v>
      </c>
      <c r="Q9" s="47">
        <f t="shared" ref="Q9:Q14" si="2">H9*P9</f>
        <v>27.974999999999998</v>
      </c>
      <c r="R9" s="46">
        <f>0.75</f>
        <v>0.75</v>
      </c>
      <c r="S9" s="47">
        <f t="shared" ref="S9:S14" si="3">N9*R9</f>
        <v>27.974999999999998</v>
      </c>
      <c r="T9" s="41" t="s">
        <v>86</v>
      </c>
    </row>
    <row r="10" spans="2:20">
      <c r="B10" s="20" t="s">
        <v>87</v>
      </c>
      <c r="C10" s="94">
        <v>8.4</v>
      </c>
      <c r="D10" s="95" t="s">
        <v>84</v>
      </c>
      <c r="E10" s="97">
        <f>(60+50+35+40+120)/60</f>
        <v>5.083333333333333</v>
      </c>
      <c r="F10" s="40">
        <f t="shared" si="0"/>
        <v>42.7</v>
      </c>
      <c r="G10" s="43" t="s">
        <v>85</v>
      </c>
      <c r="H10" s="44">
        <v>4.2</v>
      </c>
      <c r="I10" s="41" t="s">
        <v>84</v>
      </c>
      <c r="J10" s="50">
        <f>E10</f>
        <v>5.083333333333333</v>
      </c>
      <c r="K10" s="40">
        <f t="shared" si="1"/>
        <v>21.35</v>
      </c>
      <c r="L10" s="46">
        <f>(30+45+15)/60</f>
        <v>1.5</v>
      </c>
      <c r="M10" s="40">
        <f t="shared" ref="M10:M33" si="4">H10*L10</f>
        <v>6.3000000000000007</v>
      </c>
      <c r="N10" s="44">
        <v>4.2</v>
      </c>
      <c r="O10" s="41" t="s">
        <v>84</v>
      </c>
      <c r="P10" s="46">
        <f>(30+45+15+15)/60</f>
        <v>1.75</v>
      </c>
      <c r="Q10" s="47">
        <f t="shared" si="2"/>
        <v>7.3500000000000005</v>
      </c>
      <c r="R10" s="46">
        <f>(30+45+15+15)/60</f>
        <v>1.75</v>
      </c>
      <c r="S10" s="47">
        <f t="shared" si="3"/>
        <v>7.3500000000000005</v>
      </c>
      <c r="T10" s="41" t="s">
        <v>86</v>
      </c>
    </row>
    <row r="11" spans="2:20">
      <c r="B11" s="20" t="s">
        <v>88</v>
      </c>
      <c r="C11" s="94">
        <v>6.5</v>
      </c>
      <c r="D11" s="95" t="s">
        <v>84</v>
      </c>
      <c r="E11" s="95">
        <f>(30+15+60)/60</f>
        <v>1.75</v>
      </c>
      <c r="F11" s="40">
        <f t="shared" si="0"/>
        <v>11.375</v>
      </c>
      <c r="G11" s="43" t="s">
        <v>85</v>
      </c>
      <c r="H11" s="44">
        <v>3.26</v>
      </c>
      <c r="I11" s="41" t="s">
        <v>84</v>
      </c>
      <c r="J11" s="48">
        <f>E11</f>
        <v>1.75</v>
      </c>
      <c r="K11" s="40">
        <f t="shared" si="1"/>
        <v>5.7050000000000001</v>
      </c>
      <c r="L11" s="46">
        <f>(30+15+15)/60</f>
        <v>1</v>
      </c>
      <c r="M11" s="40">
        <f t="shared" si="4"/>
        <v>3.26</v>
      </c>
      <c r="N11" s="44">
        <v>3.26</v>
      </c>
      <c r="O11" s="41" t="s">
        <v>84</v>
      </c>
      <c r="P11" s="46">
        <f>(30+15+15+15)/60</f>
        <v>1.25</v>
      </c>
      <c r="Q11" s="47">
        <f t="shared" si="2"/>
        <v>4.0749999999999993</v>
      </c>
      <c r="R11" s="46">
        <f>(30+15+15+15)/60</f>
        <v>1.25</v>
      </c>
      <c r="S11" s="47">
        <f t="shared" si="3"/>
        <v>4.0749999999999993</v>
      </c>
      <c r="T11" s="41" t="s">
        <v>86</v>
      </c>
    </row>
    <row r="12" spans="2:20">
      <c r="B12" s="20" t="s">
        <v>89</v>
      </c>
      <c r="C12" s="94">
        <v>19.93</v>
      </c>
      <c r="D12" s="95" t="s">
        <v>84</v>
      </c>
      <c r="E12" s="95">
        <v>0</v>
      </c>
      <c r="F12" s="40">
        <f t="shared" si="0"/>
        <v>0</v>
      </c>
      <c r="G12" s="43" t="s">
        <v>85</v>
      </c>
      <c r="H12" s="44">
        <v>19.93</v>
      </c>
      <c r="I12" s="41" t="s">
        <v>84</v>
      </c>
      <c r="J12" s="48">
        <v>0</v>
      </c>
      <c r="K12" s="40">
        <f t="shared" si="1"/>
        <v>0</v>
      </c>
      <c r="L12" s="46">
        <f>((30+15)/60)</f>
        <v>0.75</v>
      </c>
      <c r="M12" s="40">
        <f t="shared" si="4"/>
        <v>14.9475</v>
      </c>
      <c r="N12" s="44">
        <v>19.93</v>
      </c>
      <c r="O12" s="41" t="s">
        <v>84</v>
      </c>
      <c r="P12" s="46">
        <f>((30+15)/60)*0.28</f>
        <v>0.21000000000000002</v>
      </c>
      <c r="Q12" s="47">
        <f t="shared" si="2"/>
        <v>4.1853000000000007</v>
      </c>
      <c r="R12" s="46">
        <v>0</v>
      </c>
      <c r="S12" s="47">
        <f t="shared" si="3"/>
        <v>0</v>
      </c>
      <c r="T12" s="41" t="s">
        <v>86</v>
      </c>
    </row>
    <row r="13" spans="2:20">
      <c r="B13" s="20" t="s">
        <v>90</v>
      </c>
      <c r="C13" s="94">
        <v>5.6</v>
      </c>
      <c r="D13" s="95" t="s">
        <v>84</v>
      </c>
      <c r="E13" s="95">
        <v>0</v>
      </c>
      <c r="F13" s="40">
        <f t="shared" si="0"/>
        <v>0</v>
      </c>
      <c r="G13" s="43" t="s">
        <v>85</v>
      </c>
      <c r="H13" s="44">
        <v>3.26</v>
      </c>
      <c r="I13" s="41" t="s">
        <v>84</v>
      </c>
      <c r="J13" s="48">
        <v>0</v>
      </c>
      <c r="K13" s="40">
        <f t="shared" si="1"/>
        <v>0</v>
      </c>
      <c r="L13" s="46">
        <f>0.25</f>
        <v>0.25</v>
      </c>
      <c r="M13" s="40">
        <f t="shared" si="4"/>
        <v>0.81499999999999995</v>
      </c>
      <c r="N13" s="44">
        <v>3.26</v>
      </c>
      <c r="O13" s="41" t="s">
        <v>84</v>
      </c>
      <c r="P13" s="46">
        <f>0.25*0.28</f>
        <v>7.0000000000000007E-2</v>
      </c>
      <c r="Q13" s="47">
        <f t="shared" si="2"/>
        <v>0.22820000000000001</v>
      </c>
      <c r="R13" s="46">
        <v>0</v>
      </c>
      <c r="S13" s="47">
        <f t="shared" si="3"/>
        <v>0</v>
      </c>
      <c r="T13" s="41" t="s">
        <v>86</v>
      </c>
    </row>
    <row r="14" spans="2:20">
      <c r="B14" s="20" t="s">
        <v>91</v>
      </c>
      <c r="C14" s="94">
        <v>3.85</v>
      </c>
      <c r="D14" s="95" t="s">
        <v>84</v>
      </c>
      <c r="E14" s="97">
        <v>1.3333333333333333</v>
      </c>
      <c r="F14" s="40">
        <f t="shared" si="0"/>
        <v>5.1333333333333329</v>
      </c>
      <c r="G14" s="43" t="s">
        <v>85</v>
      </c>
      <c r="H14" s="44">
        <v>1.93</v>
      </c>
      <c r="I14" s="41" t="s">
        <v>84</v>
      </c>
      <c r="J14" s="50">
        <v>1.3333333333333333</v>
      </c>
      <c r="K14" s="40">
        <f t="shared" si="1"/>
        <v>2.5733333333333333</v>
      </c>
      <c r="L14" s="46">
        <v>0.75</v>
      </c>
      <c r="M14" s="40">
        <f t="shared" si="4"/>
        <v>1.4475</v>
      </c>
      <c r="N14" s="44">
        <v>1.93</v>
      </c>
      <c r="O14" s="41" t="s">
        <v>84</v>
      </c>
      <c r="P14" s="46">
        <f>36/60</f>
        <v>0.6</v>
      </c>
      <c r="Q14" s="47">
        <f t="shared" si="2"/>
        <v>1.1579999999999999</v>
      </c>
      <c r="R14" s="46">
        <f>P14</f>
        <v>0.6</v>
      </c>
      <c r="S14" s="47">
        <f t="shared" si="3"/>
        <v>1.1579999999999999</v>
      </c>
      <c r="T14" s="41" t="s">
        <v>86</v>
      </c>
    </row>
    <row r="15" spans="2:20">
      <c r="B15" s="39" t="s">
        <v>92</v>
      </c>
      <c r="C15" s="94"/>
      <c r="D15" s="95"/>
      <c r="E15" s="95"/>
      <c r="F15" s="40"/>
      <c r="G15" s="43"/>
      <c r="H15" s="41"/>
      <c r="I15" s="41"/>
      <c r="J15" s="48"/>
      <c r="K15" s="40"/>
      <c r="L15" s="51"/>
      <c r="M15" s="52"/>
      <c r="N15" s="41"/>
      <c r="O15" s="41"/>
      <c r="P15" s="46"/>
      <c r="Q15" s="47"/>
      <c r="R15" s="41"/>
      <c r="S15" s="47"/>
      <c r="T15" s="41"/>
    </row>
    <row r="16" spans="2:20">
      <c r="B16" s="20" t="s">
        <v>93</v>
      </c>
      <c r="C16" s="94">
        <v>9.7100000000000009</v>
      </c>
      <c r="D16" s="95" t="s">
        <v>94</v>
      </c>
      <c r="E16" s="95">
        <v>0</v>
      </c>
      <c r="F16" s="40">
        <f>C16*E16</f>
        <v>0</v>
      </c>
      <c r="G16" s="43" t="s">
        <v>95</v>
      </c>
      <c r="H16" s="44">
        <v>9.7100000000000009</v>
      </c>
      <c r="I16" s="41" t="s">
        <v>94</v>
      </c>
      <c r="J16" s="48">
        <v>0</v>
      </c>
      <c r="K16" s="40">
        <f t="shared" si="1"/>
        <v>0</v>
      </c>
      <c r="L16" s="48">
        <f>8</f>
        <v>8</v>
      </c>
      <c r="M16" s="40">
        <f t="shared" si="4"/>
        <v>77.680000000000007</v>
      </c>
      <c r="N16" s="44">
        <v>9.7100000000000009</v>
      </c>
      <c r="O16" s="41" t="s">
        <v>94</v>
      </c>
      <c r="P16" s="46">
        <f>8*0.28</f>
        <v>2.2400000000000002</v>
      </c>
      <c r="Q16" s="47">
        <f>H16*P16</f>
        <v>21.750400000000003</v>
      </c>
      <c r="R16" s="41">
        <v>0</v>
      </c>
      <c r="S16" s="47">
        <f>N16*R16</f>
        <v>0</v>
      </c>
      <c r="T16" s="41" t="s">
        <v>96</v>
      </c>
    </row>
    <row r="17" spans="2:20">
      <c r="B17" s="20" t="s">
        <v>97</v>
      </c>
      <c r="C17" s="94">
        <v>33.04</v>
      </c>
      <c r="D17" s="95" t="s">
        <v>94</v>
      </c>
      <c r="E17" s="95">
        <v>0</v>
      </c>
      <c r="F17" s="40">
        <f>C17*E17</f>
        <v>0</v>
      </c>
      <c r="G17" s="43" t="s">
        <v>98</v>
      </c>
      <c r="H17" s="44">
        <v>33</v>
      </c>
      <c r="I17" s="41" t="s">
        <v>94</v>
      </c>
      <c r="J17" s="48">
        <v>0</v>
      </c>
      <c r="K17" s="40">
        <f t="shared" si="1"/>
        <v>0</v>
      </c>
      <c r="L17" s="48">
        <f>8</f>
        <v>8</v>
      </c>
      <c r="M17" s="40">
        <f t="shared" si="4"/>
        <v>264</v>
      </c>
      <c r="N17" s="44">
        <v>33</v>
      </c>
      <c r="O17" s="41" t="s">
        <v>94</v>
      </c>
      <c r="P17" s="46">
        <f>8*0.28</f>
        <v>2.2400000000000002</v>
      </c>
      <c r="Q17" s="47">
        <f>N17*P17</f>
        <v>73.92</v>
      </c>
      <c r="R17" s="41">
        <v>0</v>
      </c>
      <c r="S17" s="47">
        <f>N17*R17</f>
        <v>0</v>
      </c>
      <c r="T17" s="41" t="s">
        <v>98</v>
      </c>
    </row>
    <row r="18" spans="2:20">
      <c r="B18" s="39" t="s">
        <v>99</v>
      </c>
      <c r="C18" s="94"/>
      <c r="D18" s="95"/>
      <c r="E18" s="95"/>
      <c r="F18" s="40"/>
      <c r="G18" s="43"/>
      <c r="H18" s="41"/>
      <c r="I18" s="41"/>
      <c r="J18" s="48"/>
      <c r="K18" s="40"/>
      <c r="L18" s="51"/>
      <c r="M18" s="52"/>
      <c r="N18" s="41"/>
      <c r="O18" s="41"/>
      <c r="P18" s="46"/>
      <c r="Q18" s="47"/>
      <c r="R18" s="41"/>
      <c r="S18" s="47"/>
      <c r="T18" s="41"/>
    </row>
    <row r="19" spans="2:20">
      <c r="B19" s="20" t="s">
        <v>100</v>
      </c>
      <c r="C19" s="94">
        <v>16.18</v>
      </c>
      <c r="D19" s="95" t="s">
        <v>101</v>
      </c>
      <c r="E19" s="95">
        <v>11</v>
      </c>
      <c r="F19" s="40">
        <f t="shared" ref="F19:F27" si="5">C19*E19</f>
        <v>177.98</v>
      </c>
      <c r="G19" s="43" t="s">
        <v>85</v>
      </c>
      <c r="H19" s="44">
        <v>4.16</v>
      </c>
      <c r="I19" s="41" t="s">
        <v>101</v>
      </c>
      <c r="J19" s="48">
        <v>11</v>
      </c>
      <c r="K19" s="40">
        <f t="shared" ref="K19:K27" si="6">H19*J19</f>
        <v>45.760000000000005</v>
      </c>
      <c r="L19" s="48">
        <v>5</v>
      </c>
      <c r="M19" s="40">
        <f t="shared" si="4"/>
        <v>20.8</v>
      </c>
      <c r="N19" s="44">
        <v>4.16</v>
      </c>
      <c r="O19" s="41" t="s">
        <v>101</v>
      </c>
      <c r="P19" s="46">
        <v>5</v>
      </c>
      <c r="Q19" s="47">
        <f t="shared" ref="Q19:Q25" si="7">N19*P19</f>
        <v>20.8</v>
      </c>
      <c r="R19" s="41">
        <v>3</v>
      </c>
      <c r="S19" s="47">
        <f t="shared" ref="S19:S25" si="8">N19*R19</f>
        <v>12.48</v>
      </c>
      <c r="T19" s="41" t="s">
        <v>102</v>
      </c>
    </row>
    <row r="20" spans="2:20">
      <c r="B20" s="20" t="s">
        <v>103</v>
      </c>
      <c r="C20" s="94">
        <v>107.28</v>
      </c>
      <c r="D20" s="95" t="s">
        <v>101</v>
      </c>
      <c r="E20" s="95">
        <v>7</v>
      </c>
      <c r="F20" s="40">
        <f t="shared" si="5"/>
        <v>750.96</v>
      </c>
      <c r="G20" s="43" t="s">
        <v>85</v>
      </c>
      <c r="H20" s="44">
        <v>25.51</v>
      </c>
      <c r="I20" s="41" t="s">
        <v>101</v>
      </c>
      <c r="J20" s="48">
        <v>7</v>
      </c>
      <c r="K20" s="40">
        <f t="shared" si="6"/>
        <v>178.57000000000002</v>
      </c>
      <c r="L20" s="48">
        <v>4</v>
      </c>
      <c r="M20" s="40">
        <f t="shared" si="4"/>
        <v>102.04</v>
      </c>
      <c r="N20" s="44">
        <v>25.51</v>
      </c>
      <c r="O20" s="41" t="s">
        <v>101</v>
      </c>
      <c r="P20" s="46">
        <v>4</v>
      </c>
      <c r="Q20" s="47">
        <f t="shared" si="7"/>
        <v>102.04</v>
      </c>
      <c r="R20" s="41">
        <v>2</v>
      </c>
      <c r="S20" s="47">
        <f t="shared" si="8"/>
        <v>51.02</v>
      </c>
      <c r="T20" s="41" t="s">
        <v>102</v>
      </c>
    </row>
    <row r="21" spans="2:20">
      <c r="B21" s="20" t="s">
        <v>104</v>
      </c>
      <c r="C21" s="94">
        <v>32.89</v>
      </c>
      <c r="D21" s="95" t="s">
        <v>101</v>
      </c>
      <c r="E21" s="95">
        <v>1.5</v>
      </c>
      <c r="F21" s="40">
        <f t="shared" si="5"/>
        <v>49.335000000000001</v>
      </c>
      <c r="G21" s="43" t="s">
        <v>85</v>
      </c>
      <c r="H21" s="40">
        <v>21.43</v>
      </c>
      <c r="I21" s="41" t="s">
        <v>101</v>
      </c>
      <c r="J21" s="48">
        <v>1.5</v>
      </c>
      <c r="K21" s="40">
        <f t="shared" si="6"/>
        <v>32.144999999999996</v>
      </c>
      <c r="L21" s="48">
        <v>1</v>
      </c>
      <c r="M21" s="40">
        <f t="shared" si="4"/>
        <v>21.43</v>
      </c>
      <c r="N21" s="40">
        <v>21.43</v>
      </c>
      <c r="O21" s="41" t="s">
        <v>101</v>
      </c>
      <c r="P21" s="46">
        <v>0</v>
      </c>
      <c r="Q21" s="47">
        <f t="shared" si="7"/>
        <v>0</v>
      </c>
      <c r="R21" s="41">
        <v>0</v>
      </c>
      <c r="S21" s="47">
        <f t="shared" si="8"/>
        <v>0</v>
      </c>
    </row>
    <row r="22" spans="2:20">
      <c r="B22" s="20" t="s">
        <v>105</v>
      </c>
      <c r="C22" s="94">
        <v>25.03</v>
      </c>
      <c r="D22" s="95" t="s">
        <v>101</v>
      </c>
      <c r="E22" s="95">
        <v>1.5</v>
      </c>
      <c r="F22" s="40">
        <f t="shared" si="5"/>
        <v>37.545000000000002</v>
      </c>
      <c r="G22" s="43" t="s">
        <v>85</v>
      </c>
      <c r="H22" s="40">
        <v>7.74</v>
      </c>
      <c r="I22" s="41" t="s">
        <v>101</v>
      </c>
      <c r="J22" s="48">
        <v>1.5</v>
      </c>
      <c r="K22" s="40">
        <f t="shared" si="6"/>
        <v>11.61</v>
      </c>
      <c r="L22" s="48">
        <v>1</v>
      </c>
      <c r="M22" s="40">
        <f t="shared" si="4"/>
        <v>7.74</v>
      </c>
      <c r="N22" s="40">
        <v>7.74</v>
      </c>
      <c r="O22" s="41" t="s">
        <v>101</v>
      </c>
      <c r="P22" s="46">
        <v>0</v>
      </c>
      <c r="Q22" s="47">
        <f t="shared" si="7"/>
        <v>0</v>
      </c>
      <c r="R22" s="41">
        <v>0</v>
      </c>
      <c r="S22" s="47">
        <f t="shared" si="8"/>
        <v>0</v>
      </c>
    </row>
    <row r="23" spans="2:20">
      <c r="B23" s="20" t="s">
        <v>106</v>
      </c>
      <c r="C23" s="94">
        <v>3.88</v>
      </c>
      <c r="D23" s="95" t="s">
        <v>101</v>
      </c>
      <c r="E23" s="95">
        <v>1.5</v>
      </c>
      <c r="F23" s="40">
        <f t="shared" si="5"/>
        <v>5.82</v>
      </c>
      <c r="G23" s="43" t="s">
        <v>85</v>
      </c>
      <c r="H23" s="44">
        <v>3.34</v>
      </c>
      <c r="I23" s="41" t="s">
        <v>101</v>
      </c>
      <c r="J23" s="48">
        <v>1.5</v>
      </c>
      <c r="K23" s="40">
        <f t="shared" si="6"/>
        <v>5.01</v>
      </c>
      <c r="L23" s="48">
        <v>1</v>
      </c>
      <c r="M23" s="40">
        <f t="shared" si="4"/>
        <v>3.34</v>
      </c>
      <c r="N23" s="44">
        <v>3.34</v>
      </c>
      <c r="O23" s="41" t="s">
        <v>101</v>
      </c>
      <c r="P23" s="46">
        <v>1</v>
      </c>
      <c r="Q23" s="47">
        <f t="shared" si="7"/>
        <v>3.34</v>
      </c>
      <c r="R23" s="41">
        <v>1</v>
      </c>
      <c r="S23" s="47">
        <f t="shared" si="8"/>
        <v>3.34</v>
      </c>
      <c r="T23" s="41" t="s">
        <v>85</v>
      </c>
    </row>
    <row r="24" spans="2:20">
      <c r="B24" s="20" t="s">
        <v>107</v>
      </c>
      <c r="C24" s="94">
        <v>4.67</v>
      </c>
      <c r="D24" s="95" t="s">
        <v>101</v>
      </c>
      <c r="E24" s="95">
        <v>1.5</v>
      </c>
      <c r="F24" s="40">
        <f t="shared" si="5"/>
        <v>7.0049999999999999</v>
      </c>
      <c r="G24" s="43" t="s">
        <v>85</v>
      </c>
      <c r="H24" s="44">
        <v>3.52</v>
      </c>
      <c r="I24" s="41" t="s">
        <v>101</v>
      </c>
      <c r="J24" s="48">
        <v>1.5</v>
      </c>
      <c r="K24" s="40">
        <f t="shared" si="6"/>
        <v>5.28</v>
      </c>
      <c r="L24" s="48">
        <v>1</v>
      </c>
      <c r="M24" s="40">
        <f t="shared" si="4"/>
        <v>3.52</v>
      </c>
      <c r="N24" s="44">
        <v>3.52</v>
      </c>
      <c r="O24" s="41" t="s">
        <v>101</v>
      </c>
      <c r="P24" s="46">
        <v>0.5</v>
      </c>
      <c r="Q24" s="47">
        <f t="shared" si="7"/>
        <v>1.76</v>
      </c>
      <c r="R24" s="41">
        <v>0.5</v>
      </c>
      <c r="S24" s="47">
        <f t="shared" si="8"/>
        <v>1.76</v>
      </c>
      <c r="T24" s="41" t="s">
        <v>85</v>
      </c>
    </row>
    <row r="25" spans="2:20">
      <c r="B25" s="20" t="s">
        <v>108</v>
      </c>
      <c r="C25" s="94">
        <v>19.37</v>
      </c>
      <c r="D25" s="95" t="s">
        <v>101</v>
      </c>
      <c r="E25" s="95">
        <v>2</v>
      </c>
      <c r="F25" s="40">
        <f t="shared" si="5"/>
        <v>38.74</v>
      </c>
      <c r="G25" s="43" t="s">
        <v>109</v>
      </c>
      <c r="H25" s="44">
        <v>8.18</v>
      </c>
      <c r="I25" s="41" t="s">
        <v>101</v>
      </c>
      <c r="J25" s="48">
        <v>2</v>
      </c>
      <c r="K25" s="40">
        <f t="shared" si="6"/>
        <v>16.36</v>
      </c>
      <c r="L25" s="48">
        <v>2</v>
      </c>
      <c r="M25" s="40">
        <f t="shared" si="4"/>
        <v>16.36</v>
      </c>
      <c r="N25" s="44">
        <v>8.18</v>
      </c>
      <c r="O25" s="41" t="s">
        <v>101</v>
      </c>
      <c r="P25" s="46">
        <v>1</v>
      </c>
      <c r="Q25" s="47">
        <f t="shared" si="7"/>
        <v>8.18</v>
      </c>
      <c r="R25" s="41">
        <v>0</v>
      </c>
      <c r="S25" s="47">
        <f t="shared" si="8"/>
        <v>0</v>
      </c>
      <c r="T25" s="41"/>
    </row>
    <row r="26" spans="2:20">
      <c r="B26" s="20" t="s">
        <v>110</v>
      </c>
      <c r="C26" s="94">
        <v>1.8</v>
      </c>
      <c r="D26" s="95" t="s">
        <v>101</v>
      </c>
      <c r="E26" s="95">
        <v>8</v>
      </c>
      <c r="F26" s="40">
        <f t="shared" si="5"/>
        <v>14.4</v>
      </c>
      <c r="G26" s="43" t="s">
        <v>85</v>
      </c>
      <c r="H26" s="40">
        <v>1.44</v>
      </c>
      <c r="I26" s="41" t="s">
        <v>101</v>
      </c>
      <c r="J26" s="48">
        <v>8</v>
      </c>
      <c r="K26" s="40">
        <f t="shared" si="6"/>
        <v>11.52</v>
      </c>
      <c r="L26" s="48">
        <v>4</v>
      </c>
      <c r="M26" s="40">
        <f t="shared" si="4"/>
        <v>5.76</v>
      </c>
      <c r="N26" s="40">
        <v>1.44</v>
      </c>
      <c r="O26" s="41" t="s">
        <v>101</v>
      </c>
      <c r="P26" s="46">
        <v>3</v>
      </c>
      <c r="Q26" s="47">
        <f>N26*P26</f>
        <v>4.32</v>
      </c>
      <c r="R26" s="41">
        <v>1.5</v>
      </c>
      <c r="S26" s="47">
        <f>N26*R26</f>
        <v>2.16</v>
      </c>
      <c r="T26" s="41" t="s">
        <v>85</v>
      </c>
    </row>
    <row r="27" spans="2:20">
      <c r="B27" s="20" t="s">
        <v>136</v>
      </c>
      <c r="C27" s="94">
        <v>13.52</v>
      </c>
      <c r="D27" s="95" t="s">
        <v>101</v>
      </c>
      <c r="E27" s="95">
        <v>2</v>
      </c>
      <c r="F27" s="40">
        <f t="shared" si="5"/>
        <v>27.04</v>
      </c>
      <c r="G27" s="43" t="s">
        <v>85</v>
      </c>
      <c r="H27" s="40">
        <v>4.1900000000000004</v>
      </c>
      <c r="I27" s="41" t="s">
        <v>101</v>
      </c>
      <c r="J27" s="48">
        <v>2</v>
      </c>
      <c r="K27" s="40">
        <f t="shared" si="6"/>
        <v>8.3800000000000008</v>
      </c>
      <c r="L27" s="48"/>
      <c r="M27" s="40"/>
      <c r="N27" s="40"/>
      <c r="O27" s="41"/>
      <c r="P27" s="46">
        <v>2</v>
      </c>
      <c r="Q27" s="47">
        <f>H27*P27</f>
        <v>8.3800000000000008</v>
      </c>
      <c r="R27" s="41">
        <v>2</v>
      </c>
      <c r="S27" s="47">
        <f>H27*R27</f>
        <v>8.3800000000000008</v>
      </c>
      <c r="T27" s="41" t="s">
        <v>150</v>
      </c>
    </row>
    <row r="28" spans="2:20">
      <c r="B28" s="39" t="s">
        <v>111</v>
      </c>
      <c r="C28" s="94"/>
      <c r="D28" s="95"/>
      <c r="E28" s="95"/>
      <c r="F28" s="40"/>
      <c r="G28" s="43"/>
      <c r="H28" s="41"/>
      <c r="I28" s="41"/>
      <c r="J28" s="48"/>
      <c r="K28" s="40"/>
      <c r="L28" s="51"/>
      <c r="M28" s="52"/>
      <c r="N28" s="41"/>
      <c r="O28" s="41"/>
      <c r="P28" s="46"/>
      <c r="Q28" s="47"/>
      <c r="R28" s="41"/>
      <c r="S28" s="47"/>
      <c r="T28" s="41"/>
    </row>
    <row r="29" spans="2:20">
      <c r="B29" s="20" t="s">
        <v>112</v>
      </c>
      <c r="C29" s="94">
        <f>(593+2939)*(1/23)</f>
        <v>153.56521739130434</v>
      </c>
      <c r="D29" s="95" t="s">
        <v>113</v>
      </c>
      <c r="E29" s="95">
        <v>1</v>
      </c>
      <c r="F29" s="40">
        <f>C29*E29</f>
        <v>153.56521739130434</v>
      </c>
      <c r="G29" s="43" t="s">
        <v>85</v>
      </c>
      <c r="H29" s="40">
        <v>3</v>
      </c>
      <c r="I29" s="41" t="s">
        <v>113</v>
      </c>
      <c r="J29" s="48">
        <v>1</v>
      </c>
      <c r="K29" s="40">
        <f>H29*J29</f>
        <v>3</v>
      </c>
      <c r="L29" s="48">
        <v>1.5</v>
      </c>
      <c r="M29" s="40">
        <f t="shared" si="4"/>
        <v>4.5</v>
      </c>
      <c r="N29" s="40">
        <v>3</v>
      </c>
      <c r="O29" s="41" t="s">
        <v>113</v>
      </c>
      <c r="P29" s="46">
        <v>1</v>
      </c>
      <c r="Q29" s="47">
        <f>N29*P29</f>
        <v>3</v>
      </c>
      <c r="R29" s="41">
        <v>1</v>
      </c>
      <c r="S29" s="47">
        <f>N29*R29</f>
        <v>3</v>
      </c>
      <c r="T29" s="41" t="s">
        <v>85</v>
      </c>
    </row>
    <row r="30" spans="2:20">
      <c r="B30" s="20" t="s">
        <v>114</v>
      </c>
      <c r="C30" s="94">
        <f>25.74*(1/23)</f>
        <v>1.1191304347826085</v>
      </c>
      <c r="D30" s="95" t="s">
        <v>113</v>
      </c>
      <c r="E30" s="95">
        <v>1</v>
      </c>
      <c r="F30" s="40">
        <f>C30*E30</f>
        <v>1.1191304347826085</v>
      </c>
      <c r="G30" s="43" t="s">
        <v>85</v>
      </c>
      <c r="H30" s="40">
        <v>0.63</v>
      </c>
      <c r="I30" s="41" t="s">
        <v>113</v>
      </c>
      <c r="J30" s="48">
        <v>1</v>
      </c>
      <c r="K30" s="40">
        <f>H30*J30</f>
        <v>0.63</v>
      </c>
      <c r="L30" s="48">
        <v>1.5</v>
      </c>
      <c r="M30" s="40">
        <f t="shared" si="4"/>
        <v>0.94500000000000006</v>
      </c>
      <c r="N30" s="40">
        <v>0.63</v>
      </c>
      <c r="O30" s="41" t="s">
        <v>113</v>
      </c>
      <c r="P30" s="46">
        <v>1</v>
      </c>
      <c r="Q30" s="47">
        <f>N30*P30</f>
        <v>0.63</v>
      </c>
      <c r="R30" s="41">
        <v>1</v>
      </c>
      <c r="S30" s="47">
        <f>N30*R30</f>
        <v>0.63</v>
      </c>
      <c r="T30" s="41" t="s">
        <v>85</v>
      </c>
    </row>
    <row r="31" spans="2:20">
      <c r="B31" s="20" t="s">
        <v>115</v>
      </c>
      <c r="C31" s="94">
        <f>4853*(1/23)</f>
        <v>211</v>
      </c>
      <c r="D31" s="95" t="s">
        <v>113</v>
      </c>
      <c r="E31" s="95">
        <v>1</v>
      </c>
      <c r="F31" s="40">
        <f>C31*E31</f>
        <v>211</v>
      </c>
      <c r="G31" s="43" t="s">
        <v>85</v>
      </c>
      <c r="H31" s="40">
        <v>8.23</v>
      </c>
      <c r="I31" s="41" t="s">
        <v>113</v>
      </c>
      <c r="J31" s="48">
        <v>1</v>
      </c>
      <c r="K31" s="40">
        <f>H31*J31</f>
        <v>8.23</v>
      </c>
      <c r="L31" s="48">
        <v>1.5</v>
      </c>
      <c r="M31" s="40">
        <f t="shared" si="4"/>
        <v>12.345000000000001</v>
      </c>
      <c r="N31" s="40">
        <v>8.23</v>
      </c>
      <c r="O31" s="41" t="s">
        <v>113</v>
      </c>
      <c r="P31" s="46">
        <v>1</v>
      </c>
      <c r="Q31" s="47">
        <f>N31*P31</f>
        <v>8.23</v>
      </c>
      <c r="R31" s="41">
        <v>1</v>
      </c>
      <c r="S31" s="47">
        <f>N31*R31</f>
        <v>8.23</v>
      </c>
      <c r="T31" s="41" t="s">
        <v>85</v>
      </c>
    </row>
    <row r="32" spans="2:20">
      <c r="B32" s="20" t="s">
        <v>156</v>
      </c>
      <c r="C32" s="94">
        <f>71.19*(1/23)</f>
        <v>3.0952173913043475</v>
      </c>
      <c r="D32" s="95" t="s">
        <v>113</v>
      </c>
      <c r="E32" s="95">
        <v>1</v>
      </c>
      <c r="F32" s="40">
        <f>C32*E32</f>
        <v>3.0952173913043475</v>
      </c>
      <c r="G32" s="43" t="s">
        <v>85</v>
      </c>
      <c r="H32" s="40">
        <v>0.42</v>
      </c>
      <c r="I32" s="41" t="s">
        <v>113</v>
      </c>
      <c r="J32" s="48">
        <v>1</v>
      </c>
      <c r="K32" s="40">
        <f>H32*J32</f>
        <v>0.42</v>
      </c>
      <c r="L32" s="48">
        <v>1.5</v>
      </c>
      <c r="M32" s="40">
        <f t="shared" si="4"/>
        <v>0.63</v>
      </c>
      <c r="N32" s="40">
        <v>0.42</v>
      </c>
      <c r="O32" s="41" t="s">
        <v>113</v>
      </c>
      <c r="P32" s="46">
        <v>1</v>
      </c>
      <c r="Q32" s="47">
        <f>N32*P32</f>
        <v>0.42</v>
      </c>
      <c r="R32" s="41">
        <v>1</v>
      </c>
      <c r="S32" s="47">
        <f>N32*R32</f>
        <v>0.42</v>
      </c>
      <c r="T32" s="41" t="s">
        <v>85</v>
      </c>
    </row>
    <row r="33" spans="2:20">
      <c r="B33" s="20" t="s">
        <v>157</v>
      </c>
      <c r="C33" s="94">
        <f>93*(1/23)</f>
        <v>4.0434782608695654</v>
      </c>
      <c r="D33" s="95" t="s">
        <v>113</v>
      </c>
      <c r="E33" s="95">
        <v>1</v>
      </c>
      <c r="F33" s="40">
        <f>C33*E33</f>
        <v>4.0434782608695654</v>
      </c>
      <c r="G33" s="43" t="s">
        <v>85</v>
      </c>
      <c r="H33" s="40">
        <v>0.16</v>
      </c>
      <c r="I33" s="41" t="s">
        <v>113</v>
      </c>
      <c r="J33" s="48">
        <v>1</v>
      </c>
      <c r="K33" s="40">
        <f>H33*J33</f>
        <v>0.16</v>
      </c>
      <c r="L33" s="48">
        <v>1.5</v>
      </c>
      <c r="M33" s="40">
        <f t="shared" si="4"/>
        <v>0.24</v>
      </c>
      <c r="N33" s="40">
        <v>0.16</v>
      </c>
      <c r="O33" s="41" t="s">
        <v>113</v>
      </c>
      <c r="P33" s="46">
        <v>1</v>
      </c>
      <c r="Q33" s="47">
        <f>N33*P33</f>
        <v>0.16</v>
      </c>
      <c r="R33" s="41">
        <v>1</v>
      </c>
      <c r="S33" s="47">
        <f>N33*R33</f>
        <v>0.16</v>
      </c>
      <c r="T33" s="41" t="s">
        <v>85</v>
      </c>
    </row>
    <row r="34" spans="2:20">
      <c r="B34" s="53" t="s">
        <v>117</v>
      </c>
      <c r="C34" s="98"/>
      <c r="D34" s="99"/>
      <c r="E34" s="99"/>
      <c r="F34" s="55">
        <f>SUM(F9:F33)</f>
        <v>1615.4563768115945</v>
      </c>
      <c r="G34" s="56"/>
      <c r="H34" s="54"/>
      <c r="I34" s="54"/>
      <c r="J34" s="57"/>
      <c r="K34" s="55">
        <f>SUM(K9:K33)</f>
        <v>431.3033333333334</v>
      </c>
      <c r="L34" s="58"/>
      <c r="M34" s="55">
        <f>SUM(M9:M33)</f>
        <v>586.75000000000011</v>
      </c>
      <c r="N34" s="54"/>
      <c r="O34" s="54"/>
      <c r="P34" s="59"/>
      <c r="Q34" s="60">
        <f>SUM(Q9:Q33)</f>
        <v>301.90190000000001</v>
      </c>
      <c r="R34" s="54"/>
      <c r="S34" s="60">
        <f>SUM(S9:S33)</f>
        <v>132.13799999999998</v>
      </c>
      <c r="T34" s="54"/>
    </row>
    <row r="35" spans="2:20" ht="8" customHeight="1">
      <c r="B35" s="11"/>
      <c r="C35" s="100"/>
      <c r="D35" s="101"/>
      <c r="E35" s="101"/>
      <c r="F35" s="61"/>
      <c r="G35" s="63"/>
      <c r="H35" s="62"/>
      <c r="I35" s="62"/>
      <c r="J35" s="62"/>
      <c r="K35" s="61"/>
      <c r="L35" s="64"/>
      <c r="M35" s="64"/>
      <c r="N35" s="62"/>
      <c r="O35" s="62"/>
      <c r="P35" s="62"/>
      <c r="Q35" s="61"/>
      <c r="R35" s="61"/>
      <c r="S35" s="61"/>
      <c r="T35" s="62"/>
    </row>
    <row r="36" spans="2:20" ht="19">
      <c r="B36" s="2" t="s">
        <v>118</v>
      </c>
      <c r="C36" s="94"/>
      <c r="D36" s="95"/>
      <c r="E36" s="95"/>
      <c r="F36" s="40"/>
      <c r="G36" s="43"/>
      <c r="H36" s="41"/>
      <c r="I36" s="41"/>
      <c r="J36" s="48"/>
      <c r="K36" s="40"/>
      <c r="L36" s="51"/>
      <c r="M36" s="52"/>
      <c r="N36" s="41"/>
      <c r="O36" s="41"/>
      <c r="P36" s="46"/>
      <c r="Q36" s="40"/>
      <c r="R36" s="65"/>
      <c r="S36" s="40"/>
      <c r="T36" s="46"/>
    </row>
    <row r="37" spans="2:20">
      <c r="B37" s="39" t="s">
        <v>119</v>
      </c>
      <c r="H37" s="41"/>
      <c r="I37" s="41"/>
      <c r="J37" s="34"/>
      <c r="L37" s="35"/>
      <c r="M37" s="36"/>
      <c r="N37" s="41"/>
      <c r="O37" s="41"/>
      <c r="P37" s="46"/>
      <c r="Q37" s="40"/>
      <c r="R37" s="65"/>
      <c r="S37" s="40"/>
      <c r="T37" s="46"/>
    </row>
    <row r="38" spans="2:20">
      <c r="B38" s="20" t="s">
        <v>83</v>
      </c>
      <c r="C38" s="94">
        <v>37.299999999999997</v>
      </c>
      <c r="D38" s="95" t="s">
        <v>84</v>
      </c>
      <c r="E38" s="96">
        <f>(45+25+25+40)/60</f>
        <v>2.25</v>
      </c>
      <c r="F38" s="40">
        <f t="shared" ref="F38:F43" si="9">C38*E38</f>
        <v>83.924999999999997</v>
      </c>
      <c r="G38" s="43" t="s">
        <v>85</v>
      </c>
      <c r="H38" s="44">
        <v>33.299999999999997</v>
      </c>
      <c r="I38" s="41" t="s">
        <v>84</v>
      </c>
      <c r="J38" s="45">
        <f>E38</f>
        <v>2.25</v>
      </c>
      <c r="K38" s="40">
        <f t="shared" ref="K38:K43" si="10">H38*J38</f>
        <v>74.924999999999997</v>
      </c>
      <c r="L38" s="46">
        <v>0.5</v>
      </c>
      <c r="M38" s="40">
        <f>H38*L38</f>
        <v>16.649999999999999</v>
      </c>
      <c r="N38" s="44">
        <v>33.299999999999997</v>
      </c>
      <c r="O38" s="41" t="s">
        <v>84</v>
      </c>
      <c r="P38" s="46">
        <v>1.25</v>
      </c>
      <c r="Q38" s="47">
        <f t="shared" ref="Q38:Q43" si="11">N38*P38</f>
        <v>41.625</v>
      </c>
      <c r="R38" s="46">
        <v>1.25</v>
      </c>
      <c r="S38" s="47">
        <f t="shared" ref="S38:S43" si="12">N38*R38</f>
        <v>41.625</v>
      </c>
      <c r="T38" s="41" t="s">
        <v>86</v>
      </c>
    </row>
    <row r="39" spans="2:20">
      <c r="B39" s="20" t="s">
        <v>87</v>
      </c>
      <c r="C39" s="94">
        <v>8.4</v>
      </c>
      <c r="D39" s="95" t="s">
        <v>84</v>
      </c>
      <c r="E39" s="97">
        <f>(60+80+15+120)/60</f>
        <v>4.583333333333333</v>
      </c>
      <c r="F39" s="40">
        <f t="shared" si="9"/>
        <v>38.5</v>
      </c>
      <c r="G39" s="43" t="s">
        <v>85</v>
      </c>
      <c r="H39" s="44">
        <v>4.2</v>
      </c>
      <c r="I39" s="41" t="s">
        <v>84</v>
      </c>
      <c r="J39" s="50">
        <f>E39</f>
        <v>4.583333333333333</v>
      </c>
      <c r="K39" s="40">
        <f t="shared" si="10"/>
        <v>19.25</v>
      </c>
      <c r="L39" s="46">
        <f>(30+45+15)/60</f>
        <v>1.5</v>
      </c>
      <c r="M39" s="40">
        <f t="shared" ref="M39:M59" si="13">H39*L39</f>
        <v>6.3000000000000007</v>
      </c>
      <c r="N39" s="44">
        <v>4.2</v>
      </c>
      <c r="O39" s="41" t="s">
        <v>84</v>
      </c>
      <c r="P39" s="46">
        <v>1.25</v>
      </c>
      <c r="Q39" s="47">
        <f t="shared" si="11"/>
        <v>5.25</v>
      </c>
      <c r="R39" s="46">
        <v>1.25</v>
      </c>
      <c r="S39" s="47">
        <f t="shared" si="12"/>
        <v>5.25</v>
      </c>
      <c r="T39" s="41" t="s">
        <v>86</v>
      </c>
    </row>
    <row r="40" spans="2:20">
      <c r="B40" s="20" t="s">
        <v>88</v>
      </c>
      <c r="C40" s="94">
        <v>6.5</v>
      </c>
      <c r="D40" s="95" t="s">
        <v>84</v>
      </c>
      <c r="E40" s="95">
        <f>E11</f>
        <v>1.75</v>
      </c>
      <c r="F40" s="40">
        <f t="shared" si="9"/>
        <v>11.375</v>
      </c>
      <c r="G40" s="43" t="s">
        <v>85</v>
      </c>
      <c r="H40" s="44">
        <v>3.26</v>
      </c>
      <c r="I40" s="41" t="s">
        <v>84</v>
      </c>
      <c r="J40" s="48">
        <f>E40</f>
        <v>1.75</v>
      </c>
      <c r="K40" s="40">
        <f t="shared" si="10"/>
        <v>5.7050000000000001</v>
      </c>
      <c r="L40" s="46">
        <f>(30+15+15)/60</f>
        <v>1</v>
      </c>
      <c r="M40" s="40">
        <f t="shared" si="13"/>
        <v>3.26</v>
      </c>
      <c r="N40" s="44">
        <v>3.26</v>
      </c>
      <c r="O40" s="41" t="s">
        <v>84</v>
      </c>
      <c r="P40" s="46">
        <v>1.5</v>
      </c>
      <c r="Q40" s="47">
        <f t="shared" si="11"/>
        <v>4.8899999999999997</v>
      </c>
      <c r="R40" s="46">
        <v>1.5</v>
      </c>
      <c r="S40" s="47">
        <f t="shared" si="12"/>
        <v>4.8899999999999997</v>
      </c>
      <c r="T40" s="41" t="s">
        <v>86</v>
      </c>
    </row>
    <row r="41" spans="2:20">
      <c r="B41" s="20" t="s">
        <v>89</v>
      </c>
      <c r="C41" s="94">
        <v>19.93</v>
      </c>
      <c r="D41" s="95" t="s">
        <v>84</v>
      </c>
      <c r="E41" s="97">
        <f>145/60</f>
        <v>2.4166666666666665</v>
      </c>
      <c r="F41" s="40">
        <f t="shared" si="9"/>
        <v>48.164166666666667</v>
      </c>
      <c r="G41" s="43" t="s">
        <v>85</v>
      </c>
      <c r="H41" s="44">
        <v>19.93</v>
      </c>
      <c r="I41" s="41" t="s">
        <v>84</v>
      </c>
      <c r="J41" s="50">
        <f>E41</f>
        <v>2.4166666666666665</v>
      </c>
      <c r="K41" s="40">
        <f t="shared" si="10"/>
        <v>48.164166666666667</v>
      </c>
      <c r="L41" s="46">
        <f>((30+15)/60)</f>
        <v>0.75</v>
      </c>
      <c r="M41" s="40">
        <f t="shared" si="13"/>
        <v>14.9475</v>
      </c>
      <c r="N41" s="44">
        <v>19.93</v>
      </c>
      <c r="O41" s="41" t="s">
        <v>84</v>
      </c>
      <c r="P41" s="66">
        <f>35/60</f>
        <v>0.58333333333333337</v>
      </c>
      <c r="Q41" s="47">
        <f t="shared" si="11"/>
        <v>11.625833333333334</v>
      </c>
      <c r="R41" s="67">
        <v>0</v>
      </c>
      <c r="S41" s="47">
        <f t="shared" si="12"/>
        <v>0</v>
      </c>
      <c r="T41" s="41" t="s">
        <v>86</v>
      </c>
    </row>
    <row r="42" spans="2:20">
      <c r="B42" s="20" t="s">
        <v>90</v>
      </c>
      <c r="C42" s="94">
        <v>5.6</v>
      </c>
      <c r="D42" s="95" t="s">
        <v>84</v>
      </c>
      <c r="E42" s="95">
        <v>1</v>
      </c>
      <c r="F42" s="40">
        <f t="shared" si="9"/>
        <v>5.6</v>
      </c>
      <c r="G42" s="43" t="s">
        <v>85</v>
      </c>
      <c r="H42" s="44">
        <v>3.26</v>
      </c>
      <c r="I42" s="41" t="s">
        <v>84</v>
      </c>
      <c r="J42" s="48">
        <v>1</v>
      </c>
      <c r="K42" s="40">
        <f t="shared" si="10"/>
        <v>3.26</v>
      </c>
      <c r="L42" s="46">
        <f>0.25</f>
        <v>0.25</v>
      </c>
      <c r="M42" s="40">
        <f t="shared" si="13"/>
        <v>0.81499999999999995</v>
      </c>
      <c r="N42" s="44">
        <v>3.26</v>
      </c>
      <c r="O42" s="41" t="s">
        <v>84</v>
      </c>
      <c r="P42" s="66">
        <f>40/60</f>
        <v>0.66666666666666663</v>
      </c>
      <c r="Q42" s="47">
        <f t="shared" si="11"/>
        <v>2.1733333333333329</v>
      </c>
      <c r="R42" s="67">
        <v>0</v>
      </c>
      <c r="S42" s="47">
        <f t="shared" si="12"/>
        <v>0</v>
      </c>
      <c r="T42" s="41" t="s">
        <v>86</v>
      </c>
    </row>
    <row r="43" spans="2:20">
      <c r="B43" s="20" t="s">
        <v>91</v>
      </c>
      <c r="C43" s="94">
        <v>3.85</v>
      </c>
      <c r="D43" s="95" t="s">
        <v>84</v>
      </c>
      <c r="E43" s="97">
        <v>1.3333333333333333</v>
      </c>
      <c r="F43" s="40">
        <f t="shared" si="9"/>
        <v>5.1333333333333329</v>
      </c>
      <c r="G43" s="43" t="s">
        <v>85</v>
      </c>
      <c r="H43" s="44">
        <v>1.93</v>
      </c>
      <c r="I43" s="41" t="s">
        <v>84</v>
      </c>
      <c r="J43" s="50">
        <v>1.3333333333333333</v>
      </c>
      <c r="K43" s="40">
        <f t="shared" si="10"/>
        <v>2.5733333333333333</v>
      </c>
      <c r="L43" s="46">
        <v>0.75</v>
      </c>
      <c r="M43" s="40">
        <f t="shared" si="13"/>
        <v>1.4475</v>
      </c>
      <c r="N43" s="44">
        <v>1.93</v>
      </c>
      <c r="O43" s="41" t="s">
        <v>84</v>
      </c>
      <c r="P43" s="66">
        <f>P14</f>
        <v>0.6</v>
      </c>
      <c r="Q43" s="47">
        <f t="shared" si="11"/>
        <v>1.1579999999999999</v>
      </c>
      <c r="R43" s="66">
        <f>P14</f>
        <v>0.6</v>
      </c>
      <c r="S43" s="47">
        <f t="shared" si="12"/>
        <v>1.1579999999999999</v>
      </c>
      <c r="T43" s="41" t="s">
        <v>86</v>
      </c>
    </row>
    <row r="44" spans="2:20">
      <c r="B44" s="39" t="s">
        <v>47</v>
      </c>
      <c r="G44" s="43"/>
      <c r="H44" s="41"/>
      <c r="I44" s="41"/>
      <c r="J44" s="34"/>
      <c r="L44" s="35"/>
      <c r="M44" s="52"/>
      <c r="N44" s="41"/>
      <c r="O44" s="41"/>
      <c r="P44" s="46"/>
      <c r="Q44" s="40"/>
      <c r="R44" s="65"/>
      <c r="S44" s="40"/>
      <c r="T44" s="46"/>
    </row>
    <row r="45" spans="2:20">
      <c r="B45" s="20" t="s">
        <v>118</v>
      </c>
      <c r="C45" s="94">
        <v>49</v>
      </c>
      <c r="D45" s="95" t="s">
        <v>120</v>
      </c>
      <c r="E45" s="95">
        <v>8</v>
      </c>
      <c r="F45" s="40">
        <f>C45*E45</f>
        <v>392</v>
      </c>
      <c r="G45" s="43" t="s">
        <v>95</v>
      </c>
      <c r="H45" s="44">
        <v>18.100000000000001</v>
      </c>
      <c r="I45" s="41" t="s">
        <v>120</v>
      </c>
      <c r="J45" s="48">
        <v>8</v>
      </c>
      <c r="K45" s="40">
        <f>H45*J45</f>
        <v>144.80000000000001</v>
      </c>
      <c r="L45" s="48">
        <v>8</v>
      </c>
      <c r="M45" s="40">
        <f t="shared" si="13"/>
        <v>144.80000000000001</v>
      </c>
      <c r="N45" s="44">
        <v>18.100000000000001</v>
      </c>
      <c r="O45" s="41" t="s">
        <v>120</v>
      </c>
      <c r="P45" s="46">
        <v>8</v>
      </c>
      <c r="Q45" s="40">
        <f>H45*P45</f>
        <v>144.80000000000001</v>
      </c>
      <c r="R45" s="65">
        <v>0</v>
      </c>
      <c r="S45" s="40">
        <f>N45*R45</f>
        <v>0</v>
      </c>
      <c r="T45" s="46" t="s">
        <v>121</v>
      </c>
    </row>
    <row r="46" spans="2:20">
      <c r="B46" s="39" t="s">
        <v>122</v>
      </c>
      <c r="C46" s="94"/>
      <c r="D46" s="95"/>
      <c r="E46" s="95"/>
      <c r="F46" s="40"/>
      <c r="G46" s="43"/>
      <c r="H46" s="41"/>
      <c r="I46" s="41"/>
      <c r="J46" s="48"/>
      <c r="K46" s="40"/>
      <c r="L46" s="51"/>
      <c r="M46" s="52"/>
      <c r="N46" s="41"/>
      <c r="O46" s="41"/>
      <c r="P46" s="46"/>
      <c r="Q46" s="40"/>
      <c r="R46" s="65"/>
      <c r="S46" s="40"/>
      <c r="T46" s="46"/>
    </row>
    <row r="47" spans="2:20">
      <c r="B47" s="20" t="s">
        <v>100</v>
      </c>
      <c r="C47" s="94">
        <v>16.18</v>
      </c>
      <c r="D47" s="95" t="s">
        <v>101</v>
      </c>
      <c r="E47" s="95">
        <v>11</v>
      </c>
      <c r="F47" s="40">
        <f t="shared" ref="F47:F53" si="14">C47*E47</f>
        <v>177.98</v>
      </c>
      <c r="G47" s="43" t="s">
        <v>85</v>
      </c>
      <c r="H47" s="44">
        <v>4.16</v>
      </c>
      <c r="I47" s="41" t="s">
        <v>101</v>
      </c>
      <c r="J47" s="48">
        <v>11</v>
      </c>
      <c r="K47" s="40">
        <f t="shared" ref="K47:K53" si="15">H47*J47</f>
        <v>45.760000000000005</v>
      </c>
      <c r="L47" s="48">
        <v>5</v>
      </c>
      <c r="M47" s="40">
        <f t="shared" si="13"/>
        <v>20.8</v>
      </c>
      <c r="N47" s="44">
        <v>4.16</v>
      </c>
      <c r="O47" s="41" t="s">
        <v>101</v>
      </c>
      <c r="P47" s="46">
        <v>4</v>
      </c>
      <c r="Q47" s="47">
        <f t="shared" ref="Q47:Q52" si="16">N47*P47</f>
        <v>16.64</v>
      </c>
      <c r="R47" s="41">
        <v>1</v>
      </c>
      <c r="S47" s="47">
        <f t="shared" ref="S47:S52" si="17">N47*R47</f>
        <v>4.16</v>
      </c>
      <c r="T47" s="41" t="s">
        <v>102</v>
      </c>
    </row>
    <row r="48" spans="2:20">
      <c r="B48" s="20" t="s">
        <v>103</v>
      </c>
      <c r="C48" s="94">
        <v>107.28</v>
      </c>
      <c r="D48" s="95" t="s">
        <v>101</v>
      </c>
      <c r="E48" s="95">
        <v>0</v>
      </c>
      <c r="F48" s="40">
        <f t="shared" si="14"/>
        <v>0</v>
      </c>
      <c r="G48" s="43" t="s">
        <v>85</v>
      </c>
      <c r="H48" s="44">
        <v>25.51</v>
      </c>
      <c r="I48" s="41" t="s">
        <v>101</v>
      </c>
      <c r="J48" s="48">
        <v>0</v>
      </c>
      <c r="K48" s="40">
        <f t="shared" si="15"/>
        <v>0</v>
      </c>
      <c r="L48" s="48">
        <v>0</v>
      </c>
      <c r="M48" s="40">
        <f t="shared" si="13"/>
        <v>0</v>
      </c>
      <c r="N48" s="44">
        <v>25.51</v>
      </c>
      <c r="O48" s="41" t="s">
        <v>101</v>
      </c>
      <c r="P48" s="46">
        <v>0</v>
      </c>
      <c r="Q48" s="47">
        <f t="shared" si="16"/>
        <v>0</v>
      </c>
      <c r="R48" s="41">
        <v>0</v>
      </c>
      <c r="S48" s="47">
        <f t="shared" si="17"/>
        <v>0</v>
      </c>
      <c r="T48" s="41" t="s">
        <v>102</v>
      </c>
    </row>
    <row r="49" spans="2:20">
      <c r="B49" s="20" t="s">
        <v>106</v>
      </c>
      <c r="C49" s="94">
        <v>3.88</v>
      </c>
      <c r="D49" s="95" t="s">
        <v>101</v>
      </c>
      <c r="E49" s="95">
        <v>1.5</v>
      </c>
      <c r="F49" s="40">
        <f t="shared" si="14"/>
        <v>5.82</v>
      </c>
      <c r="G49" s="43" t="s">
        <v>85</v>
      </c>
      <c r="H49" s="44">
        <v>3.34</v>
      </c>
      <c r="I49" s="41" t="s">
        <v>101</v>
      </c>
      <c r="J49" s="48">
        <v>1.5</v>
      </c>
      <c r="K49" s="40">
        <f t="shared" si="15"/>
        <v>5.01</v>
      </c>
      <c r="L49" s="48">
        <v>1</v>
      </c>
      <c r="M49" s="40">
        <f t="shared" si="13"/>
        <v>3.34</v>
      </c>
      <c r="N49" s="44">
        <v>3.34</v>
      </c>
      <c r="O49" s="41" t="s">
        <v>101</v>
      </c>
      <c r="P49" s="46">
        <v>1</v>
      </c>
      <c r="Q49" s="47">
        <f t="shared" si="16"/>
        <v>3.34</v>
      </c>
      <c r="R49" s="41">
        <v>1</v>
      </c>
      <c r="S49" s="47">
        <f t="shared" si="17"/>
        <v>3.34</v>
      </c>
      <c r="T49" s="41" t="s">
        <v>85</v>
      </c>
    </row>
    <row r="50" spans="2:20">
      <c r="B50" s="20" t="s">
        <v>107</v>
      </c>
      <c r="C50" s="94">
        <v>4.67</v>
      </c>
      <c r="D50" s="95" t="s">
        <v>101</v>
      </c>
      <c r="E50" s="95">
        <v>1.5</v>
      </c>
      <c r="F50" s="40">
        <f t="shared" si="14"/>
        <v>7.0049999999999999</v>
      </c>
      <c r="G50" s="43" t="s">
        <v>85</v>
      </c>
      <c r="H50" s="44">
        <v>3.52</v>
      </c>
      <c r="I50" s="41" t="s">
        <v>101</v>
      </c>
      <c r="J50" s="48">
        <v>1.5</v>
      </c>
      <c r="K50" s="40">
        <f t="shared" si="15"/>
        <v>5.28</v>
      </c>
      <c r="L50" s="48">
        <v>1</v>
      </c>
      <c r="M50" s="40">
        <f t="shared" si="13"/>
        <v>3.52</v>
      </c>
      <c r="N50" s="44">
        <v>3.52</v>
      </c>
      <c r="O50" s="41" t="s">
        <v>101</v>
      </c>
      <c r="P50" s="46">
        <v>2</v>
      </c>
      <c r="Q50" s="47">
        <f t="shared" si="16"/>
        <v>7.04</v>
      </c>
      <c r="R50" s="41">
        <v>1</v>
      </c>
      <c r="S50" s="47">
        <f t="shared" si="17"/>
        <v>3.52</v>
      </c>
      <c r="T50" s="41" t="s">
        <v>85</v>
      </c>
    </row>
    <row r="51" spans="2:20">
      <c r="B51" s="20" t="s">
        <v>108</v>
      </c>
      <c r="C51" s="94">
        <v>19.37</v>
      </c>
      <c r="D51" s="95" t="s">
        <v>101</v>
      </c>
      <c r="E51" s="95">
        <v>2</v>
      </c>
      <c r="F51" s="40">
        <f t="shared" si="14"/>
        <v>38.74</v>
      </c>
      <c r="G51" s="43" t="s">
        <v>109</v>
      </c>
      <c r="H51" s="44">
        <v>8.18</v>
      </c>
      <c r="I51" s="41" t="s">
        <v>101</v>
      </c>
      <c r="J51" s="48">
        <v>2</v>
      </c>
      <c r="K51" s="40">
        <f t="shared" si="15"/>
        <v>16.36</v>
      </c>
      <c r="L51" s="48">
        <v>2</v>
      </c>
      <c r="M51" s="40">
        <f t="shared" si="13"/>
        <v>16.36</v>
      </c>
      <c r="N51" s="44">
        <v>8.18</v>
      </c>
      <c r="O51" s="41" t="s">
        <v>101</v>
      </c>
      <c r="P51" s="46">
        <v>0.25</v>
      </c>
      <c r="Q51" s="47">
        <f t="shared" si="16"/>
        <v>2.0449999999999999</v>
      </c>
      <c r="R51" s="41">
        <v>0</v>
      </c>
      <c r="S51" s="47">
        <f t="shared" si="17"/>
        <v>0</v>
      </c>
      <c r="T51" s="41"/>
    </row>
    <row r="52" spans="2:20">
      <c r="B52" s="20" t="s">
        <v>110</v>
      </c>
      <c r="C52" s="94">
        <v>1.8</v>
      </c>
      <c r="D52" s="95" t="s">
        <v>101</v>
      </c>
      <c r="E52" s="95">
        <v>8</v>
      </c>
      <c r="F52" s="40">
        <f t="shared" si="14"/>
        <v>14.4</v>
      </c>
      <c r="G52" s="43" t="s">
        <v>85</v>
      </c>
      <c r="H52" s="40">
        <v>1.44</v>
      </c>
      <c r="I52" s="41" t="s">
        <v>101</v>
      </c>
      <c r="J52" s="48">
        <v>8</v>
      </c>
      <c r="K52" s="40">
        <f t="shared" si="15"/>
        <v>11.52</v>
      </c>
      <c r="L52" s="48">
        <v>4</v>
      </c>
      <c r="M52" s="40">
        <f t="shared" si="13"/>
        <v>5.76</v>
      </c>
      <c r="N52" s="40">
        <v>1.44</v>
      </c>
      <c r="O52" s="41" t="s">
        <v>101</v>
      </c>
      <c r="P52" s="46">
        <v>3</v>
      </c>
      <c r="Q52" s="47">
        <f t="shared" si="16"/>
        <v>4.32</v>
      </c>
      <c r="R52" s="41">
        <v>2</v>
      </c>
      <c r="S52" s="47">
        <f t="shared" si="17"/>
        <v>2.88</v>
      </c>
      <c r="T52" s="41" t="s">
        <v>85</v>
      </c>
    </row>
    <row r="53" spans="2:20">
      <c r="B53" s="20" t="s">
        <v>136</v>
      </c>
      <c r="C53" s="94">
        <v>13.52</v>
      </c>
      <c r="D53" s="95" t="s">
        <v>101</v>
      </c>
      <c r="E53" s="95">
        <v>2</v>
      </c>
      <c r="F53" s="40">
        <f t="shared" si="14"/>
        <v>27.04</v>
      </c>
      <c r="G53" s="43" t="s">
        <v>85</v>
      </c>
      <c r="H53" s="40">
        <v>4.1900000000000004</v>
      </c>
      <c r="I53" s="41" t="s">
        <v>101</v>
      </c>
      <c r="J53" s="48">
        <v>2</v>
      </c>
      <c r="K53" s="40">
        <f t="shared" si="15"/>
        <v>8.3800000000000008</v>
      </c>
      <c r="L53" s="48"/>
      <c r="M53" s="40"/>
      <c r="N53" s="40"/>
      <c r="O53" s="41"/>
      <c r="P53" s="46">
        <v>2</v>
      </c>
      <c r="Q53" s="47">
        <f>H53*P53</f>
        <v>8.3800000000000008</v>
      </c>
      <c r="R53" s="41">
        <v>2</v>
      </c>
      <c r="S53" s="47">
        <f>H53*R53</f>
        <v>8.3800000000000008</v>
      </c>
      <c r="T53" s="41" t="s">
        <v>150</v>
      </c>
    </row>
    <row r="54" spans="2:20">
      <c r="B54" s="39" t="s">
        <v>111</v>
      </c>
      <c r="C54" s="94"/>
      <c r="D54" s="95"/>
      <c r="E54" s="95"/>
      <c r="F54" s="40"/>
      <c r="G54" s="43"/>
      <c r="H54" s="41"/>
      <c r="I54" s="41"/>
      <c r="J54" s="48"/>
      <c r="K54" s="40"/>
      <c r="L54" s="48"/>
      <c r="M54" s="40"/>
      <c r="N54" s="41"/>
      <c r="O54" s="41"/>
      <c r="P54" s="46"/>
      <c r="Q54" s="47"/>
      <c r="R54" s="41"/>
      <c r="S54" s="47"/>
      <c r="T54" s="41"/>
    </row>
    <row r="55" spans="2:20">
      <c r="B55" s="20" t="s">
        <v>112</v>
      </c>
      <c r="C55" s="94">
        <f>C29</f>
        <v>153.56521739130434</v>
      </c>
      <c r="D55" s="95" t="s">
        <v>113</v>
      </c>
      <c r="E55" s="95">
        <v>1</v>
      </c>
      <c r="F55" s="40">
        <f>C55*E55</f>
        <v>153.56521739130434</v>
      </c>
      <c r="G55" s="43" t="s">
        <v>85</v>
      </c>
      <c r="H55" s="40">
        <v>3</v>
      </c>
      <c r="I55" s="41" t="s">
        <v>113</v>
      </c>
      <c r="J55" s="48">
        <v>1</v>
      </c>
      <c r="K55" s="40">
        <f>H55*J55</f>
        <v>3</v>
      </c>
      <c r="L55" s="48">
        <v>1.5</v>
      </c>
      <c r="M55" s="40">
        <f t="shared" si="13"/>
        <v>4.5</v>
      </c>
      <c r="N55" s="40">
        <v>3</v>
      </c>
      <c r="O55" s="41" t="s">
        <v>113</v>
      </c>
      <c r="P55" s="46">
        <v>1</v>
      </c>
      <c r="Q55" s="47">
        <f>N55*P55</f>
        <v>3</v>
      </c>
      <c r="R55" s="41">
        <v>1</v>
      </c>
      <c r="S55" s="47">
        <f>N55*R55</f>
        <v>3</v>
      </c>
      <c r="T55" s="41" t="s">
        <v>85</v>
      </c>
    </row>
    <row r="56" spans="2:20">
      <c r="B56" s="20" t="s">
        <v>114</v>
      </c>
      <c r="C56" s="94">
        <f>25.74*(1/23)</f>
        <v>1.1191304347826085</v>
      </c>
      <c r="D56" s="95" t="s">
        <v>113</v>
      </c>
      <c r="E56" s="95">
        <v>1</v>
      </c>
      <c r="F56" s="40">
        <f>C56*E56</f>
        <v>1.1191304347826085</v>
      </c>
      <c r="G56" s="43" t="s">
        <v>85</v>
      </c>
      <c r="H56" s="40">
        <v>0.63</v>
      </c>
      <c r="I56" s="41" t="s">
        <v>113</v>
      </c>
      <c r="J56" s="48">
        <v>1</v>
      </c>
      <c r="K56" s="40">
        <f>H56*J56</f>
        <v>0.63</v>
      </c>
      <c r="L56" s="48">
        <v>1.5</v>
      </c>
      <c r="M56" s="40">
        <f t="shared" si="13"/>
        <v>0.94500000000000006</v>
      </c>
      <c r="N56" s="40">
        <v>0.63</v>
      </c>
      <c r="O56" s="41" t="s">
        <v>113</v>
      </c>
      <c r="P56" s="46">
        <v>1</v>
      </c>
      <c r="Q56" s="47">
        <f>N56*P56</f>
        <v>0.63</v>
      </c>
      <c r="R56" s="41">
        <v>1</v>
      </c>
      <c r="S56" s="47">
        <f>N56*R56</f>
        <v>0.63</v>
      </c>
      <c r="T56" s="41" t="s">
        <v>85</v>
      </c>
    </row>
    <row r="57" spans="2:20">
      <c r="B57" s="20" t="s">
        <v>115</v>
      </c>
      <c r="C57" s="94">
        <f>C31</f>
        <v>211</v>
      </c>
      <c r="D57" s="95" t="s">
        <v>113</v>
      </c>
      <c r="E57" s="95">
        <v>1</v>
      </c>
      <c r="F57" s="40">
        <f>C57*E57</f>
        <v>211</v>
      </c>
      <c r="G57" s="43" t="s">
        <v>85</v>
      </c>
      <c r="H57" s="40">
        <v>8.23</v>
      </c>
      <c r="I57" s="41" t="s">
        <v>113</v>
      </c>
      <c r="J57" s="48">
        <v>1</v>
      </c>
      <c r="K57" s="40">
        <f>H57*J57</f>
        <v>8.23</v>
      </c>
      <c r="L57" s="48">
        <v>1.5</v>
      </c>
      <c r="M57" s="40">
        <f t="shared" si="13"/>
        <v>12.345000000000001</v>
      </c>
      <c r="N57" s="40">
        <v>8.23</v>
      </c>
      <c r="O57" s="41" t="s">
        <v>113</v>
      </c>
      <c r="P57" s="46">
        <v>1</v>
      </c>
      <c r="Q57" s="47">
        <f>N57*P57</f>
        <v>8.23</v>
      </c>
      <c r="R57" s="41">
        <v>1</v>
      </c>
      <c r="S57" s="47">
        <f>N57*R57</f>
        <v>8.23</v>
      </c>
      <c r="T57" s="41" t="s">
        <v>85</v>
      </c>
    </row>
    <row r="58" spans="2:20">
      <c r="B58" s="20" t="s">
        <v>156</v>
      </c>
      <c r="C58" s="94">
        <f>71.19*(1/23)</f>
        <v>3.0952173913043475</v>
      </c>
      <c r="D58" s="95" t="s">
        <v>113</v>
      </c>
      <c r="E58" s="95">
        <v>1</v>
      </c>
      <c r="F58" s="40">
        <f>C58*E58</f>
        <v>3.0952173913043475</v>
      </c>
      <c r="G58" s="43" t="s">
        <v>85</v>
      </c>
      <c r="H58" s="40">
        <v>0.42</v>
      </c>
      <c r="I58" s="41" t="s">
        <v>113</v>
      </c>
      <c r="J58" s="48">
        <v>1</v>
      </c>
      <c r="K58" s="40">
        <f>H58*J58</f>
        <v>0.42</v>
      </c>
      <c r="L58" s="48">
        <v>1.5</v>
      </c>
      <c r="M58" s="40">
        <f t="shared" si="13"/>
        <v>0.63</v>
      </c>
      <c r="N58" s="40">
        <v>0.42</v>
      </c>
      <c r="O58" s="41" t="s">
        <v>113</v>
      </c>
      <c r="P58" s="46">
        <v>1</v>
      </c>
      <c r="Q58" s="47">
        <f>N58*P58</f>
        <v>0.42</v>
      </c>
      <c r="R58" s="41">
        <v>1</v>
      </c>
      <c r="S58" s="47">
        <f>N58*R58</f>
        <v>0.42</v>
      </c>
      <c r="T58" s="41" t="s">
        <v>85</v>
      </c>
    </row>
    <row r="59" spans="2:20">
      <c r="B59" s="20" t="s">
        <v>157</v>
      </c>
      <c r="C59" s="94">
        <f>C33</f>
        <v>4.0434782608695654</v>
      </c>
      <c r="D59" s="95" t="s">
        <v>113</v>
      </c>
      <c r="E59" s="95">
        <v>1</v>
      </c>
      <c r="F59" s="40">
        <f>C59*E59</f>
        <v>4.0434782608695654</v>
      </c>
      <c r="G59" s="43" t="s">
        <v>85</v>
      </c>
      <c r="H59" s="40">
        <v>0.16</v>
      </c>
      <c r="I59" s="41" t="s">
        <v>113</v>
      </c>
      <c r="J59" s="48">
        <v>1</v>
      </c>
      <c r="K59" s="40">
        <f>H59*J59</f>
        <v>0.16</v>
      </c>
      <c r="L59" s="48">
        <v>1.5</v>
      </c>
      <c r="M59" s="40">
        <f t="shared" si="13"/>
        <v>0.24</v>
      </c>
      <c r="N59" s="40">
        <v>0.16</v>
      </c>
      <c r="O59" s="41" t="s">
        <v>113</v>
      </c>
      <c r="P59" s="46">
        <v>1</v>
      </c>
      <c r="Q59" s="47">
        <f>N59*P59</f>
        <v>0.16</v>
      </c>
      <c r="R59" s="41">
        <v>1</v>
      </c>
      <c r="S59" s="47">
        <f>N59*R59</f>
        <v>0.16</v>
      </c>
      <c r="T59" s="41" t="s">
        <v>85</v>
      </c>
    </row>
    <row r="60" spans="2:20">
      <c r="B60" s="53" t="s">
        <v>117</v>
      </c>
      <c r="C60" s="98"/>
      <c r="D60" s="99"/>
      <c r="E60" s="99"/>
      <c r="F60" s="55">
        <f>SUM(F37:F59)</f>
        <v>1228.505543478261</v>
      </c>
      <c r="G60" s="56"/>
      <c r="H60" s="54"/>
      <c r="I60" s="54"/>
      <c r="J60" s="57"/>
      <c r="K60" s="55">
        <f>SUM(K37:K59)</f>
        <v>403.42750000000001</v>
      </c>
      <c r="L60" s="58"/>
      <c r="M60" s="55">
        <f>SUM(M37:M59)</f>
        <v>256.66000000000003</v>
      </c>
      <c r="N60" s="54"/>
      <c r="O60" s="54"/>
      <c r="P60" s="59"/>
      <c r="Q60" s="60">
        <f>SUM(Q37:Q59)</f>
        <v>265.72716666666668</v>
      </c>
      <c r="R60" s="54"/>
      <c r="S60" s="60">
        <f>SUM(S37:S59)</f>
        <v>87.643000000000001</v>
      </c>
      <c r="T60" s="54"/>
    </row>
    <row r="61" spans="2:20" ht="9" customHeight="1">
      <c r="B61" s="11"/>
      <c r="C61" s="92"/>
      <c r="D61" s="93"/>
      <c r="E61" s="93"/>
      <c r="F61" s="61"/>
      <c r="G61" s="32"/>
      <c r="H61" s="11"/>
      <c r="I61" s="11"/>
      <c r="J61" s="11"/>
      <c r="K61" s="61"/>
      <c r="L61" s="64"/>
      <c r="M61" s="64"/>
      <c r="N61" s="11"/>
      <c r="O61" s="11"/>
      <c r="P61" s="11"/>
      <c r="Q61" s="61"/>
      <c r="R61" s="61"/>
      <c r="S61" s="61"/>
      <c r="T61" s="11"/>
    </row>
    <row r="62" spans="2:20" ht="19">
      <c r="B62" s="2" t="s">
        <v>123</v>
      </c>
      <c r="F62" s="40"/>
      <c r="J62" s="34"/>
      <c r="K62" s="40"/>
      <c r="L62" s="35"/>
      <c r="M62" s="52"/>
      <c r="P62" s="37"/>
      <c r="Q62" s="40"/>
      <c r="R62" s="65"/>
      <c r="S62" s="40"/>
      <c r="T62" s="37"/>
    </row>
    <row r="63" spans="2:20">
      <c r="B63" s="39" t="s">
        <v>119</v>
      </c>
      <c r="F63" s="40"/>
      <c r="J63" s="34"/>
      <c r="K63" s="40"/>
      <c r="L63" s="35"/>
      <c r="M63" s="52"/>
      <c r="P63" s="37"/>
      <c r="Q63" s="40"/>
      <c r="R63" s="65"/>
      <c r="S63" s="40"/>
      <c r="T63" s="37"/>
    </row>
    <row r="64" spans="2:20">
      <c r="B64" s="20" t="s">
        <v>124</v>
      </c>
      <c r="C64" s="94">
        <v>37.299999999999997</v>
      </c>
      <c r="D64" s="95" t="s">
        <v>84</v>
      </c>
      <c r="E64" s="95">
        <f>(30+25+25+40)/60</f>
        <v>2</v>
      </c>
      <c r="F64" s="40">
        <f>C64*E64</f>
        <v>74.599999999999994</v>
      </c>
      <c r="G64" s="43" t="s">
        <v>85</v>
      </c>
      <c r="H64" s="44">
        <v>33.299999999999997</v>
      </c>
      <c r="I64" s="41" t="s">
        <v>84</v>
      </c>
      <c r="J64" s="48">
        <f>E64</f>
        <v>2</v>
      </c>
      <c r="K64" s="40">
        <f>H64*J64</f>
        <v>66.599999999999994</v>
      </c>
      <c r="L64" s="46">
        <v>0.5</v>
      </c>
      <c r="M64" s="40">
        <f>H64*L64</f>
        <v>16.649999999999999</v>
      </c>
      <c r="N64" s="44">
        <v>33.299999999999997</v>
      </c>
      <c r="O64" s="41" t="s">
        <v>84</v>
      </c>
      <c r="P64" s="46">
        <v>0.75</v>
      </c>
      <c r="Q64" s="40">
        <f>N64*P64</f>
        <v>24.974999999999998</v>
      </c>
      <c r="R64" s="46">
        <v>0.75</v>
      </c>
      <c r="S64" s="40">
        <f>N64*R64</f>
        <v>24.974999999999998</v>
      </c>
      <c r="T64" s="46" t="s">
        <v>86</v>
      </c>
    </row>
    <row r="65" spans="2:20">
      <c r="B65" s="20" t="s">
        <v>87</v>
      </c>
      <c r="C65" s="94">
        <v>8.4</v>
      </c>
      <c r="D65" s="95" t="s">
        <v>84</v>
      </c>
      <c r="E65" s="97">
        <f>(60+80+120)/60</f>
        <v>4.333333333333333</v>
      </c>
      <c r="F65" s="40">
        <f>C65*E65</f>
        <v>36.4</v>
      </c>
      <c r="G65" s="43" t="s">
        <v>85</v>
      </c>
      <c r="H65" s="44">
        <v>4.2</v>
      </c>
      <c r="I65" s="41" t="s">
        <v>84</v>
      </c>
      <c r="J65" s="50">
        <f>E65</f>
        <v>4.333333333333333</v>
      </c>
      <c r="K65" s="40">
        <f>H65*J65</f>
        <v>18.2</v>
      </c>
      <c r="L65" s="48">
        <v>1.5</v>
      </c>
      <c r="M65" s="40">
        <f t="shared" ref="M65:M83" si="18">H65*L65</f>
        <v>6.3000000000000007</v>
      </c>
      <c r="N65" s="44">
        <v>4.2</v>
      </c>
      <c r="O65" s="41" t="s">
        <v>84</v>
      </c>
      <c r="P65" s="46">
        <v>1</v>
      </c>
      <c r="Q65" s="40">
        <f>N65*P65</f>
        <v>4.2</v>
      </c>
      <c r="R65" s="46">
        <f>P65</f>
        <v>1</v>
      </c>
      <c r="S65" s="40">
        <f>N65*R65</f>
        <v>4.2</v>
      </c>
      <c r="T65" s="46" t="s">
        <v>86</v>
      </c>
    </row>
    <row r="66" spans="2:20">
      <c r="B66" s="20" t="s">
        <v>88</v>
      </c>
      <c r="C66" s="94">
        <v>5.6</v>
      </c>
      <c r="D66" s="95" t="s">
        <v>84</v>
      </c>
      <c r="E66" s="95">
        <f>E40</f>
        <v>1.75</v>
      </c>
      <c r="F66" s="40">
        <f>C66*E66</f>
        <v>9.7999999999999989</v>
      </c>
      <c r="G66" s="43" t="s">
        <v>85</v>
      </c>
      <c r="H66" s="44">
        <v>3.26</v>
      </c>
      <c r="I66" s="41" t="s">
        <v>84</v>
      </c>
      <c r="J66" s="48">
        <f>E66</f>
        <v>1.75</v>
      </c>
      <c r="K66" s="40">
        <f>H66*J66</f>
        <v>5.7050000000000001</v>
      </c>
      <c r="L66" s="48">
        <v>1</v>
      </c>
      <c r="M66" s="40">
        <f t="shared" si="18"/>
        <v>3.26</v>
      </c>
      <c r="N66" s="44">
        <v>3.26</v>
      </c>
      <c r="O66" s="41" t="s">
        <v>84</v>
      </c>
      <c r="P66" s="46">
        <v>1.25</v>
      </c>
      <c r="Q66" s="40">
        <f>N66*P66</f>
        <v>4.0749999999999993</v>
      </c>
      <c r="R66" s="46">
        <v>1.25</v>
      </c>
      <c r="S66" s="40">
        <f>N66*R66</f>
        <v>4.0749999999999993</v>
      </c>
      <c r="T66" s="46" t="s">
        <v>86</v>
      </c>
    </row>
    <row r="67" spans="2:20">
      <c r="B67" s="20" t="s">
        <v>91</v>
      </c>
      <c r="C67" s="94">
        <v>3.85</v>
      </c>
      <c r="D67" s="95" t="s">
        <v>84</v>
      </c>
      <c r="E67" s="97">
        <v>1.3333333333333333</v>
      </c>
      <c r="F67" s="40">
        <f>C67*E67</f>
        <v>5.1333333333333329</v>
      </c>
      <c r="G67" s="43" t="s">
        <v>85</v>
      </c>
      <c r="H67" s="44">
        <v>1.93</v>
      </c>
      <c r="I67" s="41" t="s">
        <v>84</v>
      </c>
      <c r="J67" s="50">
        <v>1.3333333333333333</v>
      </c>
      <c r="K67" s="40">
        <f>H67*J67</f>
        <v>2.5733333333333333</v>
      </c>
      <c r="L67" s="50">
        <v>0.75</v>
      </c>
      <c r="M67" s="40">
        <f t="shared" si="18"/>
        <v>1.4475</v>
      </c>
      <c r="N67" s="44">
        <v>1.93</v>
      </c>
      <c r="O67" s="41" t="s">
        <v>84</v>
      </c>
      <c r="P67" s="66">
        <f>P14</f>
        <v>0.6</v>
      </c>
      <c r="Q67" s="40">
        <f>N67*P67</f>
        <v>1.1579999999999999</v>
      </c>
      <c r="R67" s="66">
        <f>P14</f>
        <v>0.6</v>
      </c>
      <c r="S67" s="40">
        <f>N67*R67</f>
        <v>1.1579999999999999</v>
      </c>
      <c r="T67" s="46" t="s">
        <v>86</v>
      </c>
    </row>
    <row r="68" spans="2:20">
      <c r="B68" s="39" t="s">
        <v>125</v>
      </c>
      <c r="F68" s="40"/>
      <c r="H68" s="44"/>
      <c r="I68" s="41"/>
      <c r="J68" s="34"/>
      <c r="K68" s="40"/>
      <c r="L68" s="35"/>
      <c r="M68" s="52"/>
      <c r="N68" s="44"/>
      <c r="O68" s="41"/>
      <c r="P68" s="37"/>
      <c r="Q68" s="40"/>
      <c r="R68" s="46"/>
      <c r="S68" s="40"/>
      <c r="T68" s="37"/>
    </row>
    <row r="69" spans="2:20">
      <c r="B69" s="68" t="s">
        <v>126</v>
      </c>
      <c r="C69" s="94">
        <v>36.700000000000003</v>
      </c>
      <c r="D69" s="95" t="s">
        <v>127</v>
      </c>
      <c r="E69" s="95">
        <v>4</v>
      </c>
      <c r="F69" s="40">
        <f>C69*E69</f>
        <v>146.80000000000001</v>
      </c>
      <c r="G69" s="43" t="s">
        <v>85</v>
      </c>
      <c r="H69" s="40">
        <v>23</v>
      </c>
      <c r="I69" s="41" t="s">
        <v>127</v>
      </c>
      <c r="J69" s="48">
        <v>4</v>
      </c>
      <c r="K69" s="40">
        <f>H69*J69</f>
        <v>92</v>
      </c>
      <c r="L69" s="48">
        <v>4</v>
      </c>
      <c r="M69" s="40">
        <f t="shared" si="18"/>
        <v>92</v>
      </c>
      <c r="N69" s="40">
        <v>23</v>
      </c>
      <c r="O69" s="41" t="s">
        <v>127</v>
      </c>
      <c r="P69" s="46">
        <v>3</v>
      </c>
      <c r="Q69" s="40">
        <f>H69*P69</f>
        <v>69</v>
      </c>
      <c r="R69" s="46">
        <v>3</v>
      </c>
      <c r="S69" s="40">
        <f>N69*R69</f>
        <v>69</v>
      </c>
      <c r="T69" s="46" t="s">
        <v>85</v>
      </c>
    </row>
    <row r="70" spans="2:20">
      <c r="B70" s="68" t="s">
        <v>128</v>
      </c>
      <c r="C70" s="94">
        <v>16.350000000000001</v>
      </c>
      <c r="D70" s="95" t="s">
        <v>127</v>
      </c>
      <c r="E70" s="95">
        <v>4</v>
      </c>
      <c r="F70" s="40">
        <f>C70*E70</f>
        <v>65.400000000000006</v>
      </c>
      <c r="G70" s="43" t="s">
        <v>85</v>
      </c>
      <c r="H70" s="40">
        <v>16.350000000000001</v>
      </c>
      <c r="I70" s="41" t="s">
        <v>127</v>
      </c>
      <c r="J70" s="48">
        <v>4</v>
      </c>
      <c r="K70" s="40">
        <f>H70*J70</f>
        <v>65.400000000000006</v>
      </c>
      <c r="L70" s="48">
        <v>4</v>
      </c>
      <c r="M70" s="40">
        <f t="shared" si="18"/>
        <v>65.400000000000006</v>
      </c>
      <c r="N70" s="40">
        <v>16.350000000000001</v>
      </c>
      <c r="O70" s="41" t="s">
        <v>127</v>
      </c>
      <c r="P70" s="46">
        <v>3</v>
      </c>
      <c r="Q70" s="40">
        <f>H70*P70</f>
        <v>49.050000000000004</v>
      </c>
      <c r="R70" s="46">
        <v>3</v>
      </c>
      <c r="S70" s="40">
        <f>N70*R70</f>
        <v>49.050000000000004</v>
      </c>
      <c r="T70" s="46" t="s">
        <v>85</v>
      </c>
    </row>
    <row r="71" spans="2:20">
      <c r="B71" s="68" t="s">
        <v>129</v>
      </c>
      <c r="C71" s="94">
        <v>35.18</v>
      </c>
      <c r="D71" s="95" t="s">
        <v>127</v>
      </c>
      <c r="E71" s="95">
        <v>4</v>
      </c>
      <c r="F71" s="40">
        <f>C71*E71</f>
        <v>140.72</v>
      </c>
      <c r="G71" s="43" t="s">
        <v>85</v>
      </c>
      <c r="H71" s="40">
        <v>35.18</v>
      </c>
      <c r="I71" s="41" t="s">
        <v>127</v>
      </c>
      <c r="J71" s="48">
        <v>4</v>
      </c>
      <c r="K71" s="40">
        <f>H71*J71</f>
        <v>140.72</v>
      </c>
      <c r="L71" s="48">
        <v>4</v>
      </c>
      <c r="M71" s="40">
        <f t="shared" si="18"/>
        <v>140.72</v>
      </c>
      <c r="N71" s="40">
        <v>35.18</v>
      </c>
      <c r="O71" s="41" t="s">
        <v>127</v>
      </c>
      <c r="P71" s="46">
        <v>3</v>
      </c>
      <c r="Q71" s="40">
        <f>H71*P71</f>
        <v>105.53999999999999</v>
      </c>
      <c r="R71" s="46">
        <v>3</v>
      </c>
      <c r="S71" s="40">
        <f>N71*R71</f>
        <v>105.53999999999999</v>
      </c>
      <c r="T71" s="46" t="s">
        <v>85</v>
      </c>
    </row>
    <row r="72" spans="2:20">
      <c r="B72" s="68" t="s">
        <v>130</v>
      </c>
      <c r="C72" s="94">
        <v>20</v>
      </c>
      <c r="D72" s="95" t="s">
        <v>127</v>
      </c>
      <c r="E72" s="95">
        <v>4</v>
      </c>
      <c r="F72" s="40">
        <f>C72*E72</f>
        <v>80</v>
      </c>
      <c r="G72" s="43" t="s">
        <v>85</v>
      </c>
      <c r="H72" s="40">
        <v>20</v>
      </c>
      <c r="I72" s="41" t="s">
        <v>127</v>
      </c>
      <c r="J72" s="48">
        <v>4</v>
      </c>
      <c r="K72" s="40">
        <f>H72*J72</f>
        <v>80</v>
      </c>
      <c r="L72" s="48">
        <v>4</v>
      </c>
      <c r="M72" s="40">
        <f t="shared" si="18"/>
        <v>80</v>
      </c>
      <c r="N72" s="40">
        <v>20</v>
      </c>
      <c r="O72" s="41" t="s">
        <v>127</v>
      </c>
      <c r="P72" s="46">
        <v>3</v>
      </c>
      <c r="Q72" s="40">
        <f>H72*P72</f>
        <v>60</v>
      </c>
      <c r="R72" s="46">
        <v>3</v>
      </c>
      <c r="S72" s="40">
        <f>N72*R72</f>
        <v>60</v>
      </c>
      <c r="T72" s="46" t="s">
        <v>85</v>
      </c>
    </row>
    <row r="73" spans="2:20">
      <c r="B73" s="39" t="s">
        <v>122</v>
      </c>
      <c r="F73" s="40"/>
      <c r="J73" s="34"/>
      <c r="K73" s="40"/>
      <c r="L73" s="35"/>
      <c r="M73" s="52"/>
      <c r="P73" s="37"/>
      <c r="Q73" s="40"/>
      <c r="R73" s="46"/>
      <c r="S73" s="40"/>
      <c r="T73" s="37"/>
    </row>
    <row r="74" spans="2:20">
      <c r="B74" s="20" t="s">
        <v>100</v>
      </c>
      <c r="C74" s="94">
        <v>16.18</v>
      </c>
      <c r="D74" s="95" t="s">
        <v>101</v>
      </c>
      <c r="E74" s="95">
        <v>11</v>
      </c>
      <c r="F74" s="40">
        <f>C74*E74</f>
        <v>177.98</v>
      </c>
      <c r="G74" s="43" t="s">
        <v>85</v>
      </c>
      <c r="H74" s="44">
        <v>4.16</v>
      </c>
      <c r="I74" s="41" t="s">
        <v>101</v>
      </c>
      <c r="J74" s="48">
        <v>11</v>
      </c>
      <c r="K74" s="40">
        <f>H74*J74</f>
        <v>45.760000000000005</v>
      </c>
      <c r="L74" s="48">
        <v>5</v>
      </c>
      <c r="M74" s="40">
        <f t="shared" si="18"/>
        <v>20.8</v>
      </c>
      <c r="N74" s="44">
        <v>4.16</v>
      </c>
      <c r="O74" s="41" t="s">
        <v>101</v>
      </c>
      <c r="P74" s="46">
        <v>4</v>
      </c>
      <c r="Q74" s="40">
        <f>N74*P74</f>
        <v>16.64</v>
      </c>
      <c r="R74" s="46">
        <v>3</v>
      </c>
      <c r="S74" s="40">
        <f>N74*R74</f>
        <v>12.48</v>
      </c>
      <c r="T74" s="46" t="s">
        <v>102</v>
      </c>
    </row>
    <row r="75" spans="2:20">
      <c r="B75" s="20" t="s">
        <v>108</v>
      </c>
      <c r="C75" s="94">
        <v>19.37</v>
      </c>
      <c r="D75" s="95" t="s">
        <v>101</v>
      </c>
      <c r="E75" s="95">
        <v>2</v>
      </c>
      <c r="F75" s="40">
        <f>C75*E75</f>
        <v>38.74</v>
      </c>
      <c r="G75" s="43" t="s">
        <v>109</v>
      </c>
      <c r="H75" s="44">
        <v>8.18</v>
      </c>
      <c r="I75" s="41" t="s">
        <v>101</v>
      </c>
      <c r="J75" s="48">
        <v>2</v>
      </c>
      <c r="K75" s="40">
        <f>H75*J75</f>
        <v>16.36</v>
      </c>
      <c r="L75" s="48">
        <v>2</v>
      </c>
      <c r="M75" s="40">
        <f t="shared" si="18"/>
        <v>16.36</v>
      </c>
      <c r="N75" s="44">
        <v>8.18</v>
      </c>
      <c r="O75" s="41" t="s">
        <v>101</v>
      </c>
      <c r="P75" s="46">
        <v>0</v>
      </c>
      <c r="Q75" s="40">
        <f>N75*P75</f>
        <v>0</v>
      </c>
      <c r="R75" s="46">
        <v>0</v>
      </c>
      <c r="S75" s="40">
        <f>N75*R75</f>
        <v>0</v>
      </c>
      <c r="T75" s="46" t="s">
        <v>85</v>
      </c>
    </row>
    <row r="76" spans="2:20">
      <c r="B76" s="20" t="s">
        <v>110</v>
      </c>
      <c r="C76" s="94">
        <v>1.8</v>
      </c>
      <c r="D76" s="95" t="s">
        <v>101</v>
      </c>
      <c r="E76" s="95">
        <v>8</v>
      </c>
      <c r="F76" s="40">
        <f>C76*E76</f>
        <v>14.4</v>
      </c>
      <c r="G76" s="43" t="s">
        <v>85</v>
      </c>
      <c r="H76" s="40">
        <v>1.44</v>
      </c>
      <c r="I76" s="41" t="s">
        <v>101</v>
      </c>
      <c r="J76" s="48">
        <v>6</v>
      </c>
      <c r="K76" s="40">
        <f>H76*J76</f>
        <v>8.64</v>
      </c>
      <c r="L76" s="48">
        <v>5</v>
      </c>
      <c r="M76" s="40">
        <f t="shared" si="18"/>
        <v>7.1999999999999993</v>
      </c>
      <c r="N76" s="40">
        <v>1.44</v>
      </c>
      <c r="O76" s="41" t="s">
        <v>101</v>
      </c>
      <c r="P76" s="46">
        <v>3</v>
      </c>
      <c r="Q76" s="40">
        <f>N76*P76</f>
        <v>4.32</v>
      </c>
      <c r="R76" s="46">
        <v>3</v>
      </c>
      <c r="S76" s="40">
        <f>N76*R76</f>
        <v>4.32</v>
      </c>
      <c r="T76" s="46" t="s">
        <v>85</v>
      </c>
    </row>
    <row r="77" spans="2:20">
      <c r="B77" s="20" t="s">
        <v>136</v>
      </c>
      <c r="C77" s="94">
        <v>13.52</v>
      </c>
      <c r="D77" s="95" t="s">
        <v>101</v>
      </c>
      <c r="E77" s="95">
        <v>2</v>
      </c>
      <c r="F77" s="40">
        <f t="shared" ref="F77" si="19">C77*E77</f>
        <v>27.04</v>
      </c>
      <c r="G77" s="43" t="s">
        <v>85</v>
      </c>
      <c r="H77" s="40">
        <v>4.1900000000000004</v>
      </c>
      <c r="I77" s="41" t="s">
        <v>101</v>
      </c>
      <c r="J77" s="48">
        <v>2</v>
      </c>
      <c r="K77" s="40">
        <f t="shared" ref="K77" si="20">H77*J77</f>
        <v>8.3800000000000008</v>
      </c>
      <c r="L77" s="48"/>
      <c r="M77" s="40"/>
      <c r="N77" s="40"/>
      <c r="O77" s="41"/>
      <c r="P77" s="46">
        <v>2</v>
      </c>
      <c r="Q77" s="47">
        <f>H77*P77</f>
        <v>8.3800000000000008</v>
      </c>
      <c r="R77" s="41">
        <v>2</v>
      </c>
      <c r="S77" s="47">
        <f>H77*R77</f>
        <v>8.3800000000000008</v>
      </c>
      <c r="T77" s="41" t="s">
        <v>150</v>
      </c>
    </row>
    <row r="78" spans="2:20">
      <c r="B78" s="39" t="s">
        <v>111</v>
      </c>
      <c r="C78" s="94"/>
      <c r="D78" s="95"/>
      <c r="E78" s="95"/>
      <c r="F78" s="40"/>
      <c r="G78" s="43"/>
      <c r="H78" s="41"/>
      <c r="I78" s="41"/>
      <c r="J78" s="48"/>
      <c r="K78" s="40"/>
      <c r="L78" s="51"/>
      <c r="M78" s="52"/>
      <c r="N78" s="41"/>
      <c r="O78" s="41"/>
      <c r="P78" s="46"/>
      <c r="Q78" s="40"/>
      <c r="R78" s="46"/>
      <c r="S78" s="40"/>
      <c r="T78" s="46"/>
    </row>
    <row r="79" spans="2:20">
      <c r="B79" s="20" t="s">
        <v>112</v>
      </c>
      <c r="C79" s="94">
        <f>C29</f>
        <v>153.56521739130434</v>
      </c>
      <c r="D79" s="95" t="s">
        <v>113</v>
      </c>
      <c r="E79" s="95">
        <v>1</v>
      </c>
      <c r="F79" s="40">
        <f>C79*E79</f>
        <v>153.56521739130434</v>
      </c>
      <c r="G79" s="43" t="s">
        <v>85</v>
      </c>
      <c r="H79" s="40">
        <f>3*0.66</f>
        <v>1.98</v>
      </c>
      <c r="I79" s="41" t="s">
        <v>113</v>
      </c>
      <c r="J79" s="48">
        <v>1</v>
      </c>
      <c r="K79" s="40">
        <f>H79*J79</f>
        <v>1.98</v>
      </c>
      <c r="L79" s="48">
        <v>1.5</v>
      </c>
      <c r="M79" s="40">
        <f t="shared" si="18"/>
        <v>2.9699999999999998</v>
      </c>
      <c r="N79" s="40">
        <f>3*0.66</f>
        <v>1.98</v>
      </c>
      <c r="O79" s="41" t="s">
        <v>113</v>
      </c>
      <c r="P79" s="46">
        <v>1</v>
      </c>
      <c r="Q79" s="40">
        <f>N79*P79</f>
        <v>1.98</v>
      </c>
      <c r="R79" s="46">
        <v>1</v>
      </c>
      <c r="S79" s="40">
        <f>N79*R79</f>
        <v>1.98</v>
      </c>
      <c r="T79" s="46" t="s">
        <v>85</v>
      </c>
    </row>
    <row r="80" spans="2:20">
      <c r="B80" s="20" t="s">
        <v>114</v>
      </c>
      <c r="C80" s="94">
        <f>25.74*(1/23)</f>
        <v>1.1191304347826085</v>
      </c>
      <c r="D80" s="95" t="s">
        <v>113</v>
      </c>
      <c r="E80" s="95">
        <v>1</v>
      </c>
      <c r="F80" s="40">
        <f>C80*E80</f>
        <v>1.1191304347826085</v>
      </c>
      <c r="G80" s="43" t="s">
        <v>85</v>
      </c>
      <c r="H80" s="40">
        <f>0.63*0.66</f>
        <v>0.4158</v>
      </c>
      <c r="I80" s="41" t="s">
        <v>113</v>
      </c>
      <c r="J80" s="48">
        <v>1</v>
      </c>
      <c r="K80" s="40">
        <f>H80*J80</f>
        <v>0.4158</v>
      </c>
      <c r="L80" s="48">
        <v>1.5</v>
      </c>
      <c r="M80" s="40">
        <f t="shared" si="18"/>
        <v>0.62370000000000003</v>
      </c>
      <c r="N80" s="40">
        <f>0.63*0.66</f>
        <v>0.4158</v>
      </c>
      <c r="O80" s="41" t="s">
        <v>113</v>
      </c>
      <c r="P80" s="46">
        <v>1</v>
      </c>
      <c r="Q80" s="40">
        <f>N80*P80</f>
        <v>0.4158</v>
      </c>
      <c r="R80" s="46">
        <v>1</v>
      </c>
      <c r="S80" s="40">
        <f>N80*R80</f>
        <v>0.4158</v>
      </c>
      <c r="T80" s="46" t="s">
        <v>85</v>
      </c>
    </row>
    <row r="81" spans="2:20">
      <c r="B81" s="20" t="s">
        <v>115</v>
      </c>
      <c r="C81" s="94">
        <f>C31</f>
        <v>211</v>
      </c>
      <c r="D81" s="95" t="s">
        <v>113</v>
      </c>
      <c r="E81" s="95">
        <v>1</v>
      </c>
      <c r="F81" s="40">
        <f>C81*E81</f>
        <v>211</v>
      </c>
      <c r="G81" s="43" t="s">
        <v>85</v>
      </c>
      <c r="H81" s="40">
        <f>8.23*0.66</f>
        <v>5.4318000000000008</v>
      </c>
      <c r="I81" s="41" t="s">
        <v>113</v>
      </c>
      <c r="J81" s="48">
        <v>1</v>
      </c>
      <c r="K81" s="40">
        <f>H81*J81</f>
        <v>5.4318000000000008</v>
      </c>
      <c r="L81" s="48">
        <v>1.5</v>
      </c>
      <c r="M81" s="40">
        <f t="shared" si="18"/>
        <v>8.1477000000000004</v>
      </c>
      <c r="N81" s="40">
        <f>8.23*0.66</f>
        <v>5.4318000000000008</v>
      </c>
      <c r="O81" s="41" t="s">
        <v>113</v>
      </c>
      <c r="P81" s="46">
        <v>1</v>
      </c>
      <c r="Q81" s="40">
        <f>N81*P81</f>
        <v>5.4318000000000008</v>
      </c>
      <c r="R81" s="46">
        <v>1</v>
      </c>
      <c r="S81" s="40">
        <f>N81*R81</f>
        <v>5.4318000000000008</v>
      </c>
      <c r="T81" s="46" t="s">
        <v>85</v>
      </c>
    </row>
    <row r="82" spans="2:20">
      <c r="B82" s="20" t="s">
        <v>156</v>
      </c>
      <c r="C82" s="94">
        <f>71.19*(1/23)</f>
        <v>3.0952173913043475</v>
      </c>
      <c r="D82" s="95" t="s">
        <v>113</v>
      </c>
      <c r="E82" s="95">
        <v>1</v>
      </c>
      <c r="F82" s="40">
        <f>C82*E82</f>
        <v>3.0952173913043475</v>
      </c>
      <c r="G82" s="43" t="s">
        <v>85</v>
      </c>
      <c r="H82" s="40">
        <f>0.42*0.66</f>
        <v>0.2772</v>
      </c>
      <c r="I82" s="41" t="s">
        <v>113</v>
      </c>
      <c r="J82" s="48">
        <v>1</v>
      </c>
      <c r="K82" s="40">
        <f>H82*J82</f>
        <v>0.2772</v>
      </c>
      <c r="L82" s="48">
        <v>1.5</v>
      </c>
      <c r="M82" s="40">
        <f t="shared" si="18"/>
        <v>0.4158</v>
      </c>
      <c r="N82" s="40">
        <f>0.42*0.66</f>
        <v>0.2772</v>
      </c>
      <c r="O82" s="41" t="s">
        <v>113</v>
      </c>
      <c r="P82" s="46">
        <v>1</v>
      </c>
      <c r="Q82" s="40">
        <f>N82*P82</f>
        <v>0.2772</v>
      </c>
      <c r="R82" s="46">
        <v>1</v>
      </c>
      <c r="S82" s="40">
        <f>N82*R82</f>
        <v>0.2772</v>
      </c>
      <c r="T82" s="46" t="s">
        <v>85</v>
      </c>
    </row>
    <row r="83" spans="2:20">
      <c r="B83" s="20" t="s">
        <v>157</v>
      </c>
      <c r="C83" s="94">
        <f>C33</f>
        <v>4.0434782608695654</v>
      </c>
      <c r="D83" s="95" t="s">
        <v>113</v>
      </c>
      <c r="E83" s="95">
        <v>1</v>
      </c>
      <c r="F83" s="40">
        <f>C83*E83</f>
        <v>4.0434782608695654</v>
      </c>
      <c r="G83" s="43" t="s">
        <v>85</v>
      </c>
      <c r="H83" s="40">
        <f>4*1.6*0.66</f>
        <v>4.2240000000000002</v>
      </c>
      <c r="I83" s="41" t="s">
        <v>113</v>
      </c>
      <c r="J83" s="48">
        <v>1</v>
      </c>
      <c r="K83" s="40">
        <f>H83*J83</f>
        <v>4.2240000000000002</v>
      </c>
      <c r="L83" s="48">
        <v>1.5</v>
      </c>
      <c r="M83" s="40">
        <f t="shared" si="18"/>
        <v>6.3360000000000003</v>
      </c>
      <c r="N83" s="40">
        <f>4*1.6*0.66</f>
        <v>4.2240000000000002</v>
      </c>
      <c r="O83" s="41" t="s">
        <v>113</v>
      </c>
      <c r="P83" s="46">
        <v>1</v>
      </c>
      <c r="Q83" s="40">
        <f>N83*P83</f>
        <v>4.2240000000000002</v>
      </c>
      <c r="R83" s="46">
        <v>1</v>
      </c>
      <c r="S83" s="40">
        <f>N83*R83</f>
        <v>4.2240000000000002</v>
      </c>
      <c r="T83" s="46" t="s">
        <v>85</v>
      </c>
    </row>
    <row r="84" spans="2:20">
      <c r="B84" s="53" t="s">
        <v>117</v>
      </c>
      <c r="C84" s="98"/>
      <c r="D84" s="99"/>
      <c r="E84" s="99"/>
      <c r="F84" s="55">
        <f>SUM(F64:F83)</f>
        <v>1189.8363768115944</v>
      </c>
      <c r="G84" s="56"/>
      <c r="H84" s="54"/>
      <c r="I84" s="54"/>
      <c r="J84" s="57"/>
      <c r="K84" s="55">
        <f>SUM(K64:K83)</f>
        <v>562.66713333333337</v>
      </c>
      <c r="L84" s="58"/>
      <c r="M84" s="55">
        <f>SUM(M64:M83)</f>
        <v>468.63070000000005</v>
      </c>
      <c r="N84" s="54"/>
      <c r="O84" s="54"/>
      <c r="P84" s="59"/>
      <c r="Q84" s="55">
        <f>SUM(Q64:Q83)</f>
        <v>359.66679999999997</v>
      </c>
      <c r="R84" s="59"/>
      <c r="S84" s="55">
        <f>SUM(S64:S83)</f>
        <v>355.5068</v>
      </c>
      <c r="T84" s="59"/>
    </row>
    <row r="85" spans="2:20" ht="16" hidden="1" customHeight="1">
      <c r="B85" s="20" t="s">
        <v>116</v>
      </c>
      <c r="C85" s="94"/>
      <c r="D85" s="95"/>
      <c r="E85" s="95"/>
      <c r="F85" s="40">
        <f>C85*E85</f>
        <v>0</v>
      </c>
      <c r="G85" s="43"/>
      <c r="H85" s="41"/>
      <c r="I85" s="41"/>
      <c r="J85" s="41"/>
      <c r="K85" s="40">
        <f>H85*J85</f>
        <v>0</v>
      </c>
      <c r="L85" s="52"/>
      <c r="M85" s="52"/>
      <c r="N85" s="41"/>
      <c r="O85" s="41"/>
      <c r="P85" s="41"/>
      <c r="Q85" s="40">
        <f>N85*P85</f>
        <v>0</v>
      </c>
      <c r="R85" s="40"/>
      <c r="S85" s="40">
        <f>N85*R85</f>
        <v>0</v>
      </c>
      <c r="T85" s="41"/>
    </row>
    <row r="86" spans="2:20" ht="16" hidden="1" customHeight="1">
      <c r="F86" s="40">
        <f>C86*E86</f>
        <v>0</v>
      </c>
      <c r="K86" s="40">
        <f>H86*J86</f>
        <v>0</v>
      </c>
      <c r="L86" s="52"/>
      <c r="M86" s="52"/>
      <c r="Q86" s="40">
        <f>N86*P86</f>
        <v>0</v>
      </c>
      <c r="R86" s="40"/>
      <c r="S86" s="40">
        <f>N86*R86</f>
        <v>0</v>
      </c>
    </row>
    <row r="87" spans="2:20" ht="16" hidden="1" customHeight="1">
      <c r="F87" s="40">
        <f>C87*E87</f>
        <v>0</v>
      </c>
      <c r="K87" s="40">
        <f>H87*J87</f>
        <v>0</v>
      </c>
      <c r="L87" s="52"/>
      <c r="M87" s="52"/>
      <c r="Q87" s="40">
        <f>N87*P87</f>
        <v>0</v>
      </c>
      <c r="R87" s="40"/>
      <c r="S87" s="40">
        <f>N87*R87</f>
        <v>0</v>
      </c>
    </row>
    <row r="88" spans="2:20" ht="16" hidden="1" customHeight="1">
      <c r="F88" s="40">
        <f>C88*E88</f>
        <v>0</v>
      </c>
      <c r="K88" s="40">
        <f>H88*J88</f>
        <v>0</v>
      </c>
      <c r="L88" s="52"/>
      <c r="M88" s="52"/>
      <c r="Q88" s="40">
        <f>N88*P88</f>
        <v>0</v>
      </c>
      <c r="R88" s="40"/>
      <c r="S88" s="40">
        <f>N88*R88</f>
        <v>0</v>
      </c>
    </row>
    <row r="89" spans="2:20" ht="9" customHeight="1">
      <c r="B89" s="11"/>
      <c r="C89" s="92"/>
      <c r="D89" s="93"/>
      <c r="E89" s="93"/>
      <c r="F89" s="61"/>
      <c r="G89" s="32"/>
      <c r="H89" s="11"/>
      <c r="I89" s="11"/>
      <c r="J89" s="11"/>
      <c r="K89" s="61"/>
      <c r="L89" s="64"/>
      <c r="M89" s="64"/>
      <c r="N89" s="11"/>
      <c r="O89" s="11"/>
      <c r="P89" s="11"/>
      <c r="Q89" s="61"/>
      <c r="R89" s="61"/>
      <c r="S89" s="61"/>
      <c r="T89" s="11"/>
    </row>
    <row r="90" spans="2:20" ht="19">
      <c r="B90" s="2" t="s">
        <v>131</v>
      </c>
      <c r="F90" s="40"/>
      <c r="J90" s="34"/>
      <c r="K90" s="40"/>
      <c r="L90" s="35"/>
      <c r="M90" s="52"/>
      <c r="P90" s="37"/>
      <c r="Q90" s="40"/>
      <c r="R90" s="37"/>
      <c r="S90" s="40"/>
      <c r="T90" s="37"/>
    </row>
    <row r="91" spans="2:20">
      <c r="B91" s="39" t="s">
        <v>119</v>
      </c>
      <c r="F91" s="40"/>
      <c r="J91" s="34"/>
      <c r="K91" s="40"/>
      <c r="L91" s="35"/>
      <c r="M91" s="52"/>
      <c r="P91" s="37"/>
      <c r="Q91" s="40"/>
      <c r="R91" s="46"/>
      <c r="S91" s="40"/>
      <c r="T91" s="37"/>
    </row>
    <row r="92" spans="2:20">
      <c r="B92" s="20" t="s">
        <v>83</v>
      </c>
      <c r="C92" s="94">
        <v>37.299999999999997</v>
      </c>
      <c r="D92" s="95" t="s">
        <v>84</v>
      </c>
      <c r="E92" s="96">
        <f>(30+20+20+40)/60</f>
        <v>1.8333333333333333</v>
      </c>
      <c r="F92" s="40">
        <f>C92*E92</f>
        <v>68.383333333333326</v>
      </c>
      <c r="G92" s="43" t="s">
        <v>85</v>
      </c>
      <c r="H92" s="44">
        <v>33.299999999999997</v>
      </c>
      <c r="I92" s="41" t="s">
        <v>84</v>
      </c>
      <c r="J92" s="45">
        <f>E92</f>
        <v>1.8333333333333333</v>
      </c>
      <c r="K92" s="40">
        <f>H92*J92</f>
        <v>61.04999999999999</v>
      </c>
      <c r="L92" s="46">
        <v>0.5</v>
      </c>
      <c r="M92" s="52">
        <f>H92*L92</f>
        <v>16.649999999999999</v>
      </c>
      <c r="N92" s="44">
        <v>33.299999999999997</v>
      </c>
      <c r="O92" s="41" t="s">
        <v>84</v>
      </c>
      <c r="P92" s="46">
        <v>0.5</v>
      </c>
      <c r="Q92" s="40">
        <f>N92*P92</f>
        <v>16.649999999999999</v>
      </c>
      <c r="R92" s="46">
        <v>0.5</v>
      </c>
      <c r="S92" s="40">
        <f>N92*R92</f>
        <v>16.649999999999999</v>
      </c>
      <c r="T92" s="46" t="s">
        <v>132</v>
      </c>
    </row>
    <row r="93" spans="2:20">
      <c r="B93" s="20" t="s">
        <v>87</v>
      </c>
      <c r="C93" s="94">
        <v>8.4</v>
      </c>
      <c r="D93" s="95" t="s">
        <v>84</v>
      </c>
      <c r="E93" s="97">
        <f>(60+80+120)/60</f>
        <v>4.333333333333333</v>
      </c>
      <c r="F93" s="40">
        <f>C93*E93</f>
        <v>36.4</v>
      </c>
      <c r="G93" s="43" t="s">
        <v>85</v>
      </c>
      <c r="H93" s="44">
        <v>3.5</v>
      </c>
      <c r="I93" s="41" t="s">
        <v>84</v>
      </c>
      <c r="J93" s="50">
        <f>E93</f>
        <v>4.333333333333333</v>
      </c>
      <c r="K93" s="40">
        <f>H93*J93</f>
        <v>15.166666666666666</v>
      </c>
      <c r="L93" s="48">
        <v>1.5</v>
      </c>
      <c r="M93" s="52">
        <f t="shared" ref="M93:M108" si="21">H93*L93</f>
        <v>5.25</v>
      </c>
      <c r="N93" s="44">
        <v>3.5</v>
      </c>
      <c r="O93" s="41" t="s">
        <v>84</v>
      </c>
      <c r="P93" s="67">
        <v>1</v>
      </c>
      <c r="Q93" s="40">
        <f>N93*P93</f>
        <v>3.5</v>
      </c>
      <c r="R93" s="67">
        <v>1</v>
      </c>
      <c r="S93" s="40">
        <f>N93*R93</f>
        <v>3.5</v>
      </c>
      <c r="T93" s="46" t="s">
        <v>132</v>
      </c>
    </row>
    <row r="94" spans="2:20">
      <c r="B94" s="20" t="s">
        <v>88</v>
      </c>
      <c r="C94" s="94">
        <v>6.5</v>
      </c>
      <c r="D94" s="95" t="s">
        <v>84</v>
      </c>
      <c r="E94" s="97">
        <f>E66</f>
        <v>1.75</v>
      </c>
      <c r="F94" s="40">
        <f>C94*E94</f>
        <v>11.375</v>
      </c>
      <c r="G94" s="43" t="s">
        <v>85</v>
      </c>
      <c r="H94" s="44">
        <v>3.1</v>
      </c>
      <c r="I94" s="41" t="s">
        <v>84</v>
      </c>
      <c r="J94" s="50">
        <f>E94</f>
        <v>1.75</v>
      </c>
      <c r="K94" s="40">
        <f>H94*J94</f>
        <v>5.4249999999999998</v>
      </c>
      <c r="L94" s="48">
        <v>1</v>
      </c>
      <c r="M94" s="52">
        <f t="shared" si="21"/>
        <v>3.1</v>
      </c>
      <c r="N94" s="44">
        <v>3.1</v>
      </c>
      <c r="O94" s="41" t="s">
        <v>84</v>
      </c>
      <c r="P94" s="46">
        <v>1.25</v>
      </c>
      <c r="Q94" s="40">
        <f>N94*P94</f>
        <v>3.875</v>
      </c>
      <c r="R94" s="46">
        <f>1.25</f>
        <v>1.25</v>
      </c>
      <c r="S94" s="40">
        <f>N94*R94</f>
        <v>3.875</v>
      </c>
      <c r="T94" s="46" t="s">
        <v>132</v>
      </c>
    </row>
    <row r="95" spans="2:20">
      <c r="B95" s="20" t="s">
        <v>91</v>
      </c>
      <c r="C95" s="94">
        <v>3.85</v>
      </c>
      <c r="D95" s="95" t="s">
        <v>84</v>
      </c>
      <c r="E95" s="97">
        <v>1.3333333333333333</v>
      </c>
      <c r="F95" s="40">
        <f>C95*E95</f>
        <v>5.1333333333333329</v>
      </c>
      <c r="G95" s="43" t="s">
        <v>85</v>
      </c>
      <c r="H95" s="44">
        <v>1.9</v>
      </c>
      <c r="I95" s="41" t="s">
        <v>84</v>
      </c>
      <c r="J95" s="50">
        <v>1.3333333333333333</v>
      </c>
      <c r="K95" s="40">
        <f>H95*J95</f>
        <v>2.5333333333333332</v>
      </c>
      <c r="L95" s="50">
        <v>0.75</v>
      </c>
      <c r="M95" s="52">
        <f t="shared" si="21"/>
        <v>1.4249999999999998</v>
      </c>
      <c r="N95" s="44">
        <v>1.9</v>
      </c>
      <c r="O95" s="41" t="s">
        <v>84</v>
      </c>
      <c r="P95" s="46">
        <f>P14</f>
        <v>0.6</v>
      </c>
      <c r="Q95" s="40">
        <f>N95*P95</f>
        <v>1.1399999999999999</v>
      </c>
      <c r="R95" s="46">
        <f>P14</f>
        <v>0.6</v>
      </c>
      <c r="S95" s="40">
        <f>N95*R95</f>
        <v>1.1399999999999999</v>
      </c>
      <c r="T95" s="46" t="s">
        <v>85</v>
      </c>
    </row>
    <row r="96" spans="2:20">
      <c r="B96" s="39" t="s">
        <v>133</v>
      </c>
      <c r="F96" s="40"/>
      <c r="J96" s="34"/>
      <c r="K96" s="40"/>
      <c r="L96" s="35"/>
      <c r="M96" s="52"/>
      <c r="P96" s="37"/>
      <c r="Q96" s="40"/>
      <c r="R96" s="46"/>
      <c r="S96" s="40"/>
      <c r="T96" s="37"/>
    </row>
    <row r="97" spans="2:20">
      <c r="B97" s="68" t="s">
        <v>134</v>
      </c>
      <c r="C97" s="94">
        <v>2.78</v>
      </c>
      <c r="D97" s="95" t="s">
        <v>120</v>
      </c>
      <c r="E97" s="102">
        <v>6</v>
      </c>
      <c r="F97" s="40">
        <f t="shared" ref="F97:F102" si="22">C97*E97</f>
        <v>16.68</v>
      </c>
      <c r="G97" s="43" t="s">
        <v>85</v>
      </c>
      <c r="H97" s="44">
        <v>1.78</v>
      </c>
      <c r="I97" s="41" t="s">
        <v>127</v>
      </c>
      <c r="J97" s="69">
        <v>6</v>
      </c>
      <c r="K97" s="40">
        <f>H97*J97</f>
        <v>10.68</v>
      </c>
      <c r="L97" s="69">
        <v>6</v>
      </c>
      <c r="M97" s="40">
        <f t="shared" si="21"/>
        <v>10.68</v>
      </c>
      <c r="N97" s="44">
        <v>1.78</v>
      </c>
      <c r="O97" s="41" t="s">
        <v>127</v>
      </c>
      <c r="P97" s="46">
        <v>6</v>
      </c>
      <c r="Q97" s="40">
        <f>N97*P97</f>
        <v>10.68</v>
      </c>
      <c r="R97" s="46">
        <v>6</v>
      </c>
      <c r="S97" s="40">
        <f>N97*R97</f>
        <v>10.68</v>
      </c>
      <c r="T97" s="46" t="s">
        <v>85</v>
      </c>
    </row>
    <row r="98" spans="2:20">
      <c r="B98" s="39" t="s">
        <v>122</v>
      </c>
      <c r="F98" s="40"/>
      <c r="J98" s="34"/>
      <c r="K98" s="40"/>
      <c r="L98" s="34"/>
      <c r="M98" s="40"/>
      <c r="P98" s="37"/>
      <c r="Q98" s="40"/>
      <c r="R98" s="46"/>
      <c r="S98" s="40"/>
      <c r="T98" s="37"/>
    </row>
    <row r="99" spans="2:20">
      <c r="B99" s="20" t="s">
        <v>100</v>
      </c>
      <c r="C99" s="94">
        <v>16.18</v>
      </c>
      <c r="D99" s="95" t="s">
        <v>101</v>
      </c>
      <c r="E99" s="95">
        <v>11</v>
      </c>
      <c r="F99" s="40">
        <f t="shared" si="22"/>
        <v>177.98</v>
      </c>
      <c r="G99" s="43" t="s">
        <v>85</v>
      </c>
      <c r="H99" s="44">
        <v>4.16</v>
      </c>
      <c r="I99" s="41" t="s">
        <v>101</v>
      </c>
      <c r="J99" s="48">
        <v>11</v>
      </c>
      <c r="K99" s="40">
        <f>H99*J99</f>
        <v>45.760000000000005</v>
      </c>
      <c r="L99" s="48">
        <v>5</v>
      </c>
      <c r="M99" s="40">
        <f t="shared" si="21"/>
        <v>20.8</v>
      </c>
      <c r="N99" s="44">
        <v>4.16</v>
      </c>
      <c r="O99" s="41" t="s">
        <v>101</v>
      </c>
      <c r="P99" s="46">
        <v>4</v>
      </c>
      <c r="Q99" s="40">
        <f>N99*P99</f>
        <v>16.64</v>
      </c>
      <c r="R99" s="46">
        <v>2</v>
      </c>
      <c r="S99" s="40">
        <f>N99*R99</f>
        <v>8.32</v>
      </c>
      <c r="T99" s="46" t="s">
        <v>102</v>
      </c>
    </row>
    <row r="100" spans="2:20">
      <c r="B100" s="20" t="s">
        <v>108</v>
      </c>
      <c r="C100" s="94">
        <v>19.37</v>
      </c>
      <c r="D100" s="95" t="s">
        <v>101</v>
      </c>
      <c r="E100" s="95">
        <v>2</v>
      </c>
      <c r="F100" s="40">
        <f t="shared" si="22"/>
        <v>38.74</v>
      </c>
      <c r="G100" s="43" t="s">
        <v>109</v>
      </c>
      <c r="H100" s="44">
        <v>8.18</v>
      </c>
      <c r="I100" s="41" t="s">
        <v>101</v>
      </c>
      <c r="J100" s="48">
        <v>2</v>
      </c>
      <c r="K100" s="40">
        <f>H100*J100</f>
        <v>16.36</v>
      </c>
      <c r="L100" s="48">
        <v>2</v>
      </c>
      <c r="M100" s="40">
        <f t="shared" si="21"/>
        <v>16.36</v>
      </c>
      <c r="N100" s="44">
        <v>8.18</v>
      </c>
      <c r="O100" s="41" t="s">
        <v>101</v>
      </c>
      <c r="P100" s="46">
        <v>0</v>
      </c>
      <c r="Q100" s="40">
        <f>N100*P100</f>
        <v>0</v>
      </c>
      <c r="R100" s="46">
        <v>0</v>
      </c>
      <c r="S100" s="40">
        <v>0</v>
      </c>
      <c r="T100" s="46" t="s">
        <v>85</v>
      </c>
    </row>
    <row r="101" spans="2:20">
      <c r="B101" s="20" t="s">
        <v>110</v>
      </c>
      <c r="C101" s="94">
        <v>1.8</v>
      </c>
      <c r="D101" s="95" t="s">
        <v>101</v>
      </c>
      <c r="E101" s="95">
        <v>8</v>
      </c>
      <c r="F101" s="40">
        <f t="shared" si="22"/>
        <v>14.4</v>
      </c>
      <c r="G101" s="43" t="s">
        <v>85</v>
      </c>
      <c r="H101" s="40">
        <v>1.44</v>
      </c>
      <c r="I101" s="41" t="s">
        <v>101</v>
      </c>
      <c r="J101" s="48">
        <v>8</v>
      </c>
      <c r="K101" s="40">
        <f>H101*J101</f>
        <v>11.52</v>
      </c>
      <c r="L101" s="48">
        <v>4</v>
      </c>
      <c r="M101" s="40">
        <f>H101*L101</f>
        <v>5.76</v>
      </c>
      <c r="N101" s="40">
        <v>1.44</v>
      </c>
      <c r="O101" s="41" t="s">
        <v>101</v>
      </c>
      <c r="P101" s="46">
        <v>3</v>
      </c>
      <c r="Q101" s="40">
        <f>N101*P101</f>
        <v>4.32</v>
      </c>
      <c r="R101" s="46">
        <v>1</v>
      </c>
      <c r="S101" s="40">
        <f>N101*R101</f>
        <v>1.44</v>
      </c>
      <c r="T101" s="46" t="s">
        <v>85</v>
      </c>
    </row>
    <row r="102" spans="2:20">
      <c r="B102" s="20" t="s">
        <v>136</v>
      </c>
      <c r="C102" s="94">
        <v>13.52</v>
      </c>
      <c r="D102" s="95" t="s">
        <v>101</v>
      </c>
      <c r="E102" s="95">
        <v>2</v>
      </c>
      <c r="F102" s="40">
        <f t="shared" si="22"/>
        <v>27.04</v>
      </c>
      <c r="G102" s="43" t="s">
        <v>85</v>
      </c>
      <c r="H102" s="40">
        <v>4.1900000000000004</v>
      </c>
      <c r="I102" s="41" t="s">
        <v>101</v>
      </c>
      <c r="J102" s="48">
        <v>2</v>
      </c>
      <c r="K102" s="40">
        <f t="shared" ref="K102" si="23">H102*J102</f>
        <v>8.3800000000000008</v>
      </c>
      <c r="L102" s="48"/>
      <c r="M102" s="40"/>
      <c r="N102" s="40"/>
      <c r="O102" s="41"/>
      <c r="P102" s="46">
        <v>2</v>
      </c>
      <c r="Q102" s="47">
        <f>H102*P102</f>
        <v>8.3800000000000008</v>
      </c>
      <c r="R102" s="41">
        <v>2</v>
      </c>
      <c r="S102" s="47">
        <f>H102*R102</f>
        <v>8.3800000000000008</v>
      </c>
      <c r="T102" s="41" t="s">
        <v>150</v>
      </c>
    </row>
    <row r="103" spans="2:20">
      <c r="B103" s="39" t="s">
        <v>111</v>
      </c>
      <c r="C103" s="94"/>
      <c r="D103" s="95"/>
      <c r="E103" s="95"/>
      <c r="F103" s="40"/>
      <c r="G103" s="43"/>
      <c r="H103" s="41"/>
      <c r="I103" s="41"/>
      <c r="J103" s="48"/>
      <c r="K103" s="40"/>
      <c r="L103" s="51"/>
      <c r="M103" s="52"/>
      <c r="N103" s="41"/>
      <c r="O103" s="41"/>
      <c r="P103" s="46"/>
      <c r="Q103" s="40"/>
      <c r="R103" s="46"/>
      <c r="S103" s="40"/>
      <c r="T103" s="46"/>
    </row>
    <row r="104" spans="2:20">
      <c r="B104" s="20" t="s">
        <v>112</v>
      </c>
      <c r="C104" s="94">
        <f>C29</f>
        <v>153.56521739130434</v>
      </c>
      <c r="D104" s="95" t="s">
        <v>113</v>
      </c>
      <c r="E104" s="95">
        <v>1</v>
      </c>
      <c r="F104" s="40">
        <f>C104*E104</f>
        <v>153.56521739130434</v>
      </c>
      <c r="G104" s="43" t="s">
        <v>85</v>
      </c>
      <c r="H104" s="40">
        <f>3*0.66</f>
        <v>1.98</v>
      </c>
      <c r="I104" s="41" t="s">
        <v>113</v>
      </c>
      <c r="J104" s="48">
        <v>1</v>
      </c>
      <c r="K104" s="40">
        <f>H104*J104</f>
        <v>1.98</v>
      </c>
      <c r="L104" s="48">
        <v>1.5</v>
      </c>
      <c r="M104" s="40">
        <f t="shared" si="21"/>
        <v>2.9699999999999998</v>
      </c>
      <c r="N104" s="40">
        <f>3*0.66</f>
        <v>1.98</v>
      </c>
      <c r="O104" s="41" t="s">
        <v>113</v>
      </c>
      <c r="P104" s="46">
        <v>1</v>
      </c>
      <c r="Q104" s="40">
        <f>N104*P104</f>
        <v>1.98</v>
      </c>
      <c r="R104" s="46">
        <v>1</v>
      </c>
      <c r="S104" s="40">
        <f>N104*R105</f>
        <v>1.98</v>
      </c>
      <c r="T104" s="46" t="s">
        <v>85</v>
      </c>
    </row>
    <row r="105" spans="2:20">
      <c r="B105" s="20" t="s">
        <v>114</v>
      </c>
      <c r="C105" s="94">
        <f>25.74*(1/23)</f>
        <v>1.1191304347826085</v>
      </c>
      <c r="D105" s="95" t="s">
        <v>113</v>
      </c>
      <c r="E105" s="95">
        <v>1</v>
      </c>
      <c r="F105" s="40">
        <f>C105*E105</f>
        <v>1.1191304347826085</v>
      </c>
      <c r="G105" s="43" t="s">
        <v>85</v>
      </c>
      <c r="H105" s="40">
        <f>0.63*0.66</f>
        <v>0.4158</v>
      </c>
      <c r="I105" s="41" t="s">
        <v>113</v>
      </c>
      <c r="J105" s="48">
        <v>1</v>
      </c>
      <c r="K105" s="40">
        <f>H105*J105</f>
        <v>0.4158</v>
      </c>
      <c r="L105" s="48">
        <v>1.5</v>
      </c>
      <c r="M105" s="40">
        <f t="shared" si="21"/>
        <v>0.62370000000000003</v>
      </c>
      <c r="N105" s="40">
        <f>0.63*0.66</f>
        <v>0.4158</v>
      </c>
      <c r="O105" s="41" t="s">
        <v>113</v>
      </c>
      <c r="P105" s="46">
        <v>1</v>
      </c>
      <c r="Q105" s="40">
        <f>N105*P105</f>
        <v>0.4158</v>
      </c>
      <c r="R105" s="46">
        <v>1</v>
      </c>
      <c r="S105" s="40">
        <f>N105*R106</f>
        <v>0.4158</v>
      </c>
      <c r="T105" s="46" t="s">
        <v>85</v>
      </c>
    </row>
    <row r="106" spans="2:20">
      <c r="B106" s="20" t="s">
        <v>115</v>
      </c>
      <c r="C106" s="94">
        <f>C31</f>
        <v>211</v>
      </c>
      <c r="D106" s="95" t="s">
        <v>113</v>
      </c>
      <c r="E106" s="95">
        <v>1</v>
      </c>
      <c r="F106" s="40">
        <f>C106*E106</f>
        <v>211</v>
      </c>
      <c r="G106" s="43" t="s">
        <v>85</v>
      </c>
      <c r="H106" s="40">
        <f>8.23*0.66</f>
        <v>5.4318000000000008</v>
      </c>
      <c r="I106" s="41" t="s">
        <v>113</v>
      </c>
      <c r="J106" s="48">
        <v>1</v>
      </c>
      <c r="K106" s="40">
        <f>H106*J106</f>
        <v>5.4318000000000008</v>
      </c>
      <c r="L106" s="48">
        <v>1.5</v>
      </c>
      <c r="M106" s="40">
        <f t="shared" si="21"/>
        <v>8.1477000000000004</v>
      </c>
      <c r="N106" s="40">
        <f>8.23*0.66</f>
        <v>5.4318000000000008</v>
      </c>
      <c r="O106" s="41" t="s">
        <v>113</v>
      </c>
      <c r="P106" s="46">
        <v>1</v>
      </c>
      <c r="Q106" s="40">
        <f>N106*P106</f>
        <v>5.4318000000000008</v>
      </c>
      <c r="R106" s="46">
        <v>1</v>
      </c>
      <c r="S106" s="40">
        <f>N106*R107</f>
        <v>5.4318000000000008</v>
      </c>
      <c r="T106" s="46" t="s">
        <v>85</v>
      </c>
    </row>
    <row r="107" spans="2:20">
      <c r="B107" s="20" t="s">
        <v>156</v>
      </c>
      <c r="C107" s="94">
        <f>71.19*(1/23)</f>
        <v>3.0952173913043475</v>
      </c>
      <c r="D107" s="95" t="s">
        <v>113</v>
      </c>
      <c r="E107" s="95">
        <v>1</v>
      </c>
      <c r="F107" s="40">
        <f>C107*E107</f>
        <v>3.0952173913043475</v>
      </c>
      <c r="G107" s="43" t="s">
        <v>85</v>
      </c>
      <c r="H107" s="40">
        <f>0.42*0.66</f>
        <v>0.2772</v>
      </c>
      <c r="I107" s="41" t="s">
        <v>113</v>
      </c>
      <c r="J107" s="48">
        <v>1</v>
      </c>
      <c r="K107" s="40">
        <f>H107*J107</f>
        <v>0.2772</v>
      </c>
      <c r="L107" s="48">
        <v>1.5</v>
      </c>
      <c r="M107" s="40">
        <f t="shared" si="21"/>
        <v>0.4158</v>
      </c>
      <c r="N107" s="40">
        <f>0.42*0.66</f>
        <v>0.2772</v>
      </c>
      <c r="O107" s="41" t="s">
        <v>113</v>
      </c>
      <c r="P107" s="46">
        <v>1</v>
      </c>
      <c r="Q107" s="40">
        <f>N107*P107</f>
        <v>0.2772</v>
      </c>
      <c r="R107" s="46">
        <v>1</v>
      </c>
      <c r="S107" s="40">
        <f>N107*R108</f>
        <v>0.2772</v>
      </c>
      <c r="T107" s="46" t="s">
        <v>85</v>
      </c>
    </row>
    <row r="108" spans="2:20">
      <c r="B108" s="20" t="s">
        <v>157</v>
      </c>
      <c r="C108" s="94">
        <f>C33</f>
        <v>4.0434782608695654</v>
      </c>
      <c r="D108" s="95" t="s">
        <v>113</v>
      </c>
      <c r="E108" s="95">
        <v>1</v>
      </c>
      <c r="F108" s="40">
        <f>C108*E108</f>
        <v>4.0434782608695654</v>
      </c>
      <c r="G108" s="43" t="s">
        <v>85</v>
      </c>
      <c r="H108" s="40">
        <f>0.16*0.66</f>
        <v>0.10560000000000001</v>
      </c>
      <c r="I108" s="41" t="s">
        <v>113</v>
      </c>
      <c r="J108" s="48">
        <v>1</v>
      </c>
      <c r="K108" s="40">
        <f>H108*J108</f>
        <v>0.10560000000000001</v>
      </c>
      <c r="L108" s="48">
        <v>1.5</v>
      </c>
      <c r="M108" s="40">
        <f t="shared" si="21"/>
        <v>0.15840000000000001</v>
      </c>
      <c r="N108" s="40">
        <f>0.16*0.66</f>
        <v>0.10560000000000001</v>
      </c>
      <c r="O108" s="41" t="s">
        <v>113</v>
      </c>
      <c r="P108" s="46">
        <v>1</v>
      </c>
      <c r="Q108" s="40">
        <f>N108*P108</f>
        <v>0.10560000000000001</v>
      </c>
      <c r="R108" s="46">
        <v>1</v>
      </c>
      <c r="S108" s="40">
        <f>N108*R108</f>
        <v>0.10560000000000001</v>
      </c>
      <c r="T108" s="46" t="s">
        <v>85</v>
      </c>
    </row>
    <row r="109" spans="2:20">
      <c r="B109" s="53" t="s">
        <v>117</v>
      </c>
      <c r="C109" s="98"/>
      <c r="D109" s="99"/>
      <c r="E109" s="99"/>
      <c r="F109" s="55">
        <f>SUM(F90:F108)</f>
        <v>768.95471014492762</v>
      </c>
      <c r="G109" s="56"/>
      <c r="H109" s="54"/>
      <c r="I109" s="54"/>
      <c r="J109" s="57"/>
      <c r="K109" s="55">
        <f>SUM(K90:K108)</f>
        <v>185.08540000000002</v>
      </c>
      <c r="L109" s="70"/>
      <c r="M109" s="55">
        <f>SUM(M90:M108)</f>
        <v>92.340600000000009</v>
      </c>
      <c r="N109" s="54"/>
      <c r="O109" s="54"/>
      <c r="P109" s="59"/>
      <c r="Q109" s="55">
        <f>SUM(Q91:Q108)</f>
        <v>73.395399999999995</v>
      </c>
      <c r="R109" s="59"/>
      <c r="S109" s="55">
        <f>SUM(S91:S108)</f>
        <v>62.195399999999999</v>
      </c>
      <c r="T109" s="59"/>
    </row>
    <row r="110" spans="2:20" ht="9" customHeight="1">
      <c r="B110" s="11"/>
      <c r="C110" s="92"/>
      <c r="D110" s="93"/>
      <c r="E110" s="93"/>
      <c r="F110" s="61"/>
      <c r="G110" s="32"/>
      <c r="H110" s="11"/>
      <c r="I110" s="11"/>
      <c r="J110" s="11"/>
      <c r="K110" s="61"/>
      <c r="L110" s="61"/>
      <c r="M110" s="61"/>
      <c r="N110" s="11"/>
      <c r="O110" s="11"/>
      <c r="P110" s="11"/>
      <c r="Q110" s="61"/>
      <c r="R110" s="61"/>
      <c r="S110" s="61"/>
      <c r="T110" s="11"/>
    </row>
    <row r="111" spans="2:20">
      <c r="G111"/>
    </row>
    <row r="112" spans="2:20">
      <c r="G112"/>
    </row>
    <row r="113" spans="2:20">
      <c r="G113"/>
    </row>
    <row r="114" spans="2:20">
      <c r="G114"/>
    </row>
    <row r="115" spans="2:20">
      <c r="G115"/>
    </row>
    <row r="116" spans="2:20" s="23" customFormat="1">
      <c r="B116"/>
      <c r="C116" s="83"/>
      <c r="D116" s="84"/>
      <c r="E116" s="84"/>
      <c r="G116"/>
      <c r="H116"/>
      <c r="I116"/>
      <c r="J116"/>
      <c r="N116"/>
      <c r="O116"/>
      <c r="P116"/>
      <c r="T116"/>
    </row>
    <row r="117" spans="2:20" s="23" customFormat="1">
      <c r="B117"/>
      <c r="C117" s="83"/>
      <c r="D117" s="84"/>
      <c r="E117" s="84"/>
      <c r="G117"/>
      <c r="H117"/>
      <c r="I117"/>
      <c r="J117"/>
      <c r="N117"/>
      <c r="O117"/>
      <c r="P117"/>
      <c r="T117"/>
    </row>
    <row r="118" spans="2:20" s="23" customFormat="1">
      <c r="B118"/>
      <c r="C118" s="83"/>
      <c r="D118" s="84"/>
      <c r="E118" s="84"/>
      <c r="G118"/>
      <c r="H118"/>
      <c r="I118"/>
      <c r="J118"/>
      <c r="N118"/>
      <c r="O118"/>
      <c r="P118"/>
      <c r="T118"/>
    </row>
    <row r="119" spans="2:20" s="23" customFormat="1">
      <c r="B119"/>
      <c r="C119" s="83"/>
      <c r="D119" s="84"/>
      <c r="E119" s="84"/>
      <c r="G119"/>
      <c r="H119"/>
      <c r="I119"/>
      <c r="J119"/>
      <c r="N119"/>
      <c r="O119"/>
      <c r="P119"/>
      <c r="T119"/>
    </row>
    <row r="120" spans="2:20" s="23" customFormat="1">
      <c r="B120"/>
      <c r="C120" s="83"/>
      <c r="D120" s="84"/>
      <c r="E120" s="84"/>
      <c r="G120"/>
      <c r="H120"/>
      <c r="I120"/>
      <c r="J120"/>
      <c r="N120"/>
      <c r="O120"/>
      <c r="P120"/>
      <c r="T120"/>
    </row>
    <row r="121" spans="2:20" s="23" customFormat="1">
      <c r="B121"/>
      <c r="C121" s="83"/>
      <c r="D121" s="84"/>
      <c r="E121" s="84"/>
      <c r="G121"/>
      <c r="H121"/>
      <c r="I121"/>
      <c r="J121"/>
      <c r="N121"/>
      <c r="O121"/>
      <c r="P121"/>
      <c r="T121"/>
    </row>
    <row r="122" spans="2:20" s="23" customFormat="1">
      <c r="B122"/>
      <c r="C122" s="83"/>
      <c r="D122" s="84"/>
      <c r="E122" s="84"/>
      <c r="G122"/>
      <c r="H122"/>
      <c r="I122"/>
      <c r="J122"/>
      <c r="N122"/>
      <c r="O122"/>
      <c r="P122"/>
      <c r="T122"/>
    </row>
    <row r="123" spans="2:20" s="23" customFormat="1">
      <c r="B123"/>
      <c r="C123" s="83"/>
      <c r="D123" s="84"/>
      <c r="E123" s="84"/>
      <c r="G123"/>
      <c r="H123"/>
      <c r="I123"/>
      <c r="J123"/>
      <c r="N123"/>
      <c r="O123"/>
      <c r="P123"/>
      <c r="T123"/>
    </row>
    <row r="124" spans="2:20" s="23" customFormat="1">
      <c r="B124"/>
      <c r="C124" s="83"/>
      <c r="D124" s="84"/>
      <c r="E124" s="84"/>
      <c r="G124"/>
      <c r="H124"/>
      <c r="I124"/>
      <c r="J124"/>
      <c r="N124"/>
      <c r="O124"/>
      <c r="P124"/>
      <c r="T124"/>
    </row>
    <row r="125" spans="2:20" s="23" customFormat="1">
      <c r="B125"/>
      <c r="C125" s="83"/>
      <c r="D125" s="84"/>
      <c r="E125" s="84"/>
      <c r="G125"/>
      <c r="H125"/>
      <c r="I125"/>
      <c r="J125"/>
      <c r="N125"/>
      <c r="O125"/>
      <c r="P125"/>
      <c r="T125"/>
    </row>
    <row r="126" spans="2:20" s="23" customFormat="1">
      <c r="B126"/>
      <c r="C126" s="83"/>
      <c r="D126" s="84"/>
      <c r="E126" s="84"/>
      <c r="G126"/>
      <c r="H126"/>
      <c r="I126"/>
      <c r="J126"/>
      <c r="N126"/>
      <c r="O126"/>
      <c r="P126"/>
      <c r="T126"/>
    </row>
    <row r="127" spans="2:20" s="23" customFormat="1">
      <c r="B127"/>
      <c r="C127" s="83"/>
      <c r="D127" s="84"/>
      <c r="E127" s="84"/>
      <c r="G127"/>
      <c r="H127"/>
      <c r="I127"/>
      <c r="J127"/>
      <c r="N127"/>
      <c r="O127"/>
      <c r="P127"/>
      <c r="T127"/>
    </row>
    <row r="128" spans="2:20" s="23" customFormat="1">
      <c r="B128"/>
      <c r="C128" s="83"/>
      <c r="D128" s="84"/>
      <c r="E128" s="84"/>
      <c r="G128"/>
      <c r="H128"/>
      <c r="I128"/>
      <c r="J128"/>
      <c r="N128"/>
      <c r="O128"/>
      <c r="P128"/>
      <c r="T128"/>
    </row>
    <row r="129" spans="2:20" s="23" customFormat="1">
      <c r="B129"/>
      <c r="C129" s="83"/>
      <c r="D129" s="84"/>
      <c r="E129" s="84"/>
      <c r="G129"/>
      <c r="H129"/>
      <c r="I129"/>
      <c r="J129"/>
      <c r="N129"/>
      <c r="O129"/>
      <c r="P129"/>
      <c r="T129"/>
    </row>
    <row r="130" spans="2:20" s="23" customFormat="1">
      <c r="B130"/>
      <c r="C130" s="83"/>
      <c r="D130" s="84"/>
      <c r="E130" s="84"/>
      <c r="G130"/>
      <c r="H130"/>
      <c r="I130"/>
      <c r="J130"/>
      <c r="N130"/>
      <c r="O130"/>
      <c r="P130"/>
      <c r="T130"/>
    </row>
    <row r="131" spans="2:20" s="23" customFormat="1">
      <c r="B131"/>
      <c r="C131" s="83"/>
      <c r="D131" s="84"/>
      <c r="E131" s="84"/>
      <c r="G131"/>
      <c r="H131"/>
      <c r="I131"/>
      <c r="J131"/>
      <c r="N131"/>
      <c r="O131"/>
      <c r="P131"/>
      <c r="T131"/>
    </row>
    <row r="132" spans="2:20" s="23" customFormat="1">
      <c r="B132"/>
      <c r="C132" s="83"/>
      <c r="D132" s="84"/>
      <c r="E132" s="84"/>
      <c r="G132"/>
      <c r="H132"/>
      <c r="I132"/>
      <c r="J132"/>
      <c r="N132"/>
      <c r="O132"/>
      <c r="P132"/>
      <c r="T132"/>
    </row>
    <row r="133" spans="2:20" s="23" customFormat="1">
      <c r="B133"/>
      <c r="C133" s="83"/>
      <c r="D133" s="84"/>
      <c r="E133" s="84"/>
      <c r="G133"/>
      <c r="H133"/>
      <c r="I133"/>
      <c r="J133"/>
      <c r="N133"/>
      <c r="O133"/>
      <c r="P133"/>
      <c r="T133"/>
    </row>
    <row r="134" spans="2:20" s="23" customFormat="1">
      <c r="B134"/>
      <c r="C134" s="83"/>
      <c r="D134" s="84"/>
      <c r="E134" s="84"/>
      <c r="G134"/>
      <c r="H134"/>
      <c r="I134"/>
      <c r="J134"/>
      <c r="N134"/>
      <c r="O134"/>
      <c r="P134"/>
      <c r="T134"/>
    </row>
    <row r="135" spans="2:20" s="23" customFormat="1">
      <c r="B135"/>
      <c r="C135" s="83"/>
      <c r="D135" s="84"/>
      <c r="E135" s="84"/>
      <c r="G135"/>
      <c r="H135"/>
      <c r="I135"/>
      <c r="J135"/>
      <c r="N135"/>
      <c r="O135"/>
      <c r="P135"/>
      <c r="T135"/>
    </row>
    <row r="136" spans="2:20" s="23" customFormat="1">
      <c r="B136"/>
      <c r="C136" s="83"/>
      <c r="D136" s="84"/>
      <c r="E136" s="84"/>
      <c r="G136"/>
      <c r="H136"/>
      <c r="I136"/>
      <c r="J136"/>
      <c r="N136"/>
      <c r="O136"/>
      <c r="P136"/>
      <c r="T136"/>
    </row>
    <row r="137" spans="2:20" s="23" customFormat="1">
      <c r="B137"/>
      <c r="C137" s="83"/>
      <c r="D137" s="84"/>
      <c r="E137" s="84"/>
      <c r="G137"/>
      <c r="H137"/>
      <c r="I137"/>
      <c r="J137"/>
      <c r="N137"/>
      <c r="O137"/>
      <c r="P137"/>
      <c r="T137"/>
    </row>
    <row r="138" spans="2:20" s="23" customFormat="1">
      <c r="B138"/>
      <c r="C138" s="83"/>
      <c r="D138" s="84"/>
      <c r="E138" s="84"/>
      <c r="G138"/>
      <c r="H138"/>
      <c r="I138"/>
      <c r="J138"/>
      <c r="N138"/>
      <c r="O138"/>
      <c r="P138"/>
      <c r="T138"/>
    </row>
    <row r="139" spans="2:20" s="23" customFormat="1">
      <c r="B139"/>
      <c r="C139" s="83"/>
      <c r="D139" s="84"/>
      <c r="E139" s="84"/>
      <c r="G139"/>
      <c r="H139"/>
      <c r="I139"/>
      <c r="J139"/>
      <c r="N139"/>
      <c r="O139"/>
      <c r="P139"/>
      <c r="T139"/>
    </row>
    <row r="140" spans="2:20" s="23" customFormat="1">
      <c r="B140"/>
      <c r="C140" s="83"/>
      <c r="D140" s="84"/>
      <c r="E140" s="84"/>
      <c r="G140"/>
      <c r="H140"/>
      <c r="I140"/>
      <c r="J140"/>
      <c r="N140"/>
      <c r="O140"/>
      <c r="P140"/>
      <c r="T140"/>
    </row>
    <row r="141" spans="2:20" s="23" customFormat="1">
      <c r="B141"/>
      <c r="C141" s="83"/>
      <c r="D141" s="84"/>
      <c r="E141" s="84"/>
      <c r="G141"/>
      <c r="H141"/>
      <c r="I141"/>
      <c r="J141"/>
      <c r="N141"/>
      <c r="O141"/>
      <c r="P141"/>
      <c r="T141"/>
    </row>
    <row r="142" spans="2:20" s="23" customFormat="1">
      <c r="B142"/>
      <c r="C142" s="83"/>
      <c r="D142" s="84"/>
      <c r="E142" s="84"/>
      <c r="G142"/>
      <c r="H142"/>
      <c r="I142"/>
      <c r="J142"/>
      <c r="N142"/>
      <c r="O142"/>
      <c r="P142"/>
      <c r="T142"/>
    </row>
    <row r="143" spans="2:20" s="23" customFormat="1">
      <c r="B143"/>
      <c r="C143" s="83"/>
      <c r="D143" s="84"/>
      <c r="E143" s="84"/>
      <c r="G143"/>
      <c r="H143"/>
      <c r="I143"/>
      <c r="J143"/>
      <c r="N143"/>
      <c r="O143"/>
      <c r="P143"/>
      <c r="T143"/>
    </row>
    <row r="144" spans="2:20" s="23" customFormat="1">
      <c r="B144"/>
      <c r="C144" s="83"/>
      <c r="D144" s="84"/>
      <c r="E144" s="84"/>
      <c r="G144"/>
      <c r="H144"/>
      <c r="I144"/>
      <c r="J144"/>
      <c r="N144"/>
      <c r="O144"/>
      <c r="P144"/>
      <c r="T144"/>
    </row>
    <row r="145" spans="2:20" s="23" customFormat="1">
      <c r="B145"/>
      <c r="C145" s="83"/>
      <c r="D145" s="84"/>
      <c r="E145" s="84"/>
      <c r="G145"/>
      <c r="H145"/>
      <c r="I145"/>
      <c r="J145"/>
      <c r="N145"/>
      <c r="O145"/>
      <c r="P145"/>
      <c r="T145"/>
    </row>
    <row r="146" spans="2:20" s="23" customFormat="1">
      <c r="B146"/>
      <c r="C146" s="83"/>
      <c r="D146" s="84"/>
      <c r="E146" s="84"/>
      <c r="G146"/>
      <c r="H146"/>
      <c r="I146"/>
      <c r="J146"/>
      <c r="N146"/>
      <c r="O146"/>
      <c r="P146"/>
      <c r="T146"/>
    </row>
    <row r="147" spans="2:20" s="23" customFormat="1">
      <c r="B147"/>
      <c r="C147" s="83"/>
      <c r="D147" s="84"/>
      <c r="E147" s="84"/>
      <c r="G147"/>
      <c r="H147"/>
      <c r="I147"/>
      <c r="J147"/>
      <c r="N147"/>
      <c r="O147"/>
      <c r="P147"/>
      <c r="T147"/>
    </row>
    <row r="148" spans="2:20" s="23" customFormat="1">
      <c r="B148"/>
      <c r="C148" s="83"/>
      <c r="D148" s="84"/>
      <c r="E148" s="84"/>
      <c r="G148"/>
      <c r="H148"/>
      <c r="I148"/>
      <c r="J148"/>
      <c r="N148"/>
      <c r="O148"/>
      <c r="P148"/>
      <c r="T148"/>
    </row>
    <row r="149" spans="2:20" s="23" customFormat="1">
      <c r="B149"/>
      <c r="C149" s="83"/>
      <c r="D149" s="84"/>
      <c r="E149" s="84"/>
      <c r="G149"/>
      <c r="H149"/>
      <c r="I149"/>
      <c r="J149"/>
      <c r="N149"/>
      <c r="O149"/>
      <c r="P149"/>
      <c r="T149"/>
    </row>
    <row r="150" spans="2:20" s="23" customFormat="1">
      <c r="B150"/>
      <c r="C150" s="83"/>
      <c r="D150" s="84"/>
      <c r="E150" s="84"/>
      <c r="G150"/>
      <c r="H150"/>
      <c r="I150"/>
      <c r="J150"/>
      <c r="N150"/>
      <c r="O150"/>
      <c r="P150"/>
      <c r="T150"/>
    </row>
    <row r="151" spans="2:20" s="23" customFormat="1">
      <c r="B151"/>
      <c r="C151" s="83"/>
      <c r="D151" s="84"/>
      <c r="E151" s="84"/>
      <c r="G151"/>
      <c r="H151"/>
      <c r="I151"/>
      <c r="J151"/>
      <c r="N151"/>
      <c r="O151"/>
      <c r="P151"/>
      <c r="T151"/>
    </row>
    <row r="152" spans="2:20" s="23" customFormat="1">
      <c r="B152"/>
      <c r="C152" s="83"/>
      <c r="D152" s="84"/>
      <c r="E152" s="84"/>
      <c r="G152"/>
      <c r="H152"/>
      <c r="I152"/>
      <c r="J152"/>
      <c r="N152"/>
      <c r="O152"/>
      <c r="P152"/>
      <c r="T152"/>
    </row>
    <row r="153" spans="2:20" s="23" customFormat="1">
      <c r="B153"/>
      <c r="C153" s="83"/>
      <c r="D153" s="84"/>
      <c r="E153" s="84"/>
      <c r="G153"/>
      <c r="H153"/>
      <c r="I153"/>
      <c r="J153"/>
      <c r="N153"/>
      <c r="O153"/>
      <c r="P153"/>
      <c r="T153"/>
    </row>
    <row r="154" spans="2:20" s="23" customFormat="1">
      <c r="B154"/>
      <c r="C154" s="83"/>
      <c r="D154" s="84"/>
      <c r="E154" s="84"/>
      <c r="G154"/>
      <c r="H154"/>
      <c r="I154"/>
      <c r="J154"/>
      <c r="N154"/>
      <c r="O154"/>
      <c r="P154"/>
      <c r="T154"/>
    </row>
    <row r="155" spans="2:20" s="23" customFormat="1">
      <c r="B155"/>
      <c r="C155" s="83"/>
      <c r="D155" s="84"/>
      <c r="E155" s="84"/>
      <c r="G155"/>
      <c r="H155"/>
      <c r="I155"/>
      <c r="J155"/>
      <c r="N155"/>
      <c r="O155"/>
      <c r="P155"/>
      <c r="T155"/>
    </row>
    <row r="156" spans="2:20" s="23" customFormat="1">
      <c r="B156"/>
      <c r="C156" s="83"/>
      <c r="D156" s="84"/>
      <c r="E156" s="84"/>
      <c r="G156"/>
      <c r="H156"/>
      <c r="I156"/>
      <c r="J156"/>
      <c r="N156"/>
      <c r="O156"/>
      <c r="P156"/>
      <c r="T156"/>
    </row>
    <row r="157" spans="2:20" s="23" customFormat="1">
      <c r="B157"/>
      <c r="C157" s="83"/>
      <c r="D157" s="84"/>
      <c r="E157" s="84"/>
      <c r="G157"/>
      <c r="H157"/>
      <c r="I157"/>
      <c r="J157"/>
      <c r="N157"/>
      <c r="O157"/>
      <c r="P157"/>
      <c r="T157"/>
    </row>
    <row r="158" spans="2:20" s="23" customFormat="1">
      <c r="B158"/>
      <c r="C158" s="83"/>
      <c r="D158" s="84"/>
      <c r="E158" s="84"/>
      <c r="G158"/>
      <c r="H158"/>
      <c r="I158"/>
      <c r="J158"/>
      <c r="N158"/>
      <c r="O158"/>
      <c r="P158"/>
      <c r="T158"/>
    </row>
    <row r="159" spans="2:20" s="23" customFormat="1">
      <c r="B159"/>
      <c r="C159" s="83"/>
      <c r="D159" s="84"/>
      <c r="E159" s="84"/>
      <c r="G159"/>
      <c r="H159"/>
      <c r="I159"/>
      <c r="J159"/>
      <c r="N159"/>
      <c r="O159"/>
      <c r="P159"/>
      <c r="T159"/>
    </row>
    <row r="160" spans="2:20" s="23" customFormat="1">
      <c r="B160"/>
      <c r="C160" s="83"/>
      <c r="D160" s="84"/>
      <c r="E160" s="84"/>
      <c r="G160"/>
      <c r="H160"/>
      <c r="I160"/>
      <c r="J160"/>
      <c r="N160"/>
      <c r="O160"/>
      <c r="P160"/>
      <c r="T160"/>
    </row>
    <row r="161" spans="2:20" s="23" customFormat="1">
      <c r="B161"/>
      <c r="C161" s="83"/>
      <c r="D161" s="84"/>
      <c r="E161" s="84"/>
      <c r="G161"/>
      <c r="H161"/>
      <c r="I161"/>
      <c r="J161"/>
      <c r="N161"/>
      <c r="O161"/>
      <c r="P161"/>
      <c r="T161"/>
    </row>
    <row r="162" spans="2:20" s="23" customFormat="1">
      <c r="B162"/>
      <c r="C162" s="83"/>
      <c r="D162" s="84"/>
      <c r="E162" s="84"/>
      <c r="G162"/>
      <c r="H162"/>
      <c r="I162"/>
      <c r="J162"/>
      <c r="N162"/>
      <c r="O162"/>
      <c r="P162"/>
      <c r="T162"/>
    </row>
    <row r="163" spans="2:20" s="23" customFormat="1">
      <c r="B163"/>
      <c r="C163" s="83"/>
      <c r="D163" s="84"/>
      <c r="E163" s="84"/>
      <c r="G163"/>
      <c r="H163"/>
      <c r="I163"/>
      <c r="J163"/>
      <c r="N163"/>
      <c r="O163"/>
      <c r="P163"/>
      <c r="T163"/>
    </row>
    <row r="164" spans="2:20" s="23" customFormat="1">
      <c r="B164"/>
      <c r="C164" s="83"/>
      <c r="D164" s="84"/>
      <c r="E164" s="84"/>
      <c r="G164"/>
      <c r="H164"/>
      <c r="I164"/>
      <c r="J164"/>
      <c r="N164"/>
      <c r="O164"/>
      <c r="P164"/>
      <c r="T164"/>
    </row>
    <row r="165" spans="2:20" s="23" customFormat="1">
      <c r="B165"/>
      <c r="C165" s="83"/>
      <c r="D165" s="84"/>
      <c r="E165" s="84"/>
      <c r="G165"/>
      <c r="H165"/>
      <c r="I165"/>
      <c r="J165"/>
      <c r="N165"/>
      <c r="O165"/>
      <c r="P165"/>
      <c r="T165"/>
    </row>
    <row r="166" spans="2:20" s="23" customFormat="1">
      <c r="B166"/>
      <c r="C166" s="83"/>
      <c r="D166" s="84"/>
      <c r="E166" s="84"/>
      <c r="G166"/>
      <c r="H166"/>
      <c r="I166"/>
      <c r="J166"/>
      <c r="N166"/>
      <c r="O166"/>
      <c r="P166"/>
      <c r="T166"/>
    </row>
    <row r="167" spans="2:20" s="23" customFormat="1">
      <c r="B167"/>
      <c r="C167" s="83"/>
      <c r="D167" s="84"/>
      <c r="E167" s="84"/>
      <c r="G167"/>
      <c r="H167"/>
      <c r="I167"/>
      <c r="J167"/>
      <c r="N167"/>
      <c r="O167"/>
      <c r="P167"/>
      <c r="T167"/>
    </row>
    <row r="168" spans="2:20" s="23" customFormat="1">
      <c r="B168"/>
      <c r="C168" s="83"/>
      <c r="D168" s="84"/>
      <c r="E168" s="84"/>
      <c r="G168"/>
      <c r="H168"/>
      <c r="I168"/>
      <c r="J168"/>
      <c r="N168"/>
      <c r="O168"/>
      <c r="P168"/>
      <c r="T168"/>
    </row>
    <row r="169" spans="2:20" s="23" customFormat="1">
      <c r="B169"/>
      <c r="C169" s="83"/>
      <c r="D169" s="84"/>
      <c r="E169" s="84"/>
      <c r="G169"/>
      <c r="H169"/>
      <c r="I169"/>
      <c r="J169"/>
      <c r="N169"/>
      <c r="O169"/>
      <c r="P169"/>
      <c r="T169"/>
    </row>
    <row r="170" spans="2:20" s="23" customFormat="1">
      <c r="B170"/>
      <c r="C170" s="83"/>
      <c r="D170" s="84"/>
      <c r="E170" s="84"/>
      <c r="G170"/>
      <c r="H170"/>
      <c r="I170"/>
      <c r="J170"/>
      <c r="N170"/>
      <c r="O170"/>
      <c r="P170"/>
      <c r="T170"/>
    </row>
    <row r="171" spans="2:20" s="23" customFormat="1">
      <c r="B171"/>
      <c r="C171" s="83"/>
      <c r="D171" s="84"/>
      <c r="E171" s="84"/>
      <c r="G171"/>
      <c r="H171"/>
      <c r="I171"/>
      <c r="J171"/>
      <c r="N171"/>
      <c r="O171"/>
      <c r="P171"/>
      <c r="T171"/>
    </row>
    <row r="172" spans="2:20" s="23" customFormat="1">
      <c r="B172"/>
      <c r="C172" s="83"/>
      <c r="D172" s="84"/>
      <c r="E172" s="84"/>
      <c r="G172"/>
      <c r="H172"/>
      <c r="I172"/>
      <c r="J172"/>
      <c r="N172"/>
      <c r="O172"/>
      <c r="P172"/>
      <c r="T172"/>
    </row>
    <row r="173" spans="2:20" s="23" customFormat="1">
      <c r="B173"/>
      <c r="C173" s="83"/>
      <c r="D173" s="84"/>
      <c r="E173" s="84"/>
      <c r="G173"/>
      <c r="H173"/>
      <c r="I173"/>
      <c r="J173"/>
      <c r="N173"/>
      <c r="O173"/>
      <c r="P173"/>
      <c r="T173"/>
    </row>
    <row r="174" spans="2:20" s="23" customFormat="1">
      <c r="B174"/>
      <c r="C174" s="83"/>
      <c r="D174" s="84"/>
      <c r="E174" s="84"/>
      <c r="G174"/>
      <c r="H174"/>
      <c r="I174"/>
      <c r="J174"/>
      <c r="N174"/>
      <c r="O174"/>
      <c r="P174"/>
      <c r="T174"/>
    </row>
    <row r="175" spans="2:20" s="23" customFormat="1">
      <c r="B175"/>
      <c r="C175" s="83"/>
      <c r="D175" s="84"/>
      <c r="E175" s="84"/>
      <c r="G175"/>
      <c r="H175"/>
      <c r="I175"/>
      <c r="J175"/>
      <c r="N175"/>
      <c r="O175"/>
      <c r="P175"/>
      <c r="T175"/>
    </row>
    <row r="176" spans="2:20" s="23" customFormat="1">
      <c r="B176"/>
      <c r="C176" s="83"/>
      <c r="D176" s="84"/>
      <c r="E176" s="84"/>
      <c r="G176"/>
      <c r="H176"/>
      <c r="I176"/>
      <c r="J176"/>
      <c r="N176"/>
      <c r="O176"/>
      <c r="P176"/>
      <c r="T176"/>
    </row>
    <row r="177" spans="2:20" s="23" customFormat="1">
      <c r="B177"/>
      <c r="C177" s="83"/>
      <c r="D177" s="84"/>
      <c r="E177" s="84"/>
      <c r="G177"/>
      <c r="H177"/>
      <c r="I177"/>
      <c r="J177"/>
      <c r="N177"/>
      <c r="O177"/>
      <c r="P177"/>
      <c r="T177"/>
    </row>
    <row r="178" spans="2:20" s="23" customFormat="1">
      <c r="B178"/>
      <c r="C178" s="83"/>
      <c r="D178" s="84"/>
      <c r="E178" s="84"/>
      <c r="G178"/>
      <c r="H178"/>
      <c r="I178"/>
      <c r="J178"/>
      <c r="N178"/>
      <c r="O178"/>
      <c r="P178"/>
      <c r="T178"/>
    </row>
    <row r="179" spans="2:20" s="23" customFormat="1">
      <c r="B179"/>
      <c r="C179" s="83"/>
      <c r="D179" s="84"/>
      <c r="E179" s="84"/>
      <c r="G179"/>
      <c r="H179"/>
      <c r="I179"/>
      <c r="J179"/>
      <c r="N179"/>
      <c r="O179"/>
      <c r="P179"/>
      <c r="T179"/>
    </row>
    <row r="180" spans="2:20" s="23" customFormat="1">
      <c r="B180"/>
      <c r="C180" s="83"/>
      <c r="D180" s="84"/>
      <c r="E180" s="84"/>
      <c r="G180"/>
      <c r="H180"/>
      <c r="I180"/>
      <c r="J180"/>
      <c r="N180"/>
      <c r="O180"/>
      <c r="P180"/>
      <c r="T180"/>
    </row>
  </sheetData>
  <sheetProtection algorithmName="SHA-512" hashValue="JE1m1vYVMfEoDC0znFN+s2I1VeIOaxeU57haACM3VQ5WEfW0WkRpFFG5XIkX6gLZ4wv1DKb5PWtvbSnPhKWnQw==" saltValue="477Fb1nvJ49+2Bdb6qZU+A==" spinCount="100000" sheet="1" objects="1" scenarios="1"/>
  <mergeCells count="8">
    <mergeCell ref="B3:B4"/>
    <mergeCell ref="H3:T3"/>
    <mergeCell ref="H4:I4"/>
    <mergeCell ref="J4:K4"/>
    <mergeCell ref="L4:M4"/>
    <mergeCell ref="P4:Q4"/>
    <mergeCell ref="R4:S4"/>
    <mergeCell ref="F3:G4"/>
  </mergeCells>
  <pageMargins left="0.7" right="0.7" top="0.75" bottom="0.75" header="0.3" footer="0.3"/>
  <pageSetup scale="32" fitToHeight="2" orientation="portrait" horizontalDpi="0" verticalDpi="0"/>
  <ignoredErrors>
    <ignoredError sqref="Q10:Q11" formula="1"/>
  </ignoredErrors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0BCA15-AB0F-6646-8325-B916BA6DC855}">
  <sheetPr>
    <pageSetUpPr fitToPage="1"/>
  </sheetPr>
  <dimension ref="B1:T198"/>
  <sheetViews>
    <sheetView showGridLines="0" workbookViewId="0">
      <pane xSplit="2" ySplit="6" topLeftCell="F7" activePane="bottomRight" state="frozen"/>
      <selection pane="topRight" activeCell="C1" sqref="C1"/>
      <selection pane="bottomLeft" activeCell="A7" sqref="A7"/>
      <selection pane="bottomRight" activeCell="H18" sqref="H18"/>
    </sheetView>
  </sheetViews>
  <sheetFormatPr baseColWidth="10" defaultColWidth="11" defaultRowHeight="16"/>
  <cols>
    <col min="1" max="1" width="3.6640625" customWidth="1"/>
    <col min="2" max="2" width="28.83203125" customWidth="1"/>
    <col min="3" max="3" width="19" style="83" hidden="1" customWidth="1"/>
    <col min="4" max="4" width="18.33203125" style="84" hidden="1" customWidth="1"/>
    <col min="5" max="5" width="15.5" style="84" hidden="1" customWidth="1"/>
    <col min="6" max="6" width="18.6640625" style="23" customWidth="1"/>
    <col min="7" max="7" width="26" style="33" customWidth="1"/>
    <col min="8" max="8" width="17" customWidth="1"/>
    <col min="9" max="9" width="18.33203125" customWidth="1"/>
    <col min="10" max="10" width="15.5" customWidth="1"/>
    <col min="11" max="11" width="18.6640625" style="23" customWidth="1"/>
    <col min="12" max="13" width="18.6640625" style="23" hidden="1" customWidth="1"/>
    <col min="14" max="14" width="18.83203125" customWidth="1"/>
    <col min="15" max="17" width="18.6640625" style="23" customWidth="1"/>
    <col min="18" max="18" width="23" customWidth="1"/>
  </cols>
  <sheetData>
    <row r="1" spans="2:18" ht="11" customHeight="1">
      <c r="G1"/>
    </row>
    <row r="2" spans="2:18" ht="37" customHeight="1">
      <c r="B2" s="24" t="s">
        <v>146</v>
      </c>
      <c r="C2" s="85"/>
      <c r="D2" s="85"/>
      <c r="E2" s="85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</row>
    <row r="3" spans="2:18" ht="28" customHeight="1">
      <c r="B3" s="107" t="s">
        <v>69</v>
      </c>
      <c r="C3" s="86" t="s">
        <v>144</v>
      </c>
      <c r="D3" s="87"/>
      <c r="E3" s="87"/>
      <c r="F3" s="119" t="s">
        <v>159</v>
      </c>
      <c r="G3" s="120"/>
      <c r="H3" s="119" t="s">
        <v>71</v>
      </c>
      <c r="I3" s="119"/>
      <c r="J3" s="119"/>
      <c r="K3" s="119"/>
      <c r="L3" s="119"/>
      <c r="M3" s="119"/>
      <c r="N3" s="119"/>
      <c r="O3" s="119"/>
      <c r="P3" s="119"/>
      <c r="Q3" s="119"/>
      <c r="R3" s="120"/>
    </row>
    <row r="4" spans="2:18" ht="57" customHeight="1">
      <c r="B4" s="108"/>
      <c r="C4" s="88"/>
      <c r="D4" s="89"/>
      <c r="E4" s="89"/>
      <c r="F4" s="121"/>
      <c r="G4" s="122"/>
      <c r="H4" s="112" t="s">
        <v>72</v>
      </c>
      <c r="I4" s="113"/>
      <c r="J4" s="114" t="s">
        <v>155</v>
      </c>
      <c r="K4" s="115"/>
      <c r="L4" s="123" t="s">
        <v>143</v>
      </c>
      <c r="M4" s="117"/>
      <c r="N4" s="112" t="s">
        <v>153</v>
      </c>
      <c r="O4" s="117"/>
      <c r="P4" s="118" t="s">
        <v>154</v>
      </c>
      <c r="Q4" s="117"/>
      <c r="R4" s="26"/>
    </row>
    <row r="5" spans="2:18">
      <c r="B5" s="27"/>
      <c r="C5" s="90" t="s">
        <v>142</v>
      </c>
      <c r="D5" s="91" t="s">
        <v>75</v>
      </c>
      <c r="E5" s="91" t="s">
        <v>76</v>
      </c>
      <c r="F5" s="28" t="s">
        <v>77</v>
      </c>
      <c r="G5" s="30" t="s">
        <v>78</v>
      </c>
      <c r="H5" s="29" t="s">
        <v>80</v>
      </c>
      <c r="I5" s="29" t="s">
        <v>75</v>
      </c>
      <c r="J5" s="29" t="s">
        <v>76</v>
      </c>
      <c r="K5" s="28" t="s">
        <v>77</v>
      </c>
      <c r="L5" s="28"/>
      <c r="M5" s="28"/>
      <c r="N5" s="29" t="s">
        <v>76</v>
      </c>
      <c r="O5" s="28" t="s">
        <v>77</v>
      </c>
      <c r="P5" s="29" t="s">
        <v>76</v>
      </c>
      <c r="Q5" s="28" t="s">
        <v>77</v>
      </c>
      <c r="R5" s="29" t="s">
        <v>81</v>
      </c>
    </row>
    <row r="6" spans="2:18" ht="10" customHeight="1">
      <c r="B6" s="11"/>
      <c r="C6" s="92"/>
      <c r="D6" s="93"/>
      <c r="E6" s="93"/>
      <c r="F6" s="31"/>
      <c r="G6" s="32"/>
      <c r="H6" s="11"/>
      <c r="I6" s="11"/>
      <c r="J6" s="11"/>
      <c r="K6" s="31"/>
      <c r="L6" s="31"/>
      <c r="M6" s="31"/>
      <c r="N6" s="11"/>
      <c r="O6" s="31"/>
      <c r="P6" s="31"/>
      <c r="Q6" s="31"/>
      <c r="R6" s="11"/>
    </row>
    <row r="7" spans="2:18" ht="19">
      <c r="B7" s="2" t="s">
        <v>141</v>
      </c>
      <c r="J7" s="34"/>
      <c r="K7" s="38"/>
      <c r="L7" s="34"/>
      <c r="M7" s="38"/>
      <c r="N7" s="37"/>
      <c r="O7" s="38"/>
      <c r="P7"/>
      <c r="Q7" s="38"/>
    </row>
    <row r="8" spans="2:18">
      <c r="B8" s="39" t="s">
        <v>82</v>
      </c>
      <c r="J8" s="34"/>
      <c r="K8" s="38"/>
      <c r="L8" s="34"/>
      <c r="M8" s="38"/>
      <c r="N8" s="37"/>
      <c r="O8" s="38"/>
      <c r="P8"/>
      <c r="Q8" s="38"/>
    </row>
    <row r="9" spans="2:18">
      <c r="B9" s="20" t="s">
        <v>83</v>
      </c>
      <c r="C9" s="94">
        <v>37.299999999999997</v>
      </c>
      <c r="D9" s="95" t="s">
        <v>84</v>
      </c>
      <c r="E9" s="96">
        <f>(45+35+35+40)/60</f>
        <v>2.5833333333333335</v>
      </c>
      <c r="F9" s="40">
        <f t="shared" ref="F9:F14" si="0">C9*E9</f>
        <v>96.358333333333334</v>
      </c>
      <c r="G9" s="43" t="s">
        <v>85</v>
      </c>
      <c r="H9" s="44">
        <v>37.299999999999997</v>
      </c>
      <c r="I9" s="43" t="s">
        <v>84</v>
      </c>
      <c r="J9" s="42">
        <f>E9</f>
        <v>2.5833333333333335</v>
      </c>
      <c r="K9" s="47">
        <f t="shared" ref="K9:K14" si="1">H9*J9</f>
        <v>96.358333333333334</v>
      </c>
      <c r="L9" s="79">
        <f>(40+20+10)/60</f>
        <v>1.1666666666666667</v>
      </c>
      <c r="M9" s="77">
        <f t="shared" ref="M9:M14" si="2">H9*L9</f>
        <v>43.516666666666666</v>
      </c>
      <c r="N9" s="66">
        <f>(30+20+15+30)/60</f>
        <v>1.5833333333333333</v>
      </c>
      <c r="O9" s="47">
        <f t="shared" ref="O9:O14" si="3">H9*N9</f>
        <v>59.058333333333323</v>
      </c>
      <c r="P9" s="66">
        <f>(30+20+15+30)/60</f>
        <v>1.5833333333333333</v>
      </c>
      <c r="Q9" s="47">
        <f t="shared" ref="Q9:Q14" si="4">H9*P9</f>
        <v>59.058333333333323</v>
      </c>
      <c r="R9" s="41" t="s">
        <v>86</v>
      </c>
    </row>
    <row r="10" spans="2:18">
      <c r="B10" s="20" t="s">
        <v>87</v>
      </c>
      <c r="C10" s="94">
        <v>8.4</v>
      </c>
      <c r="D10" s="95" t="s">
        <v>84</v>
      </c>
      <c r="E10" s="97">
        <f>(60+50+35+40+15+120)/60</f>
        <v>5.333333333333333</v>
      </c>
      <c r="F10" s="40">
        <f t="shared" si="0"/>
        <v>44.8</v>
      </c>
      <c r="G10" s="43" t="s">
        <v>85</v>
      </c>
      <c r="H10" s="44">
        <v>4.2</v>
      </c>
      <c r="I10" s="43" t="s">
        <v>84</v>
      </c>
      <c r="J10" s="49">
        <f>E10</f>
        <v>5.333333333333333</v>
      </c>
      <c r="K10" s="47">
        <f t="shared" si="1"/>
        <v>22.4</v>
      </c>
      <c r="L10" s="51">
        <f>(30+15+22.5)/60</f>
        <v>1.125</v>
      </c>
      <c r="M10" s="77">
        <f t="shared" si="2"/>
        <v>4.7250000000000005</v>
      </c>
      <c r="N10" s="66">
        <f>(40+35+20+20)/60</f>
        <v>1.9166666666666667</v>
      </c>
      <c r="O10" s="47">
        <f t="shared" si="3"/>
        <v>8.0500000000000007</v>
      </c>
      <c r="P10" s="66">
        <f>(40+35+20+20)/60</f>
        <v>1.9166666666666667</v>
      </c>
      <c r="Q10" s="47">
        <f t="shared" si="4"/>
        <v>8.0500000000000007</v>
      </c>
      <c r="R10" s="41" t="s">
        <v>86</v>
      </c>
    </row>
    <row r="11" spans="2:18">
      <c r="B11" s="20" t="s">
        <v>88</v>
      </c>
      <c r="C11" s="94">
        <v>6.5</v>
      </c>
      <c r="D11" s="95" t="s">
        <v>84</v>
      </c>
      <c r="E11" s="96">
        <f>(45+25+60)/60</f>
        <v>2.1666666666666665</v>
      </c>
      <c r="F11" s="40">
        <f t="shared" si="0"/>
        <v>14.083333333333332</v>
      </c>
      <c r="G11" s="43" t="s">
        <v>85</v>
      </c>
      <c r="H11" s="44">
        <v>3.26</v>
      </c>
      <c r="I11" s="43" t="s">
        <v>84</v>
      </c>
      <c r="J11" s="42">
        <f>E11</f>
        <v>2.1666666666666665</v>
      </c>
      <c r="K11" s="47">
        <f t="shared" si="1"/>
        <v>7.0633333333333326</v>
      </c>
      <c r="L11" s="78">
        <f>(45+25+25)/60</f>
        <v>1.5833333333333333</v>
      </c>
      <c r="M11" s="77">
        <f t="shared" si="2"/>
        <v>5.1616666666666662</v>
      </c>
      <c r="N11" s="66">
        <f>(40+30+30+20)/60</f>
        <v>2</v>
      </c>
      <c r="O11" s="47">
        <f t="shared" si="3"/>
        <v>6.52</v>
      </c>
      <c r="P11" s="66">
        <f>(40+30+30+20)/60</f>
        <v>2</v>
      </c>
      <c r="Q11" s="47">
        <f t="shared" si="4"/>
        <v>6.52</v>
      </c>
      <c r="R11" s="41" t="s">
        <v>86</v>
      </c>
    </row>
    <row r="12" spans="2:18" ht="17" customHeight="1">
      <c r="B12" s="20" t="s">
        <v>89</v>
      </c>
      <c r="C12" s="94">
        <v>19.93</v>
      </c>
      <c r="D12" s="95" t="s">
        <v>84</v>
      </c>
      <c r="E12" s="97">
        <f>145/60</f>
        <v>2.4166666666666665</v>
      </c>
      <c r="F12" s="40">
        <f t="shared" si="0"/>
        <v>48.164166666666667</v>
      </c>
      <c r="G12" s="43" t="s">
        <v>85</v>
      </c>
      <c r="H12" s="44">
        <v>19.93</v>
      </c>
      <c r="I12" s="41" t="s">
        <v>84</v>
      </c>
      <c r="J12" s="50">
        <f>E12</f>
        <v>2.4166666666666665</v>
      </c>
      <c r="K12" s="47">
        <f t="shared" si="1"/>
        <v>48.164166666666667</v>
      </c>
      <c r="L12" s="51">
        <v>0.35</v>
      </c>
      <c r="M12" s="77">
        <f t="shared" si="2"/>
        <v>6.9754999999999994</v>
      </c>
      <c r="N12" s="46">
        <f>(15)/60</f>
        <v>0.25</v>
      </c>
      <c r="O12" s="47">
        <f t="shared" si="3"/>
        <v>4.9824999999999999</v>
      </c>
      <c r="P12" s="46">
        <v>0</v>
      </c>
      <c r="Q12" s="47">
        <f t="shared" si="4"/>
        <v>0</v>
      </c>
      <c r="R12" s="41" t="s">
        <v>86</v>
      </c>
    </row>
    <row r="13" spans="2:18">
      <c r="B13" s="20" t="s">
        <v>90</v>
      </c>
      <c r="C13" s="94">
        <v>5.6</v>
      </c>
      <c r="D13" s="95" t="s">
        <v>84</v>
      </c>
      <c r="E13" s="95">
        <v>1</v>
      </c>
      <c r="F13" s="40">
        <f t="shared" si="0"/>
        <v>5.6</v>
      </c>
      <c r="G13" s="43" t="s">
        <v>85</v>
      </c>
      <c r="H13" s="44">
        <v>3.26</v>
      </c>
      <c r="I13" s="41" t="s">
        <v>84</v>
      </c>
      <c r="J13" s="48">
        <f>E13</f>
        <v>1</v>
      </c>
      <c r="K13" s="47">
        <f t="shared" si="1"/>
        <v>3.26</v>
      </c>
      <c r="L13" s="51">
        <v>0.5</v>
      </c>
      <c r="M13" s="77">
        <f t="shared" si="2"/>
        <v>1.63</v>
      </c>
      <c r="N13" s="46">
        <v>0.5</v>
      </c>
      <c r="O13" s="47">
        <f t="shared" si="3"/>
        <v>1.63</v>
      </c>
      <c r="P13" s="46">
        <v>0</v>
      </c>
      <c r="Q13" s="47">
        <f t="shared" si="4"/>
        <v>0</v>
      </c>
      <c r="R13" s="41" t="s">
        <v>86</v>
      </c>
    </row>
    <row r="14" spans="2:18">
      <c r="B14" s="20" t="s">
        <v>91</v>
      </c>
      <c r="C14" s="94">
        <v>3.85</v>
      </c>
      <c r="D14" s="95" t="s">
        <v>84</v>
      </c>
      <c r="E14" s="97">
        <v>1.3333333333333333</v>
      </c>
      <c r="F14" s="40">
        <f t="shared" si="0"/>
        <v>5.1333333333333329</v>
      </c>
      <c r="G14" s="43" t="s">
        <v>85</v>
      </c>
      <c r="H14" s="44">
        <v>1.93</v>
      </c>
      <c r="I14" s="41" t="s">
        <v>84</v>
      </c>
      <c r="J14" s="50">
        <v>1.3333333333333333</v>
      </c>
      <c r="K14" s="47">
        <f t="shared" si="1"/>
        <v>2.5733333333333333</v>
      </c>
      <c r="L14" s="78">
        <f>(10+10+5*2)/60</f>
        <v>0.5</v>
      </c>
      <c r="M14" s="77">
        <f t="shared" si="2"/>
        <v>0.96499999999999997</v>
      </c>
      <c r="N14" s="46">
        <f>36/60</f>
        <v>0.6</v>
      </c>
      <c r="O14" s="47">
        <f t="shared" si="3"/>
        <v>1.1579999999999999</v>
      </c>
      <c r="P14" s="46">
        <f>N14</f>
        <v>0.6</v>
      </c>
      <c r="Q14" s="47">
        <f t="shared" si="4"/>
        <v>1.1579999999999999</v>
      </c>
      <c r="R14" s="41" t="s">
        <v>86</v>
      </c>
    </row>
    <row r="15" spans="2:18">
      <c r="B15" s="39" t="s">
        <v>92</v>
      </c>
      <c r="C15" s="94"/>
      <c r="D15" s="95"/>
      <c r="E15" s="95"/>
      <c r="F15" s="40"/>
      <c r="G15" s="43"/>
      <c r="H15" s="41"/>
      <c r="I15" s="41"/>
      <c r="J15" s="48"/>
      <c r="K15" s="47"/>
      <c r="L15" s="51"/>
      <c r="M15" s="77"/>
      <c r="N15" s="46"/>
      <c r="O15" s="47"/>
      <c r="P15" s="41"/>
      <c r="Q15" s="47"/>
      <c r="R15" s="41"/>
    </row>
    <row r="16" spans="2:18">
      <c r="B16" s="20" t="s">
        <v>93</v>
      </c>
      <c r="C16" s="94">
        <v>9.7100000000000009</v>
      </c>
      <c r="D16" s="95" t="s">
        <v>94</v>
      </c>
      <c r="E16" s="95">
        <v>0</v>
      </c>
      <c r="F16" s="40">
        <f>C16*E16</f>
        <v>0</v>
      </c>
      <c r="G16" s="43" t="s">
        <v>95</v>
      </c>
      <c r="H16" s="44">
        <v>9.7100000000000009</v>
      </c>
      <c r="I16" s="41" t="s">
        <v>94</v>
      </c>
      <c r="J16" s="48">
        <v>0</v>
      </c>
      <c r="K16" s="47">
        <f>H16*J16</f>
        <v>0</v>
      </c>
      <c r="L16" s="51">
        <f>8</f>
        <v>8</v>
      </c>
      <c r="M16" s="77">
        <f>H16*L16</f>
        <v>77.680000000000007</v>
      </c>
      <c r="N16" s="46">
        <f>8*0.28</f>
        <v>2.2400000000000002</v>
      </c>
      <c r="O16" s="47">
        <f>H16*N16</f>
        <v>21.750400000000003</v>
      </c>
      <c r="P16" s="41">
        <v>0</v>
      </c>
      <c r="Q16" s="47">
        <f>H16*P16</f>
        <v>0</v>
      </c>
      <c r="R16" s="41" t="s">
        <v>96</v>
      </c>
    </row>
    <row r="17" spans="2:20">
      <c r="B17" s="20" t="s">
        <v>118</v>
      </c>
      <c r="C17" s="94">
        <v>49</v>
      </c>
      <c r="D17" s="95" t="s">
        <v>120</v>
      </c>
      <c r="E17" s="95">
        <v>0</v>
      </c>
      <c r="F17" s="40">
        <f>C17*E17</f>
        <v>0</v>
      </c>
      <c r="G17" s="43" t="s">
        <v>95</v>
      </c>
      <c r="H17" s="44">
        <v>18.100000000000001</v>
      </c>
      <c r="I17" s="41" t="s">
        <v>120</v>
      </c>
      <c r="J17" s="48">
        <v>0</v>
      </c>
      <c r="K17" s="47">
        <f>H17*J17</f>
        <v>0</v>
      </c>
      <c r="L17" s="51">
        <v>8</v>
      </c>
      <c r="M17" s="77">
        <f>H17*L17</f>
        <v>144.80000000000001</v>
      </c>
      <c r="N17" s="46">
        <v>8</v>
      </c>
      <c r="O17" s="40">
        <f>H17*N17</f>
        <v>144.80000000000001</v>
      </c>
      <c r="P17" s="46">
        <v>0</v>
      </c>
      <c r="Q17" s="40">
        <f>H17*P17</f>
        <v>0</v>
      </c>
      <c r="R17" s="46" t="s">
        <v>121</v>
      </c>
    </row>
    <row r="18" spans="2:20">
      <c r="B18" s="20" t="s">
        <v>97</v>
      </c>
      <c r="C18" s="94">
        <v>33.04</v>
      </c>
      <c r="D18" s="95" t="s">
        <v>94</v>
      </c>
      <c r="E18" s="95">
        <v>0</v>
      </c>
      <c r="F18" s="40">
        <f>C18*E18</f>
        <v>0</v>
      </c>
      <c r="G18" s="43" t="s">
        <v>98</v>
      </c>
      <c r="H18" s="44">
        <v>33</v>
      </c>
      <c r="I18" s="41" t="s">
        <v>94</v>
      </c>
      <c r="J18" s="48">
        <v>0</v>
      </c>
      <c r="K18" s="47">
        <f>H18*J18</f>
        <v>0</v>
      </c>
      <c r="L18" s="51">
        <f>8</f>
        <v>8</v>
      </c>
      <c r="M18" s="77">
        <f>H18*L18</f>
        <v>264</v>
      </c>
      <c r="N18" s="46">
        <f>8*0.28</f>
        <v>2.2400000000000002</v>
      </c>
      <c r="O18" s="47">
        <f>H18*N18</f>
        <v>73.92</v>
      </c>
      <c r="P18" s="41">
        <v>0</v>
      </c>
      <c r="Q18" s="47">
        <f>H18*P18</f>
        <v>0</v>
      </c>
      <c r="R18" s="41" t="s">
        <v>98</v>
      </c>
    </row>
    <row r="19" spans="2:20">
      <c r="B19" s="39" t="s">
        <v>99</v>
      </c>
      <c r="C19" s="94"/>
      <c r="D19" s="95"/>
      <c r="E19" s="95"/>
      <c r="F19" s="40"/>
      <c r="G19" s="43"/>
      <c r="H19" s="41"/>
      <c r="I19" s="41"/>
      <c r="J19" s="48"/>
      <c r="K19" s="47"/>
      <c r="L19" s="51"/>
      <c r="M19" s="77"/>
      <c r="N19" s="46"/>
      <c r="O19" s="47"/>
      <c r="P19" s="41"/>
      <c r="Q19" s="47"/>
      <c r="R19" s="41"/>
    </row>
    <row r="20" spans="2:20">
      <c r="B20" s="20" t="s">
        <v>100</v>
      </c>
      <c r="C20" s="94">
        <v>16.18</v>
      </c>
      <c r="D20" s="95" t="s">
        <v>101</v>
      </c>
      <c r="E20" s="95">
        <v>11</v>
      </c>
      <c r="F20" s="40">
        <f t="shared" ref="F20:F28" si="5">C20*E20</f>
        <v>177.98</v>
      </c>
      <c r="G20" s="43" t="s">
        <v>85</v>
      </c>
      <c r="H20" s="44">
        <v>4.16</v>
      </c>
      <c r="I20" s="41" t="s">
        <v>101</v>
      </c>
      <c r="J20" s="48">
        <v>11</v>
      </c>
      <c r="K20" s="47">
        <f t="shared" ref="K20:K28" si="6">H20*J20</f>
        <v>45.760000000000005</v>
      </c>
      <c r="L20" s="51">
        <v>5</v>
      </c>
      <c r="M20" s="77">
        <f t="shared" ref="M20:M27" si="7">H20*L20</f>
        <v>20.8</v>
      </c>
      <c r="N20" s="46">
        <v>5</v>
      </c>
      <c r="O20" s="47">
        <f t="shared" ref="O20:O28" si="8">H20*N20</f>
        <v>20.8</v>
      </c>
      <c r="P20" s="41">
        <v>3</v>
      </c>
      <c r="Q20" s="47">
        <f t="shared" ref="Q20:Q27" si="9">H20*P20</f>
        <v>12.48</v>
      </c>
      <c r="R20" s="41" t="s">
        <v>102</v>
      </c>
    </row>
    <row r="21" spans="2:20">
      <c r="B21" s="20" t="s">
        <v>103</v>
      </c>
      <c r="C21" s="94">
        <v>107.28</v>
      </c>
      <c r="D21" s="95" t="s">
        <v>101</v>
      </c>
      <c r="E21" s="95">
        <v>7</v>
      </c>
      <c r="F21" s="40">
        <f t="shared" si="5"/>
        <v>750.96</v>
      </c>
      <c r="G21" s="43" t="s">
        <v>85</v>
      </c>
      <c r="H21" s="44">
        <v>25.51</v>
      </c>
      <c r="I21" s="41" t="s">
        <v>101</v>
      </c>
      <c r="J21" s="48">
        <v>7</v>
      </c>
      <c r="K21" s="47">
        <f t="shared" si="6"/>
        <v>178.57000000000002</v>
      </c>
      <c r="L21" s="51">
        <v>4</v>
      </c>
      <c r="M21" s="77">
        <f t="shared" si="7"/>
        <v>102.04</v>
      </c>
      <c r="N21" s="46">
        <v>4</v>
      </c>
      <c r="O21" s="47">
        <f t="shared" si="8"/>
        <v>102.04</v>
      </c>
      <c r="P21" s="41">
        <v>2</v>
      </c>
      <c r="Q21" s="47">
        <f t="shared" si="9"/>
        <v>51.02</v>
      </c>
      <c r="R21" s="41" t="s">
        <v>102</v>
      </c>
    </row>
    <row r="22" spans="2:20">
      <c r="B22" s="20" t="s">
        <v>104</v>
      </c>
      <c r="C22" s="94">
        <v>32.89</v>
      </c>
      <c r="D22" s="95" t="s">
        <v>101</v>
      </c>
      <c r="E22" s="95">
        <v>1.5</v>
      </c>
      <c r="F22" s="40">
        <f t="shared" si="5"/>
        <v>49.335000000000001</v>
      </c>
      <c r="G22" s="43" t="s">
        <v>85</v>
      </c>
      <c r="H22" s="40">
        <v>21.43</v>
      </c>
      <c r="I22" s="41" t="s">
        <v>101</v>
      </c>
      <c r="J22" s="48">
        <v>1.5</v>
      </c>
      <c r="K22" s="47">
        <f t="shared" si="6"/>
        <v>32.144999999999996</v>
      </c>
      <c r="L22" s="51">
        <v>1</v>
      </c>
      <c r="M22" s="77">
        <f t="shared" si="7"/>
        <v>21.43</v>
      </c>
      <c r="N22" s="46">
        <v>0</v>
      </c>
      <c r="O22" s="47">
        <f t="shared" si="8"/>
        <v>0</v>
      </c>
      <c r="P22" s="41">
        <v>0</v>
      </c>
      <c r="Q22" s="47">
        <f t="shared" si="9"/>
        <v>0</v>
      </c>
    </row>
    <row r="23" spans="2:20">
      <c r="B23" s="20" t="s">
        <v>105</v>
      </c>
      <c r="C23" s="94">
        <v>25.03</v>
      </c>
      <c r="D23" s="95" t="s">
        <v>101</v>
      </c>
      <c r="E23" s="95">
        <v>1.5</v>
      </c>
      <c r="F23" s="40">
        <f t="shared" si="5"/>
        <v>37.545000000000002</v>
      </c>
      <c r="G23" s="43" t="s">
        <v>85</v>
      </c>
      <c r="H23" s="40">
        <v>7.74</v>
      </c>
      <c r="I23" s="41" t="s">
        <v>101</v>
      </c>
      <c r="J23" s="48">
        <v>1.5</v>
      </c>
      <c r="K23" s="47">
        <f t="shared" si="6"/>
        <v>11.61</v>
      </c>
      <c r="L23" s="51">
        <v>1</v>
      </c>
      <c r="M23" s="77">
        <f t="shared" si="7"/>
        <v>7.74</v>
      </c>
      <c r="N23" s="46">
        <v>0</v>
      </c>
      <c r="O23" s="47">
        <f t="shared" si="8"/>
        <v>0</v>
      </c>
      <c r="P23" s="41">
        <v>0</v>
      </c>
      <c r="Q23" s="47">
        <f t="shared" si="9"/>
        <v>0</v>
      </c>
    </row>
    <row r="24" spans="2:20">
      <c r="B24" s="20" t="s">
        <v>106</v>
      </c>
      <c r="C24" s="94">
        <v>3.88</v>
      </c>
      <c r="D24" s="95" t="s">
        <v>101</v>
      </c>
      <c r="E24" s="95">
        <v>3</v>
      </c>
      <c r="F24" s="40">
        <f t="shared" si="5"/>
        <v>11.64</v>
      </c>
      <c r="G24" s="43" t="s">
        <v>85</v>
      </c>
      <c r="H24" s="44">
        <v>3.34</v>
      </c>
      <c r="I24" s="41" t="s">
        <v>101</v>
      </c>
      <c r="J24" s="48">
        <v>3</v>
      </c>
      <c r="K24" s="47">
        <f t="shared" si="6"/>
        <v>10.02</v>
      </c>
      <c r="L24" s="51">
        <v>2</v>
      </c>
      <c r="M24" s="77">
        <f t="shared" si="7"/>
        <v>6.68</v>
      </c>
      <c r="N24" s="46">
        <v>1</v>
      </c>
      <c r="O24" s="47">
        <f t="shared" si="8"/>
        <v>3.34</v>
      </c>
      <c r="P24" s="41">
        <v>1</v>
      </c>
      <c r="Q24" s="47">
        <f t="shared" si="9"/>
        <v>3.34</v>
      </c>
      <c r="R24" s="41" t="s">
        <v>85</v>
      </c>
    </row>
    <row r="25" spans="2:20">
      <c r="B25" s="20" t="s">
        <v>107</v>
      </c>
      <c r="C25" s="94">
        <v>4.67</v>
      </c>
      <c r="D25" s="95" t="s">
        <v>101</v>
      </c>
      <c r="E25" s="95">
        <v>3</v>
      </c>
      <c r="F25" s="40">
        <f t="shared" si="5"/>
        <v>14.01</v>
      </c>
      <c r="G25" s="43" t="s">
        <v>85</v>
      </c>
      <c r="H25" s="44">
        <v>3.52</v>
      </c>
      <c r="I25" s="41" t="s">
        <v>101</v>
      </c>
      <c r="J25" s="48">
        <v>3</v>
      </c>
      <c r="K25" s="47">
        <f t="shared" si="6"/>
        <v>10.56</v>
      </c>
      <c r="L25" s="51">
        <v>2</v>
      </c>
      <c r="M25" s="77">
        <f t="shared" si="7"/>
        <v>7.04</v>
      </c>
      <c r="N25" s="46">
        <v>0.5</v>
      </c>
      <c r="O25" s="47">
        <f t="shared" si="8"/>
        <v>1.76</v>
      </c>
      <c r="P25" s="41">
        <v>0.5</v>
      </c>
      <c r="Q25" s="47">
        <f t="shared" si="9"/>
        <v>1.76</v>
      </c>
      <c r="R25" s="41" t="s">
        <v>85</v>
      </c>
    </row>
    <row r="26" spans="2:20">
      <c r="B26" s="20" t="s">
        <v>108</v>
      </c>
      <c r="C26" s="94">
        <v>19.37</v>
      </c>
      <c r="D26" s="95" t="s">
        <v>101</v>
      </c>
      <c r="E26" s="95">
        <v>2</v>
      </c>
      <c r="F26" s="40">
        <f t="shared" si="5"/>
        <v>38.74</v>
      </c>
      <c r="G26" s="43" t="s">
        <v>109</v>
      </c>
      <c r="H26" s="44">
        <v>8.18</v>
      </c>
      <c r="I26" s="41" t="s">
        <v>101</v>
      </c>
      <c r="J26" s="48">
        <v>2</v>
      </c>
      <c r="K26" s="47">
        <f t="shared" si="6"/>
        <v>16.36</v>
      </c>
      <c r="L26" s="51">
        <v>1</v>
      </c>
      <c r="M26" s="77">
        <f t="shared" si="7"/>
        <v>8.18</v>
      </c>
      <c r="N26" s="46">
        <v>1</v>
      </c>
      <c r="O26" s="47">
        <f t="shared" si="8"/>
        <v>8.18</v>
      </c>
      <c r="P26" s="41">
        <v>0</v>
      </c>
      <c r="Q26" s="47">
        <f t="shared" si="9"/>
        <v>0</v>
      </c>
      <c r="R26" s="41"/>
    </row>
    <row r="27" spans="2:20">
      <c r="B27" s="20" t="s">
        <v>110</v>
      </c>
      <c r="C27" s="94">
        <v>1.8</v>
      </c>
      <c r="D27" s="95" t="s">
        <v>101</v>
      </c>
      <c r="E27" s="95">
        <v>8</v>
      </c>
      <c r="F27" s="40">
        <f t="shared" si="5"/>
        <v>14.4</v>
      </c>
      <c r="G27" s="43" t="s">
        <v>85</v>
      </c>
      <c r="H27" s="40">
        <v>1.44</v>
      </c>
      <c r="I27" s="41" t="s">
        <v>101</v>
      </c>
      <c r="J27" s="48">
        <v>8</v>
      </c>
      <c r="K27" s="47">
        <f t="shared" si="6"/>
        <v>11.52</v>
      </c>
      <c r="L27" s="51">
        <v>5</v>
      </c>
      <c r="M27" s="77">
        <f t="shared" si="7"/>
        <v>7.1999999999999993</v>
      </c>
      <c r="N27" s="46">
        <v>3</v>
      </c>
      <c r="O27" s="47">
        <f t="shared" si="8"/>
        <v>4.32</v>
      </c>
      <c r="P27" s="41">
        <v>1.5</v>
      </c>
      <c r="Q27" s="47">
        <f t="shared" si="9"/>
        <v>2.16</v>
      </c>
      <c r="R27" s="41" t="s">
        <v>85</v>
      </c>
    </row>
    <row r="28" spans="2:20">
      <c r="B28" s="20" t="s">
        <v>136</v>
      </c>
      <c r="C28" s="94">
        <v>13.52</v>
      </c>
      <c r="D28" s="95" t="s">
        <v>101</v>
      </c>
      <c r="E28" s="95">
        <v>2</v>
      </c>
      <c r="F28" s="40">
        <f t="shared" si="5"/>
        <v>27.04</v>
      </c>
      <c r="G28" s="43" t="s">
        <v>85</v>
      </c>
      <c r="H28" s="40">
        <v>4.1900000000000004</v>
      </c>
      <c r="I28" s="41" t="s">
        <v>101</v>
      </c>
      <c r="J28" s="48">
        <v>2</v>
      </c>
      <c r="K28" s="82">
        <f t="shared" si="6"/>
        <v>8.3800000000000008</v>
      </c>
      <c r="L28" s="48"/>
      <c r="M28" s="40"/>
      <c r="N28" s="81">
        <v>2</v>
      </c>
      <c r="O28" s="40">
        <f t="shared" si="8"/>
        <v>8.3800000000000008</v>
      </c>
      <c r="P28" s="46">
        <v>2</v>
      </c>
      <c r="Q28" s="47">
        <f>H28*P28</f>
        <v>8.3800000000000008</v>
      </c>
      <c r="R28" s="41" t="s">
        <v>150</v>
      </c>
      <c r="S28" s="47"/>
      <c r="T28" s="41"/>
    </row>
    <row r="29" spans="2:20">
      <c r="B29" s="39" t="s">
        <v>111</v>
      </c>
      <c r="C29" s="94"/>
      <c r="D29" s="95"/>
      <c r="E29" s="95"/>
      <c r="F29" s="40"/>
      <c r="G29" s="43"/>
      <c r="H29" s="41"/>
      <c r="I29" s="41"/>
      <c r="J29" s="48"/>
      <c r="K29" s="47"/>
      <c r="L29" s="51"/>
      <c r="M29" s="77"/>
      <c r="N29" s="46"/>
      <c r="O29" s="47"/>
      <c r="P29" s="41"/>
      <c r="Q29" s="47"/>
      <c r="R29" s="41"/>
    </row>
    <row r="30" spans="2:20">
      <c r="B30" s="20" t="s">
        <v>112</v>
      </c>
      <c r="C30" s="94">
        <f>(593+2939)*(1/23)</f>
        <v>153.56521739130434</v>
      </c>
      <c r="D30" s="95" t="s">
        <v>113</v>
      </c>
      <c r="E30" s="95">
        <v>1</v>
      </c>
      <c r="F30" s="40">
        <f>C30*E30</f>
        <v>153.56521739130434</v>
      </c>
      <c r="G30" s="43" t="s">
        <v>85</v>
      </c>
      <c r="H30" s="40">
        <v>3</v>
      </c>
      <c r="I30" s="41" t="s">
        <v>113</v>
      </c>
      <c r="J30" s="48">
        <v>1</v>
      </c>
      <c r="K30" s="47">
        <f>H30*J30</f>
        <v>3</v>
      </c>
      <c r="L30" s="51">
        <v>1</v>
      </c>
      <c r="M30" s="77">
        <f>H30*L30</f>
        <v>3</v>
      </c>
      <c r="N30" s="46">
        <v>1</v>
      </c>
      <c r="O30" s="47">
        <f>H30*N30</f>
        <v>3</v>
      </c>
      <c r="P30" s="41">
        <v>1</v>
      </c>
      <c r="Q30" s="47">
        <f>H30*P30</f>
        <v>3</v>
      </c>
      <c r="R30" s="41" t="s">
        <v>85</v>
      </c>
    </row>
    <row r="31" spans="2:20">
      <c r="B31" s="20" t="s">
        <v>135</v>
      </c>
      <c r="C31" s="94">
        <f>25.74*(1/23)</f>
        <v>1.1191304347826085</v>
      </c>
      <c r="D31" s="95" t="s">
        <v>113</v>
      </c>
      <c r="E31" s="95">
        <v>1</v>
      </c>
      <c r="F31" s="40">
        <f>C31*E31</f>
        <v>1.1191304347826085</v>
      </c>
      <c r="G31" s="43" t="s">
        <v>85</v>
      </c>
      <c r="H31" s="40">
        <v>0.63</v>
      </c>
      <c r="I31" s="41" t="s">
        <v>113</v>
      </c>
      <c r="J31" s="48">
        <v>1</v>
      </c>
      <c r="K31" s="47">
        <f>H31*J31</f>
        <v>0.63</v>
      </c>
      <c r="L31" s="51">
        <v>1</v>
      </c>
      <c r="M31" s="77">
        <f>H31*L31</f>
        <v>0.63</v>
      </c>
      <c r="N31" s="46">
        <v>1</v>
      </c>
      <c r="O31" s="47">
        <f>H31*N31</f>
        <v>0.63</v>
      </c>
      <c r="P31" s="41">
        <v>1</v>
      </c>
      <c r="Q31" s="47">
        <f>H31*P31</f>
        <v>0.63</v>
      </c>
      <c r="R31" s="41" t="s">
        <v>85</v>
      </c>
    </row>
    <row r="32" spans="2:20">
      <c r="B32" s="20" t="s">
        <v>115</v>
      </c>
      <c r="C32" s="94">
        <f>4853*(1/23)</f>
        <v>211</v>
      </c>
      <c r="D32" s="95" t="s">
        <v>113</v>
      </c>
      <c r="E32" s="95">
        <v>1</v>
      </c>
      <c r="F32" s="40">
        <f>C32*E32</f>
        <v>211</v>
      </c>
      <c r="G32" s="43" t="s">
        <v>85</v>
      </c>
      <c r="H32" s="40">
        <v>8.23</v>
      </c>
      <c r="I32" s="41" t="s">
        <v>113</v>
      </c>
      <c r="J32" s="48">
        <v>1</v>
      </c>
      <c r="K32" s="47">
        <f>H32*J32</f>
        <v>8.23</v>
      </c>
      <c r="L32" s="51">
        <v>1</v>
      </c>
      <c r="M32" s="77">
        <f>H32*L32</f>
        <v>8.23</v>
      </c>
      <c r="N32" s="46">
        <v>1</v>
      </c>
      <c r="O32" s="47">
        <f>H32*N32</f>
        <v>8.23</v>
      </c>
      <c r="P32" s="41">
        <v>1</v>
      </c>
      <c r="Q32" s="47">
        <f>H32*P32</f>
        <v>8.23</v>
      </c>
      <c r="R32" s="41" t="s">
        <v>85</v>
      </c>
    </row>
    <row r="33" spans="2:18">
      <c r="B33" s="20" t="s">
        <v>156</v>
      </c>
      <c r="C33" s="94">
        <f>71.19*(1/23)</f>
        <v>3.0952173913043475</v>
      </c>
      <c r="D33" s="95" t="s">
        <v>113</v>
      </c>
      <c r="E33" s="95">
        <v>1</v>
      </c>
      <c r="F33" s="40">
        <f>C33*E33</f>
        <v>3.0952173913043475</v>
      </c>
      <c r="G33" s="43" t="s">
        <v>85</v>
      </c>
      <c r="H33" s="40">
        <v>0.42</v>
      </c>
      <c r="I33" s="41" t="s">
        <v>113</v>
      </c>
      <c r="J33" s="48">
        <v>1</v>
      </c>
      <c r="K33" s="47">
        <f>H33*J33</f>
        <v>0.42</v>
      </c>
      <c r="L33" s="51">
        <v>1</v>
      </c>
      <c r="M33" s="77">
        <f>H33*L33</f>
        <v>0.42</v>
      </c>
      <c r="N33" s="46">
        <v>1</v>
      </c>
      <c r="O33" s="47">
        <f>H33*N33</f>
        <v>0.42</v>
      </c>
      <c r="P33" s="41">
        <v>1</v>
      </c>
      <c r="Q33" s="47">
        <f>H33*P33</f>
        <v>0.42</v>
      </c>
      <c r="R33" s="41" t="s">
        <v>85</v>
      </c>
    </row>
    <row r="34" spans="2:18">
      <c r="B34" s="20" t="s">
        <v>157</v>
      </c>
      <c r="C34" s="94">
        <f>93/23</f>
        <v>4.0434782608695654</v>
      </c>
      <c r="D34" s="95" t="s">
        <v>113</v>
      </c>
      <c r="E34" s="95">
        <v>1</v>
      </c>
      <c r="F34" s="40">
        <f>C34*E34</f>
        <v>4.0434782608695654</v>
      </c>
      <c r="G34" s="43" t="s">
        <v>85</v>
      </c>
      <c r="H34" s="40">
        <v>0.16</v>
      </c>
      <c r="I34" s="41" t="s">
        <v>113</v>
      </c>
      <c r="J34" s="48">
        <v>1</v>
      </c>
      <c r="K34" s="47">
        <f>H34*J34</f>
        <v>0.16</v>
      </c>
      <c r="L34" s="51">
        <v>1</v>
      </c>
      <c r="M34" s="77">
        <f>H34*L34</f>
        <v>0.16</v>
      </c>
      <c r="N34" s="46">
        <v>1</v>
      </c>
      <c r="O34" s="47">
        <f>H34*N34</f>
        <v>0.16</v>
      </c>
      <c r="P34" s="41">
        <v>1</v>
      </c>
      <c r="Q34" s="47">
        <f>H34*P34</f>
        <v>0.16</v>
      </c>
      <c r="R34" s="41" t="s">
        <v>85</v>
      </c>
    </row>
    <row r="35" spans="2:18">
      <c r="B35" s="53" t="s">
        <v>117</v>
      </c>
      <c r="C35" s="103"/>
      <c r="D35" s="104"/>
      <c r="E35" s="104"/>
      <c r="F35" s="55">
        <f>SUM(F9:F34)</f>
        <v>1708.6122101449278</v>
      </c>
      <c r="G35" s="76"/>
      <c r="H35" s="71"/>
      <c r="I35" s="71"/>
      <c r="J35" s="75"/>
      <c r="K35" s="60">
        <f>SUM(K9:K34)</f>
        <v>517.18416666666656</v>
      </c>
      <c r="L35" s="74"/>
      <c r="M35" s="73">
        <f>SUM(M9:M34)</f>
        <v>743.00383333333309</v>
      </c>
      <c r="N35" s="72"/>
      <c r="O35" s="60">
        <f>SUM(O9:O34)</f>
        <v>483.12923333333339</v>
      </c>
      <c r="P35" s="71"/>
      <c r="Q35" s="60">
        <f>SUM(Q9:Q34)</f>
        <v>166.36633333333327</v>
      </c>
      <c r="R35" s="71"/>
    </row>
    <row r="36" spans="2:18" ht="8" customHeight="1">
      <c r="B36" s="11"/>
      <c r="C36" s="100"/>
      <c r="D36" s="101"/>
      <c r="E36" s="101"/>
      <c r="F36" s="61"/>
      <c r="G36" s="63"/>
      <c r="H36" s="62"/>
      <c r="I36" s="62"/>
      <c r="J36" s="62"/>
      <c r="K36" s="61"/>
      <c r="L36" s="61"/>
      <c r="M36" s="61"/>
      <c r="N36" s="62"/>
      <c r="O36" s="61"/>
      <c r="P36" s="61"/>
      <c r="Q36" s="61"/>
      <c r="R36" s="62"/>
    </row>
    <row r="37" spans="2:18" ht="19">
      <c r="B37" s="2" t="s">
        <v>140</v>
      </c>
      <c r="J37" s="34"/>
      <c r="K37" s="38"/>
      <c r="N37" s="37"/>
      <c r="O37" s="38"/>
      <c r="P37"/>
      <c r="Q37" s="38"/>
    </row>
    <row r="38" spans="2:18">
      <c r="B38" s="39" t="s">
        <v>82</v>
      </c>
      <c r="J38" s="34"/>
      <c r="K38" s="38"/>
      <c r="N38" s="37"/>
      <c r="O38" s="38"/>
      <c r="P38"/>
      <c r="Q38" s="38"/>
    </row>
    <row r="39" spans="2:18">
      <c r="B39" s="20" t="s">
        <v>83</v>
      </c>
      <c r="C39" s="94">
        <v>37.299999999999997</v>
      </c>
      <c r="D39" s="95" t="s">
        <v>84</v>
      </c>
      <c r="E39" s="96">
        <f>(45+15+15+20)/60</f>
        <v>1.5833333333333333</v>
      </c>
      <c r="F39" s="40">
        <f t="shared" ref="F39:F44" si="10">C39*E39</f>
        <v>59.058333333333323</v>
      </c>
      <c r="G39" s="43" t="s">
        <v>85</v>
      </c>
      <c r="H39" s="44">
        <v>37.299999999999997</v>
      </c>
      <c r="I39" s="43" t="s">
        <v>84</v>
      </c>
      <c r="J39" s="42">
        <f>E39</f>
        <v>1.5833333333333333</v>
      </c>
      <c r="K39" s="47">
        <f t="shared" ref="K39:K44" si="11">H39*J39</f>
        <v>59.058333333333323</v>
      </c>
      <c r="L39" s="79">
        <f>(40+25+15)/60</f>
        <v>1.3333333333333333</v>
      </c>
      <c r="M39" s="77">
        <f t="shared" ref="M39:M68" si="12">H39*L39</f>
        <v>49.733333333333327</v>
      </c>
      <c r="N39" s="66">
        <f>(30+20+15+30)/60</f>
        <v>1.5833333333333333</v>
      </c>
      <c r="O39" s="47">
        <f t="shared" ref="O39:O44" si="13">H39*N39</f>
        <v>59.058333333333323</v>
      </c>
      <c r="P39" s="66">
        <f>(30+20+15+30)/60</f>
        <v>1.5833333333333333</v>
      </c>
      <c r="Q39" s="47">
        <f t="shared" ref="Q39:Q44" si="14">H39*P39</f>
        <v>59.058333333333323</v>
      </c>
      <c r="R39" s="41" t="s">
        <v>86</v>
      </c>
    </row>
    <row r="40" spans="2:18">
      <c r="B40" s="20" t="s">
        <v>87</v>
      </c>
      <c r="C40" s="94">
        <v>8.4</v>
      </c>
      <c r="D40" s="95" t="s">
        <v>84</v>
      </c>
      <c r="E40" s="97">
        <f>(60+50+35+40+25+120)/60</f>
        <v>5.5</v>
      </c>
      <c r="F40" s="40">
        <f t="shared" si="10"/>
        <v>46.2</v>
      </c>
      <c r="G40" s="43" t="s">
        <v>85</v>
      </c>
      <c r="H40" s="44">
        <v>4.2</v>
      </c>
      <c r="I40" s="43" t="s">
        <v>84</v>
      </c>
      <c r="J40" s="49">
        <f>E40</f>
        <v>5.5</v>
      </c>
      <c r="K40" s="47">
        <f t="shared" si="11"/>
        <v>23.1</v>
      </c>
      <c r="L40" s="78">
        <f>(40+25+45)/60</f>
        <v>1.8333333333333333</v>
      </c>
      <c r="M40" s="77">
        <f t="shared" si="12"/>
        <v>7.7</v>
      </c>
      <c r="N40" s="66">
        <f>(40+35+20+20)/60</f>
        <v>1.9166666666666667</v>
      </c>
      <c r="O40" s="47">
        <f t="shared" si="13"/>
        <v>8.0500000000000007</v>
      </c>
      <c r="P40" s="66">
        <f>(40+35+20+20)/60</f>
        <v>1.9166666666666667</v>
      </c>
      <c r="Q40" s="47">
        <f t="shared" si="14"/>
        <v>8.0500000000000007</v>
      </c>
      <c r="R40" s="41" t="s">
        <v>86</v>
      </c>
    </row>
    <row r="41" spans="2:18">
      <c r="B41" s="20" t="s">
        <v>88</v>
      </c>
      <c r="C41" s="94">
        <v>6.5</v>
      </c>
      <c r="D41" s="95" t="s">
        <v>84</v>
      </c>
      <c r="E41" s="96">
        <f>(45+25+60)/60</f>
        <v>2.1666666666666665</v>
      </c>
      <c r="F41" s="40">
        <f t="shared" si="10"/>
        <v>14.083333333333332</v>
      </c>
      <c r="G41" s="43" t="s">
        <v>85</v>
      </c>
      <c r="H41" s="44">
        <v>3.26</v>
      </c>
      <c r="I41" s="43" t="s">
        <v>84</v>
      </c>
      <c r="J41" s="42">
        <f>E41</f>
        <v>2.1666666666666665</v>
      </c>
      <c r="K41" s="47">
        <f t="shared" si="11"/>
        <v>7.0633333333333326</v>
      </c>
      <c r="L41" s="78">
        <f>(55+25+45)/60</f>
        <v>2.0833333333333335</v>
      </c>
      <c r="M41" s="77">
        <f t="shared" si="12"/>
        <v>6.791666666666667</v>
      </c>
      <c r="N41" s="66">
        <f>(40+30+30+20)/60</f>
        <v>2</v>
      </c>
      <c r="O41" s="47">
        <f t="shared" si="13"/>
        <v>6.52</v>
      </c>
      <c r="P41" s="66">
        <f>(40+30+30+20)/60</f>
        <v>2</v>
      </c>
      <c r="Q41" s="47">
        <f t="shared" si="14"/>
        <v>6.52</v>
      </c>
      <c r="R41" s="41" t="s">
        <v>86</v>
      </c>
    </row>
    <row r="42" spans="2:18">
      <c r="B42" s="20" t="s">
        <v>89</v>
      </c>
      <c r="C42" s="94">
        <v>19.93</v>
      </c>
      <c r="D42" s="95" t="s">
        <v>84</v>
      </c>
      <c r="E42" s="95">
        <v>0</v>
      </c>
      <c r="F42" s="40">
        <f t="shared" si="10"/>
        <v>0</v>
      </c>
      <c r="G42" s="43" t="s">
        <v>85</v>
      </c>
      <c r="H42" s="44">
        <v>19.93</v>
      </c>
      <c r="I42" s="41" t="s">
        <v>84</v>
      </c>
      <c r="J42" s="48">
        <v>0.65</v>
      </c>
      <c r="K42" s="47">
        <f t="shared" si="11"/>
        <v>12.954499999999999</v>
      </c>
      <c r="L42" s="51">
        <v>0.65</v>
      </c>
      <c r="M42" s="77">
        <f t="shared" si="12"/>
        <v>12.954499999999999</v>
      </c>
      <c r="N42" s="46">
        <v>0.25</v>
      </c>
      <c r="O42" s="47">
        <f t="shared" si="13"/>
        <v>4.9824999999999999</v>
      </c>
      <c r="P42" s="46">
        <v>0</v>
      </c>
      <c r="Q42" s="47">
        <f t="shared" si="14"/>
        <v>0</v>
      </c>
      <c r="R42" s="41" t="s">
        <v>86</v>
      </c>
    </row>
    <row r="43" spans="2:18">
      <c r="B43" s="20" t="s">
        <v>90</v>
      </c>
      <c r="C43" s="94">
        <v>5.6</v>
      </c>
      <c r="D43" s="95" t="s">
        <v>84</v>
      </c>
      <c r="E43" s="95">
        <v>0</v>
      </c>
      <c r="F43" s="40">
        <f t="shared" si="10"/>
        <v>0</v>
      </c>
      <c r="G43" s="43" t="s">
        <v>85</v>
      </c>
      <c r="H43" s="44">
        <v>3.26</v>
      </c>
      <c r="I43" s="41" t="s">
        <v>84</v>
      </c>
      <c r="J43" s="48">
        <v>0.75</v>
      </c>
      <c r="K43" s="47">
        <f t="shared" si="11"/>
        <v>2.4449999999999998</v>
      </c>
      <c r="L43" s="51">
        <v>0.75</v>
      </c>
      <c r="M43" s="77">
        <f t="shared" si="12"/>
        <v>2.4449999999999998</v>
      </c>
      <c r="N43" s="46">
        <v>0.75</v>
      </c>
      <c r="O43" s="47">
        <f t="shared" si="13"/>
        <v>2.4449999999999998</v>
      </c>
      <c r="P43" s="46">
        <v>0</v>
      </c>
      <c r="Q43" s="47">
        <f t="shared" si="14"/>
        <v>0</v>
      </c>
      <c r="R43" s="41" t="s">
        <v>86</v>
      </c>
    </row>
    <row r="44" spans="2:18">
      <c r="B44" s="20" t="s">
        <v>91</v>
      </c>
      <c r="C44" s="94">
        <v>3.85</v>
      </c>
      <c r="D44" s="95" t="s">
        <v>84</v>
      </c>
      <c r="E44" s="97">
        <v>1.3333333333333333</v>
      </c>
      <c r="F44" s="40">
        <f t="shared" si="10"/>
        <v>5.1333333333333329</v>
      </c>
      <c r="G44" s="43" t="s">
        <v>85</v>
      </c>
      <c r="H44" s="44">
        <v>1.93</v>
      </c>
      <c r="I44" s="41" t="s">
        <v>84</v>
      </c>
      <c r="J44" s="50">
        <v>1.3333333333333333</v>
      </c>
      <c r="K44" s="47">
        <f t="shared" si="11"/>
        <v>2.5733333333333333</v>
      </c>
      <c r="L44" s="78">
        <f>(10+10+5*6)/60</f>
        <v>0.83333333333333337</v>
      </c>
      <c r="M44" s="77">
        <f t="shared" si="12"/>
        <v>1.6083333333333334</v>
      </c>
      <c r="N44" s="46">
        <f>N14</f>
        <v>0.6</v>
      </c>
      <c r="O44" s="47">
        <f t="shared" si="13"/>
        <v>1.1579999999999999</v>
      </c>
      <c r="P44" s="46">
        <f>N14</f>
        <v>0.6</v>
      </c>
      <c r="Q44" s="47">
        <f t="shared" si="14"/>
        <v>1.1579999999999999</v>
      </c>
      <c r="R44" s="41" t="s">
        <v>86</v>
      </c>
    </row>
    <row r="45" spans="2:18">
      <c r="B45" s="39" t="s">
        <v>92</v>
      </c>
      <c r="C45" s="94"/>
      <c r="D45" s="95"/>
      <c r="E45" s="95"/>
      <c r="F45" s="40"/>
      <c r="G45" s="43"/>
      <c r="H45" s="41"/>
      <c r="I45" s="41"/>
      <c r="J45" s="48"/>
      <c r="K45" s="47"/>
      <c r="L45" s="51"/>
      <c r="M45" s="77">
        <f t="shared" si="12"/>
        <v>0</v>
      </c>
      <c r="N45" s="46"/>
      <c r="O45" s="47"/>
      <c r="P45" s="41"/>
      <c r="Q45" s="47"/>
      <c r="R45" s="41"/>
    </row>
    <row r="46" spans="2:18">
      <c r="B46" s="20" t="s">
        <v>93</v>
      </c>
      <c r="C46" s="94">
        <v>9.7100000000000009</v>
      </c>
      <c r="D46" s="95" t="s">
        <v>94</v>
      </c>
      <c r="E46" s="95">
        <v>0</v>
      </c>
      <c r="F46" s="40">
        <f>C46*E46</f>
        <v>0</v>
      </c>
      <c r="G46" s="43" t="s">
        <v>95</v>
      </c>
      <c r="H46" s="44">
        <v>9.7100000000000009</v>
      </c>
      <c r="I46" s="41" t="s">
        <v>94</v>
      </c>
      <c r="J46" s="48">
        <v>0</v>
      </c>
      <c r="K46" s="47">
        <f>H46*J46</f>
        <v>0</v>
      </c>
      <c r="L46" s="51">
        <f>8*0.28</f>
        <v>2.2400000000000002</v>
      </c>
      <c r="M46" s="77">
        <f t="shared" si="12"/>
        <v>21.750400000000003</v>
      </c>
      <c r="N46" s="46">
        <f>14*0.28</f>
        <v>3.9200000000000004</v>
      </c>
      <c r="O46" s="47">
        <f>H46*N46</f>
        <v>38.063200000000009</v>
      </c>
      <c r="P46" s="41">
        <v>0</v>
      </c>
      <c r="Q46" s="47">
        <f>H46*P46</f>
        <v>0</v>
      </c>
      <c r="R46" s="41" t="s">
        <v>96</v>
      </c>
    </row>
    <row r="47" spans="2:18">
      <c r="B47" s="20" t="s">
        <v>97</v>
      </c>
      <c r="C47" s="94">
        <v>33.04</v>
      </c>
      <c r="D47" s="95" t="s">
        <v>94</v>
      </c>
      <c r="E47" s="95">
        <v>0</v>
      </c>
      <c r="F47" s="40">
        <f>C47*E47</f>
        <v>0</v>
      </c>
      <c r="G47" s="43" t="s">
        <v>98</v>
      </c>
      <c r="H47" s="44">
        <v>33</v>
      </c>
      <c r="I47" s="41" t="s">
        <v>94</v>
      </c>
      <c r="J47" s="48">
        <v>0</v>
      </c>
      <c r="K47" s="47">
        <f>H47*J47</f>
        <v>0</v>
      </c>
      <c r="L47" s="51">
        <f>8*0.28</f>
        <v>2.2400000000000002</v>
      </c>
      <c r="M47" s="77">
        <f t="shared" si="12"/>
        <v>73.92</v>
      </c>
      <c r="N47" s="46">
        <f>14*0.28</f>
        <v>3.9200000000000004</v>
      </c>
      <c r="O47" s="47">
        <f>H47*N47</f>
        <v>129.36000000000001</v>
      </c>
      <c r="P47" s="41">
        <v>0</v>
      </c>
      <c r="Q47" s="47">
        <f>H47*P47</f>
        <v>0</v>
      </c>
      <c r="R47" s="41" t="s">
        <v>98</v>
      </c>
    </row>
    <row r="48" spans="2:18">
      <c r="B48" s="39" t="s">
        <v>125</v>
      </c>
      <c r="F48" s="40"/>
      <c r="H48" s="44"/>
      <c r="I48" s="41"/>
      <c r="J48" s="34"/>
      <c r="K48" s="47"/>
      <c r="L48" s="35"/>
      <c r="M48" s="77">
        <f t="shared" si="12"/>
        <v>0</v>
      </c>
      <c r="N48" s="37"/>
      <c r="O48" s="40"/>
      <c r="P48" s="46"/>
      <c r="Q48" s="40"/>
      <c r="R48" s="37"/>
    </row>
    <row r="49" spans="2:20">
      <c r="B49" s="68" t="s">
        <v>126</v>
      </c>
      <c r="C49" s="94">
        <v>36.700000000000003</v>
      </c>
      <c r="D49" s="95" t="s">
        <v>127</v>
      </c>
      <c r="E49" s="95">
        <v>4</v>
      </c>
      <c r="F49" s="40">
        <f>C49*E49</f>
        <v>146.80000000000001</v>
      </c>
      <c r="G49" s="43" t="s">
        <v>85</v>
      </c>
      <c r="H49" s="40">
        <v>23</v>
      </c>
      <c r="I49" s="41" t="s">
        <v>127</v>
      </c>
      <c r="J49" s="48">
        <v>4</v>
      </c>
      <c r="K49" s="47">
        <f>H49*J49</f>
        <v>92</v>
      </c>
      <c r="L49" s="51">
        <v>4</v>
      </c>
      <c r="M49" s="77">
        <f t="shared" si="12"/>
        <v>92</v>
      </c>
      <c r="N49" s="46">
        <v>3</v>
      </c>
      <c r="O49" s="40">
        <f>H49*N49</f>
        <v>69</v>
      </c>
      <c r="P49" s="46">
        <v>3</v>
      </c>
      <c r="Q49" s="40">
        <f>H49*P49</f>
        <v>69</v>
      </c>
      <c r="R49" s="46" t="s">
        <v>85</v>
      </c>
    </row>
    <row r="50" spans="2:20">
      <c r="B50" s="68" t="s">
        <v>128</v>
      </c>
      <c r="C50" s="94">
        <v>16.350000000000001</v>
      </c>
      <c r="D50" s="95" t="s">
        <v>127</v>
      </c>
      <c r="E50" s="95">
        <v>4</v>
      </c>
      <c r="F50" s="40">
        <f>C50*E50</f>
        <v>65.400000000000006</v>
      </c>
      <c r="G50" s="43" t="s">
        <v>85</v>
      </c>
      <c r="H50" s="40">
        <v>16.350000000000001</v>
      </c>
      <c r="I50" s="41" t="s">
        <v>127</v>
      </c>
      <c r="J50" s="48">
        <v>4</v>
      </c>
      <c r="K50" s="47">
        <f>H50*J50</f>
        <v>65.400000000000006</v>
      </c>
      <c r="L50" s="51">
        <v>4</v>
      </c>
      <c r="M50" s="77">
        <f t="shared" si="12"/>
        <v>65.400000000000006</v>
      </c>
      <c r="N50" s="46">
        <v>3</v>
      </c>
      <c r="O50" s="40">
        <f>H50*N50</f>
        <v>49.050000000000004</v>
      </c>
      <c r="P50" s="46">
        <v>3</v>
      </c>
      <c r="Q50" s="40">
        <f>H50*P50</f>
        <v>49.050000000000004</v>
      </c>
      <c r="R50" s="46" t="s">
        <v>85</v>
      </c>
    </row>
    <row r="51" spans="2:20">
      <c r="B51" s="68" t="s">
        <v>129</v>
      </c>
      <c r="C51" s="94">
        <v>35.18</v>
      </c>
      <c r="D51" s="95" t="s">
        <v>127</v>
      </c>
      <c r="E51" s="95">
        <v>4</v>
      </c>
      <c r="F51" s="40">
        <f>C51*E51</f>
        <v>140.72</v>
      </c>
      <c r="G51" s="43" t="s">
        <v>85</v>
      </c>
      <c r="H51" s="40">
        <v>35.18</v>
      </c>
      <c r="I51" s="41" t="s">
        <v>127</v>
      </c>
      <c r="J51" s="48">
        <v>4</v>
      </c>
      <c r="K51" s="47">
        <f>H51*J51</f>
        <v>140.72</v>
      </c>
      <c r="L51" s="51">
        <v>4</v>
      </c>
      <c r="M51" s="77">
        <f t="shared" si="12"/>
        <v>140.72</v>
      </c>
      <c r="N51" s="46">
        <v>3</v>
      </c>
      <c r="O51" s="40">
        <f>H51*N51</f>
        <v>105.53999999999999</v>
      </c>
      <c r="P51" s="46">
        <v>3</v>
      </c>
      <c r="Q51" s="40">
        <f>H51*P51</f>
        <v>105.53999999999999</v>
      </c>
      <c r="R51" s="46" t="s">
        <v>85</v>
      </c>
    </row>
    <row r="52" spans="2:20">
      <c r="B52" s="68" t="s">
        <v>130</v>
      </c>
      <c r="C52" s="94">
        <v>20</v>
      </c>
      <c r="D52" s="95" t="s">
        <v>127</v>
      </c>
      <c r="E52" s="95">
        <v>4</v>
      </c>
      <c r="F52" s="40">
        <f>C52*E52</f>
        <v>80</v>
      </c>
      <c r="G52" s="43" t="s">
        <v>85</v>
      </c>
      <c r="H52" s="40">
        <v>20</v>
      </c>
      <c r="I52" s="41" t="s">
        <v>127</v>
      </c>
      <c r="J52" s="48">
        <v>4</v>
      </c>
      <c r="K52" s="47">
        <f>H52*J52</f>
        <v>80</v>
      </c>
      <c r="L52" s="51">
        <v>4</v>
      </c>
      <c r="M52" s="77">
        <f t="shared" si="12"/>
        <v>80</v>
      </c>
      <c r="N52" s="46">
        <v>3</v>
      </c>
      <c r="O52" s="40">
        <f>H52*N52</f>
        <v>60</v>
      </c>
      <c r="P52" s="46">
        <v>3</v>
      </c>
      <c r="Q52" s="40">
        <f>H52*P52</f>
        <v>60</v>
      </c>
      <c r="R52" s="46" t="s">
        <v>85</v>
      </c>
    </row>
    <row r="53" spans="2:20">
      <c r="B53" s="39" t="s">
        <v>99</v>
      </c>
      <c r="C53" s="94"/>
      <c r="D53" s="95"/>
      <c r="E53" s="95"/>
      <c r="F53" s="40"/>
      <c r="G53" s="43"/>
      <c r="H53" s="41"/>
      <c r="I53" s="41"/>
      <c r="J53" s="48"/>
      <c r="K53" s="47"/>
      <c r="L53" s="51"/>
      <c r="M53" s="77">
        <f t="shared" si="12"/>
        <v>0</v>
      </c>
      <c r="N53" s="46"/>
      <c r="O53" s="47"/>
      <c r="P53" s="41"/>
      <c r="Q53" s="47"/>
      <c r="R53" s="41"/>
    </row>
    <row r="54" spans="2:20">
      <c r="B54" s="20" t="s">
        <v>100</v>
      </c>
      <c r="C54" s="94">
        <v>16.18</v>
      </c>
      <c r="D54" s="95" t="s">
        <v>101</v>
      </c>
      <c r="E54" s="95">
        <v>11</v>
      </c>
      <c r="F54" s="40">
        <f t="shared" ref="F54:F62" si="15">C54*E54</f>
        <v>177.98</v>
      </c>
      <c r="G54" s="43" t="s">
        <v>85</v>
      </c>
      <c r="H54" s="44">
        <v>4.16</v>
      </c>
      <c r="I54" s="41" t="s">
        <v>101</v>
      </c>
      <c r="J54" s="48">
        <v>11</v>
      </c>
      <c r="K54" s="47">
        <f t="shared" ref="K54:K62" si="16">H54*J54</f>
        <v>45.760000000000005</v>
      </c>
      <c r="L54" s="51">
        <v>5</v>
      </c>
      <c r="M54" s="77">
        <f t="shared" si="12"/>
        <v>20.8</v>
      </c>
      <c r="N54" s="46">
        <v>5</v>
      </c>
      <c r="O54" s="47">
        <f t="shared" ref="O54:O61" si="17">H54*N54</f>
        <v>20.8</v>
      </c>
      <c r="P54" s="41">
        <v>3</v>
      </c>
      <c r="Q54" s="47">
        <f t="shared" ref="Q54:Q60" si="18">H54*P54</f>
        <v>12.48</v>
      </c>
      <c r="R54" s="41" t="s">
        <v>102</v>
      </c>
    </row>
    <row r="55" spans="2:20">
      <c r="B55" s="20" t="s">
        <v>103</v>
      </c>
      <c r="C55" s="94">
        <v>107.28</v>
      </c>
      <c r="D55" s="95" t="s">
        <v>101</v>
      </c>
      <c r="E55" s="95">
        <v>7</v>
      </c>
      <c r="F55" s="40">
        <f t="shared" si="15"/>
        <v>750.96</v>
      </c>
      <c r="G55" s="43" t="s">
        <v>85</v>
      </c>
      <c r="H55" s="44">
        <v>25.51</v>
      </c>
      <c r="I55" s="41" t="s">
        <v>101</v>
      </c>
      <c r="J55" s="48">
        <v>7</v>
      </c>
      <c r="K55" s="47">
        <f t="shared" si="16"/>
        <v>178.57000000000002</v>
      </c>
      <c r="L55" s="51">
        <v>4</v>
      </c>
      <c r="M55" s="77">
        <f t="shared" si="12"/>
        <v>102.04</v>
      </c>
      <c r="N55" s="46">
        <v>4</v>
      </c>
      <c r="O55" s="47">
        <f t="shared" si="17"/>
        <v>102.04</v>
      </c>
      <c r="P55" s="41">
        <v>2</v>
      </c>
      <c r="Q55" s="47">
        <f t="shared" si="18"/>
        <v>51.02</v>
      </c>
      <c r="R55" s="41" t="s">
        <v>102</v>
      </c>
    </row>
    <row r="56" spans="2:20">
      <c r="B56" s="20" t="s">
        <v>104</v>
      </c>
      <c r="C56" s="94">
        <v>32.89</v>
      </c>
      <c r="D56" s="95" t="s">
        <v>101</v>
      </c>
      <c r="E56" s="95">
        <v>1.5</v>
      </c>
      <c r="F56" s="40">
        <f t="shared" si="15"/>
        <v>49.335000000000001</v>
      </c>
      <c r="G56" s="43" t="s">
        <v>85</v>
      </c>
      <c r="H56" s="40">
        <v>21.43</v>
      </c>
      <c r="I56" s="41" t="s">
        <v>101</v>
      </c>
      <c r="J56" s="48">
        <v>1.5</v>
      </c>
      <c r="K56" s="47">
        <f t="shared" si="16"/>
        <v>32.144999999999996</v>
      </c>
      <c r="L56" s="51">
        <v>1.5</v>
      </c>
      <c r="M56" s="77">
        <f t="shared" si="12"/>
        <v>32.144999999999996</v>
      </c>
      <c r="N56" s="46">
        <v>0</v>
      </c>
      <c r="O56" s="47">
        <f t="shared" si="17"/>
        <v>0</v>
      </c>
      <c r="P56" s="41">
        <v>0</v>
      </c>
      <c r="Q56" s="47">
        <f t="shared" si="18"/>
        <v>0</v>
      </c>
      <c r="R56" s="41" t="s">
        <v>85</v>
      </c>
    </row>
    <row r="57" spans="2:20">
      <c r="B57" s="20" t="s">
        <v>105</v>
      </c>
      <c r="C57" s="94">
        <v>25.03</v>
      </c>
      <c r="D57" s="95" t="s">
        <v>101</v>
      </c>
      <c r="E57" s="95">
        <v>1.5</v>
      </c>
      <c r="F57" s="40">
        <f t="shared" si="15"/>
        <v>37.545000000000002</v>
      </c>
      <c r="G57" s="43" t="s">
        <v>85</v>
      </c>
      <c r="H57" s="40">
        <v>7.74</v>
      </c>
      <c r="I57" s="41" t="s">
        <v>101</v>
      </c>
      <c r="J57" s="48">
        <v>1.5</v>
      </c>
      <c r="K57" s="47">
        <f t="shared" si="16"/>
        <v>11.61</v>
      </c>
      <c r="L57" s="51">
        <v>1.5</v>
      </c>
      <c r="M57" s="77">
        <f t="shared" si="12"/>
        <v>11.61</v>
      </c>
      <c r="N57" s="46">
        <v>0</v>
      </c>
      <c r="O57" s="47">
        <f t="shared" si="17"/>
        <v>0</v>
      </c>
      <c r="P57" s="41">
        <v>0</v>
      </c>
      <c r="Q57" s="47">
        <f t="shared" si="18"/>
        <v>0</v>
      </c>
      <c r="R57" s="41" t="s">
        <v>85</v>
      </c>
    </row>
    <row r="58" spans="2:20">
      <c r="B58" s="20" t="s">
        <v>106</v>
      </c>
      <c r="C58" s="94">
        <v>3.88</v>
      </c>
      <c r="D58" s="95" t="s">
        <v>101</v>
      </c>
      <c r="E58" s="95">
        <v>1.5</v>
      </c>
      <c r="F58" s="40">
        <f t="shared" si="15"/>
        <v>5.82</v>
      </c>
      <c r="G58" s="43" t="s">
        <v>85</v>
      </c>
      <c r="H58" s="44">
        <v>3.34</v>
      </c>
      <c r="I58" s="41" t="s">
        <v>101</v>
      </c>
      <c r="J58" s="48">
        <v>1.5</v>
      </c>
      <c r="K58" s="47">
        <f t="shared" si="16"/>
        <v>5.01</v>
      </c>
      <c r="L58" s="51">
        <v>1.5</v>
      </c>
      <c r="M58" s="77">
        <f t="shared" si="12"/>
        <v>5.01</v>
      </c>
      <c r="N58" s="46">
        <v>1</v>
      </c>
      <c r="O58" s="47">
        <f t="shared" si="17"/>
        <v>3.34</v>
      </c>
      <c r="P58" s="41">
        <v>1</v>
      </c>
      <c r="Q58" s="47">
        <f t="shared" si="18"/>
        <v>3.34</v>
      </c>
      <c r="R58" s="41" t="s">
        <v>85</v>
      </c>
    </row>
    <row r="59" spans="2:20">
      <c r="B59" s="20" t="s">
        <v>107</v>
      </c>
      <c r="C59" s="94">
        <v>4.67</v>
      </c>
      <c r="D59" s="95" t="s">
        <v>101</v>
      </c>
      <c r="E59" s="95">
        <v>1.5</v>
      </c>
      <c r="F59" s="40">
        <f t="shared" si="15"/>
        <v>7.0049999999999999</v>
      </c>
      <c r="G59" s="43" t="s">
        <v>85</v>
      </c>
      <c r="H59" s="44">
        <v>3.52</v>
      </c>
      <c r="I59" s="41" t="s">
        <v>101</v>
      </c>
      <c r="J59" s="48">
        <v>1.5</v>
      </c>
      <c r="K59" s="47">
        <f t="shared" si="16"/>
        <v>5.28</v>
      </c>
      <c r="L59" s="51">
        <v>1.5</v>
      </c>
      <c r="M59" s="77">
        <f t="shared" si="12"/>
        <v>5.28</v>
      </c>
      <c r="N59" s="46">
        <v>0.5</v>
      </c>
      <c r="O59" s="47">
        <f t="shared" si="17"/>
        <v>1.76</v>
      </c>
      <c r="P59" s="41">
        <v>0.5</v>
      </c>
      <c r="Q59" s="47">
        <f t="shared" si="18"/>
        <v>1.76</v>
      </c>
      <c r="R59" s="41" t="s">
        <v>85</v>
      </c>
    </row>
    <row r="60" spans="2:20">
      <c r="B60" s="20" t="s">
        <v>108</v>
      </c>
      <c r="C60" s="94">
        <v>19.37</v>
      </c>
      <c r="D60" s="95" t="s">
        <v>101</v>
      </c>
      <c r="E60" s="95">
        <v>2</v>
      </c>
      <c r="F60" s="40">
        <f t="shared" si="15"/>
        <v>38.74</v>
      </c>
      <c r="G60" s="43" t="s">
        <v>109</v>
      </c>
      <c r="H60" s="44">
        <v>8.18</v>
      </c>
      <c r="I60" s="41" t="s">
        <v>101</v>
      </c>
      <c r="J60" s="48">
        <v>2</v>
      </c>
      <c r="K60" s="47">
        <f t="shared" si="16"/>
        <v>16.36</v>
      </c>
      <c r="L60" s="51">
        <v>2</v>
      </c>
      <c r="M60" s="77">
        <f t="shared" si="12"/>
        <v>16.36</v>
      </c>
      <c r="N60" s="46">
        <v>1</v>
      </c>
      <c r="O60" s="47">
        <f t="shared" si="17"/>
        <v>8.18</v>
      </c>
      <c r="P60" s="41">
        <v>0</v>
      </c>
      <c r="Q60" s="47">
        <f t="shared" si="18"/>
        <v>0</v>
      </c>
      <c r="R60" s="41" t="s">
        <v>102</v>
      </c>
    </row>
    <row r="61" spans="2:20">
      <c r="B61" s="20" t="s">
        <v>136</v>
      </c>
      <c r="C61" s="94">
        <v>13.52</v>
      </c>
      <c r="D61" s="95" t="s">
        <v>101</v>
      </c>
      <c r="E61" s="95">
        <v>2</v>
      </c>
      <c r="F61" s="40">
        <f t="shared" si="15"/>
        <v>27.04</v>
      </c>
      <c r="G61" s="43" t="s">
        <v>85</v>
      </c>
      <c r="H61" s="40">
        <v>4.1900000000000004</v>
      </c>
      <c r="I61" s="41" t="s">
        <v>101</v>
      </c>
      <c r="J61" s="48">
        <v>2</v>
      </c>
      <c r="K61" s="82">
        <f t="shared" si="16"/>
        <v>8.3800000000000008</v>
      </c>
      <c r="L61" s="48"/>
      <c r="M61" s="40"/>
      <c r="N61" s="81">
        <v>2</v>
      </c>
      <c r="O61" s="40">
        <f t="shared" si="17"/>
        <v>8.3800000000000008</v>
      </c>
      <c r="P61" s="46">
        <v>2</v>
      </c>
      <c r="Q61" s="47">
        <f>H61*P61</f>
        <v>8.3800000000000008</v>
      </c>
      <c r="R61" s="41" t="s">
        <v>150</v>
      </c>
      <c r="S61" s="47"/>
      <c r="T61" s="41"/>
    </row>
    <row r="62" spans="2:20">
      <c r="B62" s="20" t="s">
        <v>110</v>
      </c>
      <c r="C62" s="94">
        <v>1.8</v>
      </c>
      <c r="D62" s="95" t="s">
        <v>101</v>
      </c>
      <c r="E62" s="95">
        <v>8</v>
      </c>
      <c r="F62" s="40">
        <f t="shared" si="15"/>
        <v>14.4</v>
      </c>
      <c r="G62" s="43" t="s">
        <v>85</v>
      </c>
      <c r="H62" s="40">
        <v>1.44</v>
      </c>
      <c r="I62" s="41" t="s">
        <v>101</v>
      </c>
      <c r="J62" s="48">
        <v>8</v>
      </c>
      <c r="K62" s="47">
        <f t="shared" si="16"/>
        <v>11.52</v>
      </c>
      <c r="L62" s="51">
        <v>5</v>
      </c>
      <c r="M62" s="77">
        <f t="shared" si="12"/>
        <v>7.1999999999999993</v>
      </c>
      <c r="N62" s="46">
        <v>3</v>
      </c>
      <c r="O62" s="47">
        <f>H62*N62</f>
        <v>4.32</v>
      </c>
      <c r="P62" s="41">
        <v>1.5</v>
      </c>
      <c r="Q62" s="47">
        <f>H62*P62</f>
        <v>2.16</v>
      </c>
      <c r="R62" s="41" t="s">
        <v>85</v>
      </c>
    </row>
    <row r="63" spans="2:20">
      <c r="B63" s="39" t="s">
        <v>111</v>
      </c>
      <c r="C63" s="94"/>
      <c r="D63" s="95"/>
      <c r="E63" s="95"/>
      <c r="F63" s="40"/>
      <c r="G63" s="43"/>
      <c r="H63" s="41"/>
      <c r="I63" s="41"/>
      <c r="J63" s="48"/>
      <c r="K63" s="47"/>
      <c r="L63" s="51"/>
      <c r="M63" s="77">
        <f t="shared" si="12"/>
        <v>0</v>
      </c>
      <c r="N63" s="46"/>
      <c r="O63" s="47"/>
      <c r="P63" s="41"/>
      <c r="Q63" s="47"/>
      <c r="R63" s="41"/>
    </row>
    <row r="64" spans="2:20">
      <c r="B64" s="20" t="s">
        <v>112</v>
      </c>
      <c r="C64" s="94">
        <f>C30</f>
        <v>153.56521739130434</v>
      </c>
      <c r="D64" s="95" t="s">
        <v>113</v>
      </c>
      <c r="E64" s="95">
        <v>1</v>
      </c>
      <c r="F64" s="40">
        <f>C64*E64</f>
        <v>153.56521739130434</v>
      </c>
      <c r="G64" s="43" t="s">
        <v>85</v>
      </c>
      <c r="H64" s="40">
        <v>3</v>
      </c>
      <c r="I64" s="41" t="s">
        <v>113</v>
      </c>
      <c r="J64" s="48">
        <v>1</v>
      </c>
      <c r="K64" s="47">
        <f>H64*J64</f>
        <v>3</v>
      </c>
      <c r="L64" s="51">
        <v>1</v>
      </c>
      <c r="M64" s="77">
        <f t="shared" si="12"/>
        <v>3</v>
      </c>
      <c r="N64" s="46">
        <v>1</v>
      </c>
      <c r="O64" s="47">
        <f>H64*N64</f>
        <v>3</v>
      </c>
      <c r="P64" s="41">
        <v>1</v>
      </c>
      <c r="Q64" s="47">
        <f>H64*P64</f>
        <v>3</v>
      </c>
      <c r="R64" s="41" t="s">
        <v>85</v>
      </c>
    </row>
    <row r="65" spans="2:18">
      <c r="B65" s="20" t="s">
        <v>135</v>
      </c>
      <c r="C65" s="94">
        <f>25.74*(1/23)</f>
        <v>1.1191304347826085</v>
      </c>
      <c r="D65" s="95" t="s">
        <v>113</v>
      </c>
      <c r="E65" s="95">
        <v>1</v>
      </c>
      <c r="F65" s="40">
        <f>C65*E65</f>
        <v>1.1191304347826085</v>
      </c>
      <c r="G65" s="43" t="s">
        <v>85</v>
      </c>
      <c r="H65" s="40">
        <v>0.63</v>
      </c>
      <c r="I65" s="41" t="s">
        <v>113</v>
      </c>
      <c r="J65" s="48">
        <v>1</v>
      </c>
      <c r="K65" s="47">
        <f>H65*J65</f>
        <v>0.63</v>
      </c>
      <c r="L65" s="51">
        <v>1</v>
      </c>
      <c r="M65" s="77">
        <f t="shared" si="12"/>
        <v>0.63</v>
      </c>
      <c r="N65" s="46">
        <v>1</v>
      </c>
      <c r="O65" s="47">
        <f>H65*N65</f>
        <v>0.63</v>
      </c>
      <c r="P65" s="41">
        <v>1</v>
      </c>
      <c r="Q65" s="47">
        <f>H65*P65</f>
        <v>0.63</v>
      </c>
      <c r="R65" s="41" t="s">
        <v>85</v>
      </c>
    </row>
    <row r="66" spans="2:18">
      <c r="B66" s="20" t="s">
        <v>115</v>
      </c>
      <c r="C66" s="94">
        <f>C32</f>
        <v>211</v>
      </c>
      <c r="D66" s="95" t="s">
        <v>113</v>
      </c>
      <c r="E66" s="95">
        <v>1</v>
      </c>
      <c r="F66" s="40">
        <f>C66*E66</f>
        <v>211</v>
      </c>
      <c r="G66" s="43" t="s">
        <v>85</v>
      </c>
      <c r="H66" s="40">
        <v>8.23</v>
      </c>
      <c r="I66" s="41" t="s">
        <v>113</v>
      </c>
      <c r="J66" s="48">
        <v>1</v>
      </c>
      <c r="K66" s="47">
        <f>H66*J66</f>
        <v>8.23</v>
      </c>
      <c r="L66" s="51">
        <v>1</v>
      </c>
      <c r="M66" s="77">
        <f t="shared" si="12"/>
        <v>8.23</v>
      </c>
      <c r="N66" s="46">
        <v>1</v>
      </c>
      <c r="O66" s="47">
        <f>H66*N66</f>
        <v>8.23</v>
      </c>
      <c r="P66" s="41">
        <v>1</v>
      </c>
      <c r="Q66" s="47">
        <f>H66*P66</f>
        <v>8.23</v>
      </c>
      <c r="R66" s="41" t="s">
        <v>85</v>
      </c>
    </row>
    <row r="67" spans="2:18">
      <c r="B67" s="20" t="s">
        <v>156</v>
      </c>
      <c r="C67" s="94">
        <f>71.19*(1/23)</f>
        <v>3.0952173913043475</v>
      </c>
      <c r="D67" s="95" t="s">
        <v>113</v>
      </c>
      <c r="E67" s="95">
        <v>1</v>
      </c>
      <c r="F67" s="40">
        <f>C67*E67</f>
        <v>3.0952173913043475</v>
      </c>
      <c r="G67" s="43" t="s">
        <v>85</v>
      </c>
      <c r="H67" s="40">
        <v>0.42</v>
      </c>
      <c r="I67" s="41" t="s">
        <v>113</v>
      </c>
      <c r="J67" s="48">
        <v>1</v>
      </c>
      <c r="K67" s="47">
        <f>H67*J67</f>
        <v>0.42</v>
      </c>
      <c r="L67" s="51">
        <v>1</v>
      </c>
      <c r="M67" s="77">
        <f t="shared" si="12"/>
        <v>0.42</v>
      </c>
      <c r="N67" s="46">
        <v>1</v>
      </c>
      <c r="O67" s="47">
        <f>H67*N67</f>
        <v>0.42</v>
      </c>
      <c r="P67" s="41">
        <v>1</v>
      </c>
      <c r="Q67" s="47">
        <f>H67*P67</f>
        <v>0.42</v>
      </c>
      <c r="R67" s="41" t="s">
        <v>85</v>
      </c>
    </row>
    <row r="68" spans="2:18">
      <c r="B68" s="20" t="s">
        <v>157</v>
      </c>
      <c r="C68" s="94">
        <f>C34</f>
        <v>4.0434782608695654</v>
      </c>
      <c r="D68" s="95" t="s">
        <v>113</v>
      </c>
      <c r="E68" s="95">
        <v>1</v>
      </c>
      <c r="F68" s="40">
        <f>C68*E68</f>
        <v>4.0434782608695654</v>
      </c>
      <c r="G68" s="43" t="s">
        <v>85</v>
      </c>
      <c r="H68" s="40">
        <v>0.16</v>
      </c>
      <c r="I68" s="41" t="s">
        <v>113</v>
      </c>
      <c r="J68" s="48">
        <v>1</v>
      </c>
      <c r="K68" s="47">
        <f>H68*J68</f>
        <v>0.16</v>
      </c>
      <c r="L68" s="51">
        <v>1</v>
      </c>
      <c r="M68" s="77">
        <f t="shared" si="12"/>
        <v>0.16</v>
      </c>
      <c r="N68" s="46">
        <v>1</v>
      </c>
      <c r="O68" s="47">
        <f>H68*N68</f>
        <v>0.16</v>
      </c>
      <c r="P68" s="41">
        <v>1</v>
      </c>
      <c r="Q68" s="47">
        <f>H68*P68</f>
        <v>0.16</v>
      </c>
      <c r="R68" s="41" t="s">
        <v>85</v>
      </c>
    </row>
    <row r="69" spans="2:18">
      <c r="B69" s="53" t="s">
        <v>117</v>
      </c>
      <c r="C69" s="103"/>
      <c r="D69" s="104"/>
      <c r="E69" s="104"/>
      <c r="F69" s="55">
        <f>SUM(F39:F68)</f>
        <v>2039.0430434782611</v>
      </c>
      <c r="G69" s="76"/>
      <c r="H69" s="71"/>
      <c r="I69" s="71"/>
      <c r="J69" s="75"/>
      <c r="K69" s="60">
        <f>SUM(K39:K68)</f>
        <v>812.3895</v>
      </c>
      <c r="L69" s="74"/>
      <c r="M69" s="73">
        <f>SUM(M39:M68)</f>
        <v>767.90823333333321</v>
      </c>
      <c r="N69" s="72"/>
      <c r="O69" s="60">
        <f>SUM(O39:O68)</f>
        <v>694.48703333333322</v>
      </c>
      <c r="P69" s="71"/>
      <c r="Q69" s="60">
        <f>SUM(Q39:Q68)</f>
        <v>449.95633333333336</v>
      </c>
      <c r="R69" s="71"/>
    </row>
    <row r="70" spans="2:18" ht="8" customHeight="1">
      <c r="B70" s="11"/>
      <c r="C70" s="100"/>
      <c r="D70" s="101"/>
      <c r="E70" s="101"/>
      <c r="F70" s="61"/>
      <c r="G70" s="63"/>
      <c r="H70" s="62"/>
      <c r="I70" s="62"/>
      <c r="J70" s="62"/>
      <c r="K70" s="61"/>
      <c r="L70" s="64"/>
      <c r="M70" s="64"/>
      <c r="N70" s="62"/>
      <c r="O70" s="61"/>
      <c r="P70" s="61"/>
      <c r="Q70" s="61"/>
      <c r="R70" s="62"/>
    </row>
    <row r="71" spans="2:18" ht="19">
      <c r="B71" s="2" t="s">
        <v>139</v>
      </c>
      <c r="J71" s="34"/>
      <c r="K71" s="38"/>
      <c r="L71" s="36"/>
      <c r="M71" s="36"/>
      <c r="N71" s="37"/>
      <c r="O71" s="38"/>
      <c r="P71"/>
      <c r="Q71" s="38"/>
    </row>
    <row r="72" spans="2:18">
      <c r="B72" s="39" t="s">
        <v>82</v>
      </c>
      <c r="J72" s="34"/>
      <c r="K72" s="38"/>
      <c r="L72" s="36"/>
      <c r="M72" s="36"/>
      <c r="N72" s="37"/>
      <c r="O72" s="38"/>
      <c r="P72"/>
      <c r="Q72" s="38"/>
    </row>
    <row r="73" spans="2:18">
      <c r="B73" s="20" t="s">
        <v>83</v>
      </c>
      <c r="C73" s="94">
        <v>37.299999999999997</v>
      </c>
      <c r="D73" s="95" t="s">
        <v>84</v>
      </c>
      <c r="E73" s="96">
        <f>(45+25+25+20)/60</f>
        <v>1.9166666666666667</v>
      </c>
      <c r="F73" s="40">
        <f t="shared" ref="F73:F78" si="19">C73*E73</f>
        <v>71.49166666666666</v>
      </c>
      <c r="G73" s="43" t="s">
        <v>85</v>
      </c>
      <c r="H73" s="44">
        <v>37.299999999999997</v>
      </c>
      <c r="I73" s="43" t="s">
        <v>84</v>
      </c>
      <c r="J73" s="42">
        <f>E73</f>
        <v>1.9166666666666667</v>
      </c>
      <c r="K73" s="47">
        <f t="shared" ref="K73:K78" si="20">H73*J73</f>
        <v>71.49166666666666</v>
      </c>
      <c r="L73" s="79">
        <f>(40+25+15+20)/60</f>
        <v>1.6666666666666667</v>
      </c>
      <c r="M73" s="77">
        <f t="shared" ref="M73:M99" si="21">H73*L73</f>
        <v>62.166666666666664</v>
      </c>
      <c r="N73" s="46">
        <v>1</v>
      </c>
      <c r="O73" s="47">
        <f t="shared" ref="O73:O78" si="22">H73*N73</f>
        <v>37.299999999999997</v>
      </c>
      <c r="P73" s="46">
        <v>1</v>
      </c>
      <c r="Q73" s="47">
        <f t="shared" ref="Q73:Q78" si="23">H73*P73</f>
        <v>37.299999999999997</v>
      </c>
      <c r="R73" s="41" t="s">
        <v>86</v>
      </c>
    </row>
    <row r="74" spans="2:18">
      <c r="B74" s="20" t="s">
        <v>87</v>
      </c>
      <c r="C74" s="94">
        <v>8.4</v>
      </c>
      <c r="D74" s="95" t="s">
        <v>84</v>
      </c>
      <c r="E74" s="97">
        <f>(60+50+35+40+25+120)/60</f>
        <v>5.5</v>
      </c>
      <c r="F74" s="40">
        <f t="shared" si="19"/>
        <v>46.2</v>
      </c>
      <c r="G74" s="43" t="s">
        <v>85</v>
      </c>
      <c r="H74" s="44">
        <v>4.2</v>
      </c>
      <c r="I74" s="43" t="s">
        <v>84</v>
      </c>
      <c r="J74" s="49">
        <f>E74</f>
        <v>5.5</v>
      </c>
      <c r="K74" s="47">
        <f t="shared" si="20"/>
        <v>23.1</v>
      </c>
      <c r="L74" s="78">
        <f>(40+25+90)/60</f>
        <v>2.5833333333333335</v>
      </c>
      <c r="M74" s="77">
        <f t="shared" si="21"/>
        <v>10.850000000000001</v>
      </c>
      <c r="N74" s="46">
        <f>(40+55+20+20)/60</f>
        <v>2.25</v>
      </c>
      <c r="O74" s="47">
        <f t="shared" si="22"/>
        <v>9.4500000000000011</v>
      </c>
      <c r="P74" s="46">
        <f>(40+55+20+20)/60</f>
        <v>2.25</v>
      </c>
      <c r="Q74" s="47">
        <f t="shared" si="23"/>
        <v>9.4500000000000011</v>
      </c>
      <c r="R74" s="41" t="s">
        <v>86</v>
      </c>
    </row>
    <row r="75" spans="2:18">
      <c r="B75" s="20" t="s">
        <v>88</v>
      </c>
      <c r="C75" s="94">
        <v>6.5</v>
      </c>
      <c r="D75" s="95" t="s">
        <v>84</v>
      </c>
      <c r="E75" s="96">
        <f>(45+25+60)/60</f>
        <v>2.1666666666666665</v>
      </c>
      <c r="F75" s="40">
        <f t="shared" si="19"/>
        <v>14.083333333333332</v>
      </c>
      <c r="G75" s="43" t="s">
        <v>85</v>
      </c>
      <c r="H75" s="44">
        <v>3.26</v>
      </c>
      <c r="I75" s="43" t="s">
        <v>84</v>
      </c>
      <c r="J75" s="42">
        <f>E75</f>
        <v>2.1666666666666665</v>
      </c>
      <c r="K75" s="47">
        <f t="shared" si="20"/>
        <v>7.0633333333333326</v>
      </c>
      <c r="L75" s="78">
        <f>(55+25+90)/60</f>
        <v>2.8333333333333335</v>
      </c>
      <c r="M75" s="77">
        <f t="shared" si="21"/>
        <v>9.2366666666666664</v>
      </c>
      <c r="N75" s="66">
        <f>(40+20+20+20)/60</f>
        <v>1.6666666666666667</v>
      </c>
      <c r="O75" s="47">
        <f t="shared" si="22"/>
        <v>5.4333333333333336</v>
      </c>
      <c r="P75" s="66">
        <f>(40+20+20+20)/60</f>
        <v>1.6666666666666667</v>
      </c>
      <c r="Q75" s="47">
        <f t="shared" si="23"/>
        <v>5.4333333333333336</v>
      </c>
      <c r="R75" s="41" t="s">
        <v>86</v>
      </c>
    </row>
    <row r="76" spans="2:18">
      <c r="B76" s="20" t="s">
        <v>89</v>
      </c>
      <c r="C76" s="94">
        <v>19.93</v>
      </c>
      <c r="D76" s="95" t="s">
        <v>84</v>
      </c>
      <c r="E76" s="95">
        <v>0</v>
      </c>
      <c r="F76" s="40">
        <f t="shared" si="19"/>
        <v>0</v>
      </c>
      <c r="G76" s="43" t="s">
        <v>85</v>
      </c>
      <c r="H76" s="44">
        <v>19.93</v>
      </c>
      <c r="I76" s="43" t="s">
        <v>84</v>
      </c>
      <c r="J76" s="41">
        <v>0</v>
      </c>
      <c r="K76" s="47">
        <f t="shared" si="20"/>
        <v>0</v>
      </c>
      <c r="L76" s="51">
        <f>8*0.28</f>
        <v>2.2400000000000002</v>
      </c>
      <c r="M76" s="77">
        <f t="shared" si="21"/>
        <v>44.6432</v>
      </c>
      <c r="N76" s="46">
        <f>0.25</f>
        <v>0.25</v>
      </c>
      <c r="O76" s="47">
        <f t="shared" si="22"/>
        <v>4.9824999999999999</v>
      </c>
      <c r="P76" s="46">
        <v>0</v>
      </c>
      <c r="Q76" s="47">
        <f t="shared" si="23"/>
        <v>0</v>
      </c>
      <c r="R76" s="41" t="s">
        <v>86</v>
      </c>
    </row>
    <row r="77" spans="2:18">
      <c r="B77" s="20" t="s">
        <v>90</v>
      </c>
      <c r="C77" s="94">
        <v>5.6</v>
      </c>
      <c r="D77" s="95" t="s">
        <v>84</v>
      </c>
      <c r="E77" s="95">
        <v>0</v>
      </c>
      <c r="F77" s="40">
        <f t="shared" si="19"/>
        <v>0</v>
      </c>
      <c r="G77" s="43" t="s">
        <v>85</v>
      </c>
      <c r="H77" s="44">
        <v>3.26</v>
      </c>
      <c r="I77" s="43" t="s">
        <v>84</v>
      </c>
      <c r="J77" s="41">
        <v>0</v>
      </c>
      <c r="K77" s="47">
        <f t="shared" si="20"/>
        <v>0</v>
      </c>
      <c r="L77" s="51">
        <f>8*0.28</f>
        <v>2.2400000000000002</v>
      </c>
      <c r="M77" s="77">
        <f t="shared" si="21"/>
        <v>7.3024000000000004</v>
      </c>
      <c r="N77" s="46">
        <v>0.75</v>
      </c>
      <c r="O77" s="47">
        <f t="shared" si="22"/>
        <v>2.4449999999999998</v>
      </c>
      <c r="P77" s="46">
        <v>0</v>
      </c>
      <c r="Q77" s="47">
        <f t="shared" si="23"/>
        <v>0</v>
      </c>
      <c r="R77" s="41" t="s">
        <v>86</v>
      </c>
    </row>
    <row r="78" spans="2:18">
      <c r="B78" s="20" t="s">
        <v>91</v>
      </c>
      <c r="C78" s="94">
        <v>3.85</v>
      </c>
      <c r="D78" s="95" t="s">
        <v>84</v>
      </c>
      <c r="E78" s="97">
        <v>1.3333333333333333</v>
      </c>
      <c r="F78" s="40">
        <f t="shared" si="19"/>
        <v>5.1333333333333329</v>
      </c>
      <c r="G78" s="43" t="s">
        <v>85</v>
      </c>
      <c r="H78" s="44">
        <v>1.93</v>
      </c>
      <c r="I78" s="43" t="s">
        <v>84</v>
      </c>
      <c r="J78" s="50">
        <v>1.3333333333333333</v>
      </c>
      <c r="K78" s="47">
        <f t="shared" si="20"/>
        <v>2.5733333333333333</v>
      </c>
      <c r="L78" s="78">
        <f>(10+10+5*6)/60</f>
        <v>0.83333333333333337</v>
      </c>
      <c r="M78" s="77">
        <f t="shared" si="21"/>
        <v>1.6083333333333334</v>
      </c>
      <c r="N78" s="46">
        <f>N14</f>
        <v>0.6</v>
      </c>
      <c r="O78" s="47">
        <f t="shared" si="22"/>
        <v>1.1579999999999999</v>
      </c>
      <c r="P78" s="46">
        <f>N14</f>
        <v>0.6</v>
      </c>
      <c r="Q78" s="47">
        <f t="shared" si="23"/>
        <v>1.1579999999999999</v>
      </c>
      <c r="R78" s="41" t="s">
        <v>86</v>
      </c>
    </row>
    <row r="79" spans="2:18">
      <c r="B79" s="39" t="s">
        <v>92</v>
      </c>
      <c r="C79" s="94"/>
      <c r="D79" s="95"/>
      <c r="E79" s="95"/>
      <c r="F79" s="40"/>
      <c r="G79" s="43"/>
      <c r="H79" s="41"/>
      <c r="I79" s="41"/>
      <c r="J79" s="48"/>
      <c r="K79" s="47"/>
      <c r="L79" s="51"/>
      <c r="M79" s="77">
        <f t="shared" si="21"/>
        <v>0</v>
      </c>
      <c r="N79" s="46"/>
      <c r="O79" s="47"/>
      <c r="P79" s="41"/>
      <c r="Q79" s="47"/>
      <c r="R79" s="41"/>
    </row>
    <row r="80" spans="2:18">
      <c r="B80" s="20" t="s">
        <v>93</v>
      </c>
      <c r="C80" s="94">
        <v>9.7100000000000009</v>
      </c>
      <c r="D80" s="95" t="s">
        <v>94</v>
      </c>
      <c r="E80" s="95">
        <v>0</v>
      </c>
      <c r="F80" s="40">
        <f>C80*E80</f>
        <v>0</v>
      </c>
      <c r="G80" s="43" t="s">
        <v>95</v>
      </c>
      <c r="H80" s="44">
        <v>9.7100000000000009</v>
      </c>
      <c r="I80" s="41" t="s">
        <v>94</v>
      </c>
      <c r="J80" s="48">
        <v>0</v>
      </c>
      <c r="K80" s="47">
        <f>H80*J80</f>
        <v>0</v>
      </c>
      <c r="L80" s="51">
        <f>8*0.28</f>
        <v>2.2400000000000002</v>
      </c>
      <c r="M80" s="77">
        <f t="shared" si="21"/>
        <v>21.750400000000003</v>
      </c>
      <c r="N80" s="46">
        <f>8*0.28</f>
        <v>2.2400000000000002</v>
      </c>
      <c r="O80" s="47">
        <f>H80*N80</f>
        <v>21.750400000000003</v>
      </c>
      <c r="P80" s="41">
        <v>0</v>
      </c>
      <c r="Q80" s="47">
        <f>H80*P80</f>
        <v>0</v>
      </c>
      <c r="R80" s="41" t="s">
        <v>96</v>
      </c>
    </row>
    <row r="81" spans="2:20">
      <c r="B81" s="20" t="s">
        <v>97</v>
      </c>
      <c r="C81" s="94">
        <v>33.04</v>
      </c>
      <c r="D81" s="95" t="s">
        <v>94</v>
      </c>
      <c r="E81" s="95">
        <v>0</v>
      </c>
      <c r="F81" s="40">
        <f>C81*E81</f>
        <v>0</v>
      </c>
      <c r="G81" s="43" t="s">
        <v>98</v>
      </c>
      <c r="H81" s="44">
        <v>33</v>
      </c>
      <c r="I81" s="41" t="s">
        <v>94</v>
      </c>
      <c r="J81" s="48">
        <v>0</v>
      </c>
      <c r="K81" s="47">
        <f>H81*J81</f>
        <v>0</v>
      </c>
      <c r="L81" s="51">
        <f>8*0.28</f>
        <v>2.2400000000000002</v>
      </c>
      <c r="M81" s="77">
        <f t="shared" si="21"/>
        <v>73.92</v>
      </c>
      <c r="N81" s="46">
        <f>8*0.28</f>
        <v>2.2400000000000002</v>
      </c>
      <c r="O81" s="47">
        <f>H81*N81</f>
        <v>73.92</v>
      </c>
      <c r="P81" s="41">
        <v>0</v>
      </c>
      <c r="Q81" s="47">
        <f>H81*P81</f>
        <v>0</v>
      </c>
      <c r="R81" s="41" t="s">
        <v>98</v>
      </c>
    </row>
    <row r="82" spans="2:20">
      <c r="B82" s="39" t="s">
        <v>133</v>
      </c>
      <c r="F82" s="40"/>
      <c r="J82" s="34"/>
      <c r="K82" s="47"/>
      <c r="L82" s="35"/>
      <c r="M82" s="77">
        <f t="shared" si="21"/>
        <v>0</v>
      </c>
      <c r="N82" s="37"/>
      <c r="O82" s="40"/>
      <c r="P82" s="46"/>
      <c r="Q82" s="40"/>
      <c r="R82" s="37"/>
    </row>
    <row r="83" spans="2:20">
      <c r="B83" s="68" t="s">
        <v>134</v>
      </c>
      <c r="C83" s="94">
        <v>2.78</v>
      </c>
      <c r="D83" s="95" t="s">
        <v>120</v>
      </c>
      <c r="E83" s="102">
        <v>6</v>
      </c>
      <c r="F83" s="40">
        <f>C83*E83</f>
        <v>16.68</v>
      </c>
      <c r="G83" s="43" t="s">
        <v>85</v>
      </c>
      <c r="H83" s="44">
        <v>1.78</v>
      </c>
      <c r="I83" s="41" t="s">
        <v>127</v>
      </c>
      <c r="J83" s="69">
        <v>6</v>
      </c>
      <c r="K83" s="47">
        <f>H83*J83</f>
        <v>10.68</v>
      </c>
      <c r="L83" s="80">
        <v>6</v>
      </c>
      <c r="M83" s="77">
        <f t="shared" si="21"/>
        <v>10.68</v>
      </c>
      <c r="N83" s="46">
        <v>6</v>
      </c>
      <c r="O83" s="40">
        <f>H83*N83</f>
        <v>10.68</v>
      </c>
      <c r="P83" s="46">
        <v>6</v>
      </c>
      <c r="Q83" s="40">
        <f>H83*P83</f>
        <v>10.68</v>
      </c>
      <c r="R83" s="46" t="s">
        <v>85</v>
      </c>
    </row>
    <row r="84" spans="2:20">
      <c r="B84" s="39" t="s">
        <v>99</v>
      </c>
      <c r="C84" s="94"/>
      <c r="D84" s="95"/>
      <c r="E84" s="95"/>
      <c r="F84" s="40"/>
      <c r="G84" s="43"/>
      <c r="H84" s="41"/>
      <c r="I84" s="41"/>
      <c r="J84" s="48"/>
      <c r="K84" s="47"/>
      <c r="L84" s="51"/>
      <c r="M84" s="77">
        <f t="shared" si="21"/>
        <v>0</v>
      </c>
      <c r="N84" s="46"/>
      <c r="O84" s="47"/>
      <c r="P84" s="41"/>
      <c r="Q84" s="47"/>
      <c r="R84" s="41"/>
    </row>
    <row r="85" spans="2:20">
      <c r="B85" s="20" t="s">
        <v>100</v>
      </c>
      <c r="C85" s="94">
        <v>16.18</v>
      </c>
      <c r="D85" s="95" t="s">
        <v>101</v>
      </c>
      <c r="E85" s="95">
        <v>11</v>
      </c>
      <c r="F85" s="40">
        <f t="shared" ref="F85:F93" si="24">C85*E85</f>
        <v>177.98</v>
      </c>
      <c r="G85" s="43" t="s">
        <v>85</v>
      </c>
      <c r="H85" s="44">
        <v>4.16</v>
      </c>
      <c r="I85" s="41" t="s">
        <v>101</v>
      </c>
      <c r="J85" s="48">
        <v>11</v>
      </c>
      <c r="K85" s="47">
        <f t="shared" ref="K85:K93" si="25">H85*J85</f>
        <v>45.760000000000005</v>
      </c>
      <c r="L85" s="51">
        <v>5</v>
      </c>
      <c r="M85" s="77">
        <f t="shared" si="21"/>
        <v>20.8</v>
      </c>
      <c r="N85" s="46">
        <v>5</v>
      </c>
      <c r="O85" s="47">
        <f t="shared" ref="O85:O92" si="26">H85*N85</f>
        <v>20.8</v>
      </c>
      <c r="P85" s="41">
        <v>3</v>
      </c>
      <c r="Q85" s="47">
        <f t="shared" ref="Q85:Q91" si="27">H85*P85</f>
        <v>12.48</v>
      </c>
      <c r="R85" s="41" t="s">
        <v>102</v>
      </c>
    </row>
    <row r="86" spans="2:20">
      <c r="B86" s="20" t="s">
        <v>103</v>
      </c>
      <c r="C86" s="94">
        <v>107.28</v>
      </c>
      <c r="D86" s="95" t="s">
        <v>101</v>
      </c>
      <c r="E86" s="95">
        <v>7</v>
      </c>
      <c r="F86" s="40">
        <f t="shared" si="24"/>
        <v>750.96</v>
      </c>
      <c r="G86" s="43" t="s">
        <v>85</v>
      </c>
      <c r="H86" s="44">
        <v>25.51</v>
      </c>
      <c r="I86" s="41" t="s">
        <v>101</v>
      </c>
      <c r="J86" s="48">
        <v>7</v>
      </c>
      <c r="K86" s="47">
        <f t="shared" si="25"/>
        <v>178.57000000000002</v>
      </c>
      <c r="L86" s="51">
        <v>7</v>
      </c>
      <c r="M86" s="77">
        <f t="shared" si="21"/>
        <v>178.57000000000002</v>
      </c>
      <c r="N86" s="46">
        <v>4</v>
      </c>
      <c r="O86" s="47">
        <f t="shared" si="26"/>
        <v>102.04</v>
      </c>
      <c r="P86" s="41">
        <v>2</v>
      </c>
      <c r="Q86" s="47">
        <f t="shared" si="27"/>
        <v>51.02</v>
      </c>
      <c r="R86" s="41" t="s">
        <v>102</v>
      </c>
    </row>
    <row r="87" spans="2:20">
      <c r="B87" s="20" t="s">
        <v>104</v>
      </c>
      <c r="C87" s="94">
        <v>32.89</v>
      </c>
      <c r="D87" s="95" t="s">
        <v>101</v>
      </c>
      <c r="E87" s="95">
        <v>1.5</v>
      </c>
      <c r="F87" s="40">
        <f t="shared" si="24"/>
        <v>49.335000000000001</v>
      </c>
      <c r="G87" s="43" t="s">
        <v>85</v>
      </c>
      <c r="H87" s="40">
        <v>21.43</v>
      </c>
      <c r="I87" s="41" t="s">
        <v>101</v>
      </c>
      <c r="J87" s="48">
        <v>1.5</v>
      </c>
      <c r="K87" s="47">
        <f t="shared" si="25"/>
        <v>32.144999999999996</v>
      </c>
      <c r="L87" s="51">
        <v>1</v>
      </c>
      <c r="M87" s="77">
        <f t="shared" si="21"/>
        <v>21.43</v>
      </c>
      <c r="N87" s="46">
        <v>0</v>
      </c>
      <c r="O87" s="47">
        <f t="shared" si="26"/>
        <v>0</v>
      </c>
      <c r="P87" s="41">
        <v>0</v>
      </c>
      <c r="Q87" s="47">
        <f t="shared" si="27"/>
        <v>0</v>
      </c>
    </row>
    <row r="88" spans="2:20">
      <c r="B88" s="20" t="s">
        <v>105</v>
      </c>
      <c r="C88" s="94">
        <v>25.03</v>
      </c>
      <c r="D88" s="95" t="s">
        <v>101</v>
      </c>
      <c r="E88" s="95">
        <v>1.5</v>
      </c>
      <c r="F88" s="40">
        <f t="shared" si="24"/>
        <v>37.545000000000002</v>
      </c>
      <c r="G88" s="43" t="s">
        <v>85</v>
      </c>
      <c r="H88" s="40">
        <v>7.74</v>
      </c>
      <c r="I88" s="41" t="s">
        <v>101</v>
      </c>
      <c r="J88" s="48">
        <v>1.5</v>
      </c>
      <c r="K88" s="47">
        <f t="shared" si="25"/>
        <v>11.61</v>
      </c>
      <c r="L88" s="51">
        <v>1</v>
      </c>
      <c r="M88" s="77">
        <f t="shared" si="21"/>
        <v>7.74</v>
      </c>
      <c r="N88" s="46">
        <v>0</v>
      </c>
      <c r="O88" s="47">
        <f t="shared" si="26"/>
        <v>0</v>
      </c>
      <c r="P88" s="41">
        <v>0</v>
      </c>
      <c r="Q88" s="47">
        <f t="shared" si="27"/>
        <v>0</v>
      </c>
    </row>
    <row r="89" spans="2:20">
      <c r="B89" s="20" t="s">
        <v>106</v>
      </c>
      <c r="C89" s="94">
        <v>3.88</v>
      </c>
      <c r="D89" s="95" t="s">
        <v>101</v>
      </c>
      <c r="E89" s="95">
        <v>1.5</v>
      </c>
      <c r="F89" s="40">
        <f t="shared" si="24"/>
        <v>5.82</v>
      </c>
      <c r="G89" s="43" t="s">
        <v>85</v>
      </c>
      <c r="H89" s="44">
        <v>3.34</v>
      </c>
      <c r="I89" s="41" t="s">
        <v>101</v>
      </c>
      <c r="J89" s="48">
        <v>1.5</v>
      </c>
      <c r="K89" s="47">
        <f t="shared" si="25"/>
        <v>5.01</v>
      </c>
      <c r="L89" s="51">
        <v>1</v>
      </c>
      <c r="M89" s="77">
        <f t="shared" si="21"/>
        <v>3.34</v>
      </c>
      <c r="N89" s="46">
        <v>1</v>
      </c>
      <c r="O89" s="47">
        <f t="shared" si="26"/>
        <v>3.34</v>
      </c>
      <c r="P89" s="41">
        <v>1</v>
      </c>
      <c r="Q89" s="47">
        <f t="shared" si="27"/>
        <v>3.34</v>
      </c>
      <c r="R89" s="41" t="s">
        <v>85</v>
      </c>
    </row>
    <row r="90" spans="2:20">
      <c r="B90" s="20" t="s">
        <v>107</v>
      </c>
      <c r="C90" s="94">
        <v>4.67</v>
      </c>
      <c r="D90" s="95" t="s">
        <v>101</v>
      </c>
      <c r="E90" s="95">
        <v>2</v>
      </c>
      <c r="F90" s="40">
        <f t="shared" si="24"/>
        <v>9.34</v>
      </c>
      <c r="G90" s="43" t="s">
        <v>85</v>
      </c>
      <c r="H90" s="44">
        <v>3.52</v>
      </c>
      <c r="I90" s="41" t="s">
        <v>101</v>
      </c>
      <c r="J90" s="48">
        <v>2</v>
      </c>
      <c r="K90" s="47">
        <f t="shared" si="25"/>
        <v>7.04</v>
      </c>
      <c r="L90" s="51">
        <v>1.5</v>
      </c>
      <c r="M90" s="77">
        <f t="shared" si="21"/>
        <v>5.28</v>
      </c>
      <c r="N90" s="46">
        <v>0.5</v>
      </c>
      <c r="O90" s="47">
        <f t="shared" si="26"/>
        <v>1.76</v>
      </c>
      <c r="P90" s="41">
        <v>0.5</v>
      </c>
      <c r="Q90" s="47">
        <f t="shared" si="27"/>
        <v>1.76</v>
      </c>
      <c r="R90" s="41" t="s">
        <v>85</v>
      </c>
    </row>
    <row r="91" spans="2:20">
      <c r="B91" s="20" t="s">
        <v>108</v>
      </c>
      <c r="C91" s="94">
        <v>19.37</v>
      </c>
      <c r="D91" s="95" t="s">
        <v>101</v>
      </c>
      <c r="E91" s="95">
        <v>2</v>
      </c>
      <c r="F91" s="40">
        <f t="shared" si="24"/>
        <v>38.74</v>
      </c>
      <c r="G91" s="43" t="s">
        <v>109</v>
      </c>
      <c r="H91" s="44">
        <v>8.18</v>
      </c>
      <c r="I91" s="41" t="s">
        <v>101</v>
      </c>
      <c r="J91" s="48">
        <v>2</v>
      </c>
      <c r="K91" s="47">
        <f t="shared" si="25"/>
        <v>16.36</v>
      </c>
      <c r="L91" s="51">
        <v>1.5</v>
      </c>
      <c r="M91" s="77">
        <f t="shared" si="21"/>
        <v>12.27</v>
      </c>
      <c r="N91" s="46">
        <v>1</v>
      </c>
      <c r="O91" s="47">
        <f t="shared" si="26"/>
        <v>8.18</v>
      </c>
      <c r="P91" s="41">
        <v>0</v>
      </c>
      <c r="Q91" s="47">
        <f t="shared" si="27"/>
        <v>0</v>
      </c>
      <c r="R91" s="41"/>
    </row>
    <row r="92" spans="2:20">
      <c r="B92" s="20" t="s">
        <v>136</v>
      </c>
      <c r="C92" s="94">
        <v>13.52</v>
      </c>
      <c r="D92" s="95" t="s">
        <v>101</v>
      </c>
      <c r="E92" s="95">
        <v>2</v>
      </c>
      <c r="F92" s="40">
        <f t="shared" si="24"/>
        <v>27.04</v>
      </c>
      <c r="G92" s="43" t="s">
        <v>85</v>
      </c>
      <c r="H92" s="40">
        <v>4.1900000000000004</v>
      </c>
      <c r="I92" s="41" t="s">
        <v>101</v>
      </c>
      <c r="J92" s="48">
        <v>2</v>
      </c>
      <c r="K92" s="82">
        <f t="shared" si="25"/>
        <v>8.3800000000000008</v>
      </c>
      <c r="L92" s="48"/>
      <c r="M92" s="40"/>
      <c r="N92" s="81">
        <v>2</v>
      </c>
      <c r="O92" s="40">
        <f t="shared" si="26"/>
        <v>8.3800000000000008</v>
      </c>
      <c r="P92" s="46">
        <v>2</v>
      </c>
      <c r="Q92" s="47">
        <f>H92*P92</f>
        <v>8.3800000000000008</v>
      </c>
      <c r="R92" s="41" t="s">
        <v>150</v>
      </c>
      <c r="S92" s="47"/>
      <c r="T92" s="41"/>
    </row>
    <row r="93" spans="2:20">
      <c r="B93" s="20" t="s">
        <v>110</v>
      </c>
      <c r="C93" s="94">
        <v>1.8</v>
      </c>
      <c r="D93" s="95" t="s">
        <v>101</v>
      </c>
      <c r="E93" s="95">
        <v>8</v>
      </c>
      <c r="F93" s="40">
        <f t="shared" si="24"/>
        <v>14.4</v>
      </c>
      <c r="G93" s="43" t="s">
        <v>85</v>
      </c>
      <c r="H93" s="40">
        <v>1.44</v>
      </c>
      <c r="I93" s="41" t="s">
        <v>101</v>
      </c>
      <c r="J93" s="48">
        <v>8</v>
      </c>
      <c r="K93" s="47">
        <f t="shared" si="25"/>
        <v>11.52</v>
      </c>
      <c r="L93" s="51">
        <v>4</v>
      </c>
      <c r="M93" s="77">
        <f t="shared" si="21"/>
        <v>5.76</v>
      </c>
      <c r="N93" s="46">
        <v>3</v>
      </c>
      <c r="O93" s="47">
        <f>H93*N93</f>
        <v>4.32</v>
      </c>
      <c r="P93" s="41">
        <v>1.5</v>
      </c>
      <c r="Q93" s="47">
        <f>H93*P93</f>
        <v>2.16</v>
      </c>
      <c r="R93" s="41" t="s">
        <v>85</v>
      </c>
    </row>
    <row r="94" spans="2:20">
      <c r="B94" s="39" t="s">
        <v>111</v>
      </c>
      <c r="C94" s="94"/>
      <c r="D94" s="95"/>
      <c r="E94" s="95"/>
      <c r="F94" s="40"/>
      <c r="G94" s="43"/>
      <c r="H94" s="41"/>
      <c r="I94" s="41"/>
      <c r="J94" s="48"/>
      <c r="K94" s="47"/>
      <c r="L94" s="51"/>
      <c r="M94" s="77">
        <f t="shared" si="21"/>
        <v>0</v>
      </c>
      <c r="N94" s="46"/>
      <c r="O94" s="47"/>
      <c r="P94" s="41"/>
      <c r="Q94" s="47"/>
      <c r="R94" s="41"/>
    </row>
    <row r="95" spans="2:20">
      <c r="B95" s="20" t="s">
        <v>112</v>
      </c>
      <c r="C95" s="94">
        <f>C30</f>
        <v>153.56521739130434</v>
      </c>
      <c r="D95" s="95" t="s">
        <v>113</v>
      </c>
      <c r="E95" s="95">
        <v>1</v>
      </c>
      <c r="F95" s="40">
        <f>C95*E95</f>
        <v>153.56521739130434</v>
      </c>
      <c r="G95" s="43" t="s">
        <v>85</v>
      </c>
      <c r="H95" s="40">
        <v>3</v>
      </c>
      <c r="I95" s="41" t="s">
        <v>113</v>
      </c>
      <c r="J95" s="48">
        <v>1</v>
      </c>
      <c r="K95" s="47">
        <f>H95*J95</f>
        <v>3</v>
      </c>
      <c r="L95" s="51">
        <v>1.5</v>
      </c>
      <c r="M95" s="77">
        <f t="shared" si="21"/>
        <v>4.5</v>
      </c>
      <c r="N95" s="46">
        <v>1</v>
      </c>
      <c r="O95" s="47">
        <f>H95*N95</f>
        <v>3</v>
      </c>
      <c r="P95" s="41">
        <v>1</v>
      </c>
      <c r="Q95" s="47">
        <f>H95*P95</f>
        <v>3</v>
      </c>
      <c r="R95" s="41" t="s">
        <v>85</v>
      </c>
    </row>
    <row r="96" spans="2:20">
      <c r="B96" s="20" t="s">
        <v>135</v>
      </c>
      <c r="C96" s="94">
        <f>25.74*(1/23)</f>
        <v>1.1191304347826085</v>
      </c>
      <c r="D96" s="95" t="s">
        <v>113</v>
      </c>
      <c r="E96" s="95">
        <v>1</v>
      </c>
      <c r="F96" s="40">
        <f>C96*E96</f>
        <v>1.1191304347826085</v>
      </c>
      <c r="G96" s="43" t="s">
        <v>85</v>
      </c>
      <c r="H96" s="40">
        <v>0.63</v>
      </c>
      <c r="I96" s="41" t="s">
        <v>113</v>
      </c>
      <c r="J96" s="48">
        <v>1</v>
      </c>
      <c r="K96" s="47">
        <f>H96*J96</f>
        <v>0.63</v>
      </c>
      <c r="L96" s="51">
        <v>1.5</v>
      </c>
      <c r="M96" s="77">
        <f t="shared" si="21"/>
        <v>0.94500000000000006</v>
      </c>
      <c r="N96" s="46">
        <v>1</v>
      </c>
      <c r="O96" s="47">
        <f>H96*N96</f>
        <v>0.63</v>
      </c>
      <c r="P96" s="41">
        <v>1</v>
      </c>
      <c r="Q96" s="47">
        <f>H96*P96</f>
        <v>0.63</v>
      </c>
      <c r="R96" s="41" t="s">
        <v>85</v>
      </c>
    </row>
    <row r="97" spans="2:18">
      <c r="B97" s="20" t="s">
        <v>115</v>
      </c>
      <c r="C97" s="94">
        <f>C32</f>
        <v>211</v>
      </c>
      <c r="D97" s="95" t="s">
        <v>113</v>
      </c>
      <c r="E97" s="95">
        <v>1</v>
      </c>
      <c r="F97" s="40">
        <f>C97*E97</f>
        <v>211</v>
      </c>
      <c r="G97" s="43" t="s">
        <v>85</v>
      </c>
      <c r="H97" s="40">
        <v>8.23</v>
      </c>
      <c r="I97" s="41" t="s">
        <v>113</v>
      </c>
      <c r="J97" s="48">
        <v>1</v>
      </c>
      <c r="K97" s="47">
        <f>H97*J97</f>
        <v>8.23</v>
      </c>
      <c r="L97" s="51">
        <v>1.5</v>
      </c>
      <c r="M97" s="77">
        <f t="shared" si="21"/>
        <v>12.345000000000001</v>
      </c>
      <c r="N97" s="46">
        <v>1</v>
      </c>
      <c r="O97" s="47">
        <f>H97*N97</f>
        <v>8.23</v>
      </c>
      <c r="P97" s="41">
        <v>1</v>
      </c>
      <c r="Q97" s="47">
        <f>H97*P97</f>
        <v>8.23</v>
      </c>
      <c r="R97" s="41" t="s">
        <v>85</v>
      </c>
    </row>
    <row r="98" spans="2:18">
      <c r="B98" s="20" t="s">
        <v>156</v>
      </c>
      <c r="C98" s="94">
        <f>71.19*(1/23)</f>
        <v>3.0952173913043475</v>
      </c>
      <c r="D98" s="95" t="s">
        <v>113</v>
      </c>
      <c r="E98" s="95">
        <v>1</v>
      </c>
      <c r="F98" s="40">
        <f>C98*E98</f>
        <v>3.0952173913043475</v>
      </c>
      <c r="G98" s="43" t="s">
        <v>85</v>
      </c>
      <c r="H98" s="40">
        <v>0.42</v>
      </c>
      <c r="I98" s="41" t="s">
        <v>113</v>
      </c>
      <c r="J98" s="48">
        <v>1</v>
      </c>
      <c r="K98" s="47">
        <f>H98*J98</f>
        <v>0.42</v>
      </c>
      <c r="L98" s="51">
        <v>1.5</v>
      </c>
      <c r="M98" s="77">
        <f t="shared" si="21"/>
        <v>0.63</v>
      </c>
      <c r="N98" s="46">
        <v>1</v>
      </c>
      <c r="O98" s="47">
        <f>H98*N98</f>
        <v>0.42</v>
      </c>
      <c r="P98" s="41">
        <v>1</v>
      </c>
      <c r="Q98" s="47">
        <f>H98*P98</f>
        <v>0.42</v>
      </c>
      <c r="R98" s="41" t="s">
        <v>85</v>
      </c>
    </row>
    <row r="99" spans="2:18">
      <c r="B99" s="20" t="s">
        <v>157</v>
      </c>
      <c r="C99" s="94">
        <f>C34</f>
        <v>4.0434782608695654</v>
      </c>
      <c r="D99" s="95" t="s">
        <v>113</v>
      </c>
      <c r="E99" s="95">
        <v>1</v>
      </c>
      <c r="F99" s="40">
        <f>C99*E99</f>
        <v>4.0434782608695654</v>
      </c>
      <c r="G99" s="43" t="s">
        <v>85</v>
      </c>
      <c r="H99" s="40">
        <v>0.16</v>
      </c>
      <c r="I99" s="41" t="s">
        <v>113</v>
      </c>
      <c r="J99" s="48">
        <v>1</v>
      </c>
      <c r="K99" s="47">
        <f>H99*J99</f>
        <v>0.16</v>
      </c>
      <c r="L99" s="51">
        <v>1.5</v>
      </c>
      <c r="M99" s="77">
        <f t="shared" si="21"/>
        <v>0.24</v>
      </c>
      <c r="N99" s="46">
        <v>1</v>
      </c>
      <c r="O99" s="47">
        <f>H99*N99</f>
        <v>0.16</v>
      </c>
      <c r="P99" s="41">
        <v>1</v>
      </c>
      <c r="Q99" s="47">
        <f>H99*P99</f>
        <v>0.16</v>
      </c>
      <c r="R99" s="41" t="s">
        <v>85</v>
      </c>
    </row>
    <row r="100" spans="2:18">
      <c r="B100" s="53" t="s">
        <v>117</v>
      </c>
      <c r="C100" s="103"/>
      <c r="D100" s="104"/>
      <c r="E100" s="104"/>
      <c r="F100" s="55">
        <f>SUM(F73:F99)</f>
        <v>1637.5713768115943</v>
      </c>
      <c r="G100" s="76"/>
      <c r="H100" s="71"/>
      <c r="I100" s="71"/>
      <c r="J100" s="75"/>
      <c r="K100" s="60">
        <f>SUM(K73:K99)</f>
        <v>443.7433333333334</v>
      </c>
      <c r="L100" s="74"/>
      <c r="M100" s="73">
        <f>SUM(M73:M99)</f>
        <v>516.00766666666664</v>
      </c>
      <c r="N100" s="72"/>
      <c r="O100" s="60">
        <f>SUM(O73:O99)</f>
        <v>328.37923333333339</v>
      </c>
      <c r="P100" s="71"/>
      <c r="Q100" s="60">
        <f>SUM(Q73:Q99)</f>
        <v>155.60133333333329</v>
      </c>
      <c r="R100" s="71"/>
    </row>
    <row r="101" spans="2:18" ht="9" customHeight="1">
      <c r="B101" s="11"/>
      <c r="C101" s="92"/>
      <c r="D101" s="93"/>
      <c r="E101" s="93"/>
      <c r="F101" s="61"/>
      <c r="G101" s="32"/>
      <c r="H101" s="11"/>
      <c r="I101" s="11"/>
      <c r="J101" s="11"/>
      <c r="K101" s="61"/>
      <c r="L101" s="64"/>
      <c r="M101" s="64"/>
      <c r="N101" s="11"/>
      <c r="O101" s="61"/>
      <c r="P101" s="61"/>
      <c r="Q101" s="61"/>
      <c r="R101" s="11"/>
    </row>
    <row r="102" spans="2:18" ht="19">
      <c r="B102" s="2" t="s">
        <v>138</v>
      </c>
      <c r="C102" s="94"/>
      <c r="D102" s="95"/>
      <c r="E102" s="95"/>
      <c r="F102" s="40"/>
      <c r="G102" s="43"/>
      <c r="H102" s="41"/>
      <c r="I102" s="41"/>
      <c r="J102" s="48"/>
      <c r="K102" s="47"/>
      <c r="L102" s="52"/>
      <c r="M102" s="52"/>
      <c r="N102" s="46"/>
      <c r="O102" s="40"/>
      <c r="P102" s="65"/>
      <c r="Q102" s="40"/>
      <c r="R102" s="46"/>
    </row>
    <row r="103" spans="2:18">
      <c r="B103" s="39" t="s">
        <v>119</v>
      </c>
      <c r="H103" s="41"/>
      <c r="I103" s="41"/>
      <c r="J103" s="34"/>
      <c r="K103" s="38"/>
      <c r="L103" s="36"/>
      <c r="M103" s="36"/>
      <c r="N103" s="46"/>
      <c r="O103" s="40"/>
      <c r="P103" s="65"/>
      <c r="Q103" s="40"/>
      <c r="R103" s="46"/>
    </row>
    <row r="104" spans="2:18">
      <c r="B104" s="20" t="s">
        <v>83</v>
      </c>
      <c r="C104" s="94">
        <v>37.299999999999997</v>
      </c>
      <c r="D104" s="95" t="s">
        <v>84</v>
      </c>
      <c r="E104" s="96">
        <f>(45+25+25+20)/60</f>
        <v>1.9166666666666667</v>
      </c>
      <c r="F104" s="40">
        <f t="shared" ref="F104:F109" si="28">C104*E104</f>
        <v>71.49166666666666</v>
      </c>
      <c r="G104" s="43" t="s">
        <v>85</v>
      </c>
      <c r="H104" s="44">
        <v>33.299999999999997</v>
      </c>
      <c r="I104" s="43" t="s">
        <v>84</v>
      </c>
      <c r="J104" s="42">
        <f>E104</f>
        <v>1.9166666666666667</v>
      </c>
      <c r="K104" s="47">
        <f t="shared" ref="K104:K109" si="29">H104*J104</f>
        <v>63.824999999999996</v>
      </c>
      <c r="L104" s="79">
        <f>(40+25+15+20)/60</f>
        <v>1.6666666666666667</v>
      </c>
      <c r="M104" s="77">
        <f t="shared" ref="M104:M109" si="30">H104*L104</f>
        <v>55.5</v>
      </c>
      <c r="N104" s="66">
        <f>(30+20+15+30)/60</f>
        <v>1.5833333333333333</v>
      </c>
      <c r="O104" s="47">
        <f t="shared" ref="O104:O109" si="31">H104*N104</f>
        <v>52.724999999999994</v>
      </c>
      <c r="P104" s="66">
        <f>(30+20+15+30)/60</f>
        <v>1.5833333333333333</v>
      </c>
      <c r="Q104" s="47">
        <f t="shared" ref="Q104:Q109" si="32">H104*P104</f>
        <v>52.724999999999994</v>
      </c>
      <c r="R104" s="41" t="s">
        <v>86</v>
      </c>
    </row>
    <row r="105" spans="2:18">
      <c r="B105" s="20" t="s">
        <v>87</v>
      </c>
      <c r="C105" s="94">
        <v>8.4</v>
      </c>
      <c r="D105" s="95" t="s">
        <v>84</v>
      </c>
      <c r="E105" s="97">
        <f>(60+50+35+40+25+120)/60</f>
        <v>5.5</v>
      </c>
      <c r="F105" s="40">
        <f t="shared" si="28"/>
        <v>46.2</v>
      </c>
      <c r="G105" s="43" t="s">
        <v>85</v>
      </c>
      <c r="H105" s="44">
        <v>4.2</v>
      </c>
      <c r="I105" s="43" t="s">
        <v>84</v>
      </c>
      <c r="J105" s="49">
        <f>(40+20+200)/60</f>
        <v>4.333333333333333</v>
      </c>
      <c r="K105" s="47">
        <f t="shared" si="29"/>
        <v>18.2</v>
      </c>
      <c r="L105" s="78">
        <f>(40+25+45)/60</f>
        <v>1.8333333333333333</v>
      </c>
      <c r="M105" s="77">
        <f t="shared" si="30"/>
        <v>7.7</v>
      </c>
      <c r="N105" s="66">
        <f>(40+35+20+20)/60</f>
        <v>1.9166666666666667</v>
      </c>
      <c r="O105" s="47">
        <f t="shared" si="31"/>
        <v>8.0500000000000007</v>
      </c>
      <c r="P105" s="66">
        <f>(40+35+20+20)/60</f>
        <v>1.9166666666666667</v>
      </c>
      <c r="Q105" s="47">
        <f t="shared" si="32"/>
        <v>8.0500000000000007</v>
      </c>
      <c r="R105" s="41" t="s">
        <v>86</v>
      </c>
    </row>
    <row r="106" spans="2:18">
      <c r="B106" s="20" t="s">
        <v>88</v>
      </c>
      <c r="C106" s="94">
        <v>6.5</v>
      </c>
      <c r="D106" s="95" t="s">
        <v>84</v>
      </c>
      <c r="E106" s="96">
        <f>(45+25+60)/60</f>
        <v>2.1666666666666665</v>
      </c>
      <c r="F106" s="40">
        <f t="shared" si="28"/>
        <v>14.083333333333332</v>
      </c>
      <c r="G106" s="43" t="s">
        <v>85</v>
      </c>
      <c r="H106" s="44">
        <v>3.26</v>
      </c>
      <c r="I106" s="43" t="s">
        <v>84</v>
      </c>
      <c r="J106" s="42">
        <f>E106</f>
        <v>2.1666666666666665</v>
      </c>
      <c r="K106" s="47">
        <f t="shared" si="29"/>
        <v>7.0633333333333326</v>
      </c>
      <c r="L106" s="78">
        <f>(55+25+45)/60</f>
        <v>2.0833333333333335</v>
      </c>
      <c r="M106" s="77">
        <f t="shared" si="30"/>
        <v>6.791666666666667</v>
      </c>
      <c r="N106" s="66">
        <f>(40+30+30+20)/60</f>
        <v>2</v>
      </c>
      <c r="O106" s="47">
        <f t="shared" si="31"/>
        <v>6.52</v>
      </c>
      <c r="P106" s="66">
        <f>(40+30+30+20)/60</f>
        <v>2</v>
      </c>
      <c r="Q106" s="47">
        <f t="shared" si="32"/>
        <v>6.52</v>
      </c>
      <c r="R106" s="41" t="s">
        <v>86</v>
      </c>
    </row>
    <row r="107" spans="2:18">
      <c r="B107" s="20" t="s">
        <v>89</v>
      </c>
      <c r="C107" s="94">
        <v>19.93</v>
      </c>
      <c r="D107" s="95" t="s">
        <v>84</v>
      </c>
      <c r="E107" s="105">
        <f>E12</f>
        <v>2.4166666666666665</v>
      </c>
      <c r="F107" s="40">
        <f t="shared" si="28"/>
        <v>48.164166666666667</v>
      </c>
      <c r="G107" s="43" t="s">
        <v>85</v>
      </c>
      <c r="H107" s="44">
        <v>19.93</v>
      </c>
      <c r="I107" s="43" t="s">
        <v>84</v>
      </c>
      <c r="J107" s="49">
        <f>E107</f>
        <v>2.4166666666666665</v>
      </c>
      <c r="K107" s="47">
        <f t="shared" si="29"/>
        <v>48.164166666666667</v>
      </c>
      <c r="L107" s="78">
        <f>35/60</f>
        <v>0.58333333333333337</v>
      </c>
      <c r="M107" s="77">
        <f t="shared" si="30"/>
        <v>11.625833333333334</v>
      </c>
      <c r="N107" s="66">
        <v>0.5</v>
      </c>
      <c r="O107" s="47">
        <f t="shared" si="31"/>
        <v>9.9649999999999999</v>
      </c>
      <c r="P107" s="66">
        <v>0</v>
      </c>
      <c r="Q107" s="47">
        <f t="shared" si="32"/>
        <v>0</v>
      </c>
      <c r="R107" s="41" t="s">
        <v>86</v>
      </c>
    </row>
    <row r="108" spans="2:18">
      <c r="B108" s="20" t="s">
        <v>90</v>
      </c>
      <c r="C108" s="94">
        <v>5.6</v>
      </c>
      <c r="D108" s="95" t="s">
        <v>84</v>
      </c>
      <c r="E108" s="95">
        <v>1</v>
      </c>
      <c r="F108" s="40">
        <f t="shared" si="28"/>
        <v>5.6</v>
      </c>
      <c r="G108" s="43" t="s">
        <v>85</v>
      </c>
      <c r="H108" s="44">
        <v>3.26</v>
      </c>
      <c r="I108" s="43" t="s">
        <v>84</v>
      </c>
      <c r="J108" s="41">
        <f>E108</f>
        <v>1</v>
      </c>
      <c r="K108" s="47">
        <f t="shared" si="29"/>
        <v>3.26</v>
      </c>
      <c r="L108" s="78">
        <f>45/60</f>
        <v>0.75</v>
      </c>
      <c r="M108" s="77">
        <f t="shared" si="30"/>
        <v>2.4449999999999998</v>
      </c>
      <c r="N108" s="66">
        <v>0.75</v>
      </c>
      <c r="O108" s="47">
        <f t="shared" si="31"/>
        <v>2.4449999999999998</v>
      </c>
      <c r="P108" s="66">
        <v>0</v>
      </c>
      <c r="Q108" s="47">
        <f t="shared" si="32"/>
        <v>0</v>
      </c>
      <c r="R108" s="41" t="s">
        <v>86</v>
      </c>
    </row>
    <row r="109" spans="2:18">
      <c r="B109" s="20" t="s">
        <v>91</v>
      </c>
      <c r="C109" s="94">
        <v>3.85</v>
      </c>
      <c r="D109" s="95" t="s">
        <v>84</v>
      </c>
      <c r="E109" s="97">
        <v>1.3333333333333333</v>
      </c>
      <c r="F109" s="40">
        <f t="shared" si="28"/>
        <v>5.1333333333333329</v>
      </c>
      <c r="G109" s="43" t="s">
        <v>85</v>
      </c>
      <c r="H109" s="44">
        <v>1.93</v>
      </c>
      <c r="I109" s="41" t="s">
        <v>84</v>
      </c>
      <c r="J109" s="50">
        <v>1.3333333333333333</v>
      </c>
      <c r="K109" s="47">
        <f t="shared" si="29"/>
        <v>2.5733333333333333</v>
      </c>
      <c r="L109" s="78">
        <f>(10+10+5*6)/60</f>
        <v>0.83333333333333337</v>
      </c>
      <c r="M109" s="77">
        <f t="shared" si="30"/>
        <v>1.6083333333333334</v>
      </c>
      <c r="N109" s="66">
        <f>N14</f>
        <v>0.6</v>
      </c>
      <c r="O109" s="47">
        <f t="shared" si="31"/>
        <v>1.1579999999999999</v>
      </c>
      <c r="P109" s="66">
        <f>N14</f>
        <v>0.6</v>
      </c>
      <c r="Q109" s="47">
        <f t="shared" si="32"/>
        <v>1.1579999999999999</v>
      </c>
      <c r="R109" s="41" t="s">
        <v>86</v>
      </c>
    </row>
    <row r="110" spans="2:18">
      <c r="B110" s="39" t="s">
        <v>47</v>
      </c>
      <c r="G110" s="43"/>
      <c r="H110" s="41"/>
      <c r="I110" s="41"/>
      <c r="J110" s="34"/>
      <c r="K110" s="38"/>
      <c r="L110" s="35"/>
      <c r="M110" s="77"/>
      <c r="N110" s="46"/>
      <c r="O110" s="40"/>
      <c r="P110" s="65"/>
      <c r="Q110" s="40"/>
      <c r="R110" s="46"/>
    </row>
    <row r="111" spans="2:18">
      <c r="B111" s="20" t="s">
        <v>118</v>
      </c>
      <c r="C111" s="94">
        <v>49</v>
      </c>
      <c r="D111" s="95" t="s">
        <v>120</v>
      </c>
      <c r="E111" s="95">
        <v>8</v>
      </c>
      <c r="F111" s="40">
        <f>C111*E111</f>
        <v>392</v>
      </c>
      <c r="G111" s="43" t="s">
        <v>95</v>
      </c>
      <c r="H111" s="44">
        <v>18.100000000000001</v>
      </c>
      <c r="I111" s="41" t="s">
        <v>120</v>
      </c>
      <c r="J111" s="48">
        <v>8</v>
      </c>
      <c r="K111" s="47">
        <f>H111*J111</f>
        <v>144.80000000000001</v>
      </c>
      <c r="L111" s="51">
        <v>8</v>
      </c>
      <c r="M111" s="77">
        <f>H111*L111</f>
        <v>144.80000000000001</v>
      </c>
      <c r="N111" s="46">
        <v>8</v>
      </c>
      <c r="O111" s="40">
        <f>H111*N111</f>
        <v>144.80000000000001</v>
      </c>
      <c r="P111" s="65">
        <v>0</v>
      </c>
      <c r="Q111" s="40">
        <f>H111*P111</f>
        <v>0</v>
      </c>
      <c r="R111" s="46" t="s">
        <v>121</v>
      </c>
    </row>
    <row r="112" spans="2:18">
      <c r="B112" s="39" t="s">
        <v>125</v>
      </c>
      <c r="F112" s="40"/>
      <c r="H112" s="44"/>
      <c r="I112" s="41"/>
      <c r="J112" s="34"/>
      <c r="K112" s="47"/>
      <c r="L112" s="35"/>
      <c r="M112" s="77"/>
      <c r="N112" s="37"/>
      <c r="O112" s="40"/>
      <c r="P112" s="46"/>
      <c r="Q112" s="40"/>
      <c r="R112" s="37"/>
    </row>
    <row r="113" spans="2:20">
      <c r="B113" s="68" t="s">
        <v>126</v>
      </c>
      <c r="C113" s="94">
        <v>36.700000000000003</v>
      </c>
      <c r="D113" s="95" t="s">
        <v>127</v>
      </c>
      <c r="E113" s="95">
        <v>4</v>
      </c>
      <c r="F113" s="40">
        <f>C113*E113</f>
        <v>146.80000000000001</v>
      </c>
      <c r="G113" s="43" t="s">
        <v>85</v>
      </c>
      <c r="H113" s="40">
        <v>23</v>
      </c>
      <c r="I113" s="41" t="s">
        <v>127</v>
      </c>
      <c r="J113" s="48">
        <v>4</v>
      </c>
      <c r="K113" s="47">
        <f>H113*J113</f>
        <v>92</v>
      </c>
      <c r="L113" s="48">
        <v>4</v>
      </c>
      <c r="M113" s="47">
        <f>H113*L113</f>
        <v>92</v>
      </c>
      <c r="N113" s="46">
        <v>3</v>
      </c>
      <c r="O113" s="40">
        <f>H113*N113</f>
        <v>69</v>
      </c>
      <c r="P113" s="46">
        <v>3</v>
      </c>
      <c r="Q113" s="40">
        <f>H113*P113</f>
        <v>69</v>
      </c>
      <c r="R113" s="46" t="s">
        <v>85</v>
      </c>
    </row>
    <row r="114" spans="2:20">
      <c r="B114" s="68" t="s">
        <v>128</v>
      </c>
      <c r="C114" s="94">
        <v>16.350000000000001</v>
      </c>
      <c r="D114" s="95" t="s">
        <v>127</v>
      </c>
      <c r="E114" s="95">
        <v>4</v>
      </c>
      <c r="F114" s="40">
        <f>C114*E114</f>
        <v>65.400000000000006</v>
      </c>
      <c r="G114" s="43" t="s">
        <v>85</v>
      </c>
      <c r="H114" s="40">
        <v>16.350000000000001</v>
      </c>
      <c r="I114" s="41" t="s">
        <v>127</v>
      </c>
      <c r="J114" s="48">
        <v>4</v>
      </c>
      <c r="K114" s="47">
        <f>H114*J114</f>
        <v>65.400000000000006</v>
      </c>
      <c r="L114" s="48">
        <v>4</v>
      </c>
      <c r="M114" s="47">
        <f>H114*L114</f>
        <v>65.400000000000006</v>
      </c>
      <c r="N114" s="46">
        <v>3</v>
      </c>
      <c r="O114" s="40">
        <f>H114*N114</f>
        <v>49.050000000000004</v>
      </c>
      <c r="P114" s="46">
        <v>3</v>
      </c>
      <c r="Q114" s="40">
        <f>H114*P114</f>
        <v>49.050000000000004</v>
      </c>
      <c r="R114" s="46" t="s">
        <v>85</v>
      </c>
    </row>
    <row r="115" spans="2:20">
      <c r="B115" s="68" t="s">
        <v>129</v>
      </c>
      <c r="C115" s="94">
        <v>35.18</v>
      </c>
      <c r="D115" s="95" t="s">
        <v>127</v>
      </c>
      <c r="E115" s="95">
        <v>4</v>
      </c>
      <c r="F115" s="40">
        <f>C115*E115</f>
        <v>140.72</v>
      </c>
      <c r="G115" s="43" t="s">
        <v>85</v>
      </c>
      <c r="H115" s="40">
        <v>35.18</v>
      </c>
      <c r="I115" s="41" t="s">
        <v>127</v>
      </c>
      <c r="J115" s="48">
        <v>4</v>
      </c>
      <c r="K115" s="47">
        <f>H115*J115</f>
        <v>140.72</v>
      </c>
      <c r="L115" s="48">
        <v>4</v>
      </c>
      <c r="M115" s="47">
        <f>H115*L115</f>
        <v>140.72</v>
      </c>
      <c r="N115" s="46">
        <v>3</v>
      </c>
      <c r="O115" s="40">
        <f>H115*N115</f>
        <v>105.53999999999999</v>
      </c>
      <c r="P115" s="46">
        <v>3</v>
      </c>
      <c r="Q115" s="40">
        <f>H115*P115</f>
        <v>105.53999999999999</v>
      </c>
      <c r="R115" s="46" t="s">
        <v>85</v>
      </c>
    </row>
    <row r="116" spans="2:20">
      <c r="B116" s="68" t="s">
        <v>130</v>
      </c>
      <c r="C116" s="94">
        <v>20</v>
      </c>
      <c r="D116" s="95" t="s">
        <v>127</v>
      </c>
      <c r="E116" s="95">
        <v>4</v>
      </c>
      <c r="F116" s="40">
        <f>C116*E116</f>
        <v>80</v>
      </c>
      <c r="G116" s="43" t="s">
        <v>85</v>
      </c>
      <c r="H116" s="40">
        <v>20</v>
      </c>
      <c r="I116" s="41" t="s">
        <v>127</v>
      </c>
      <c r="J116" s="48">
        <v>4</v>
      </c>
      <c r="K116" s="47">
        <f>H116*J116</f>
        <v>80</v>
      </c>
      <c r="L116" s="48">
        <v>4</v>
      </c>
      <c r="M116" s="47">
        <f>H116*L116</f>
        <v>80</v>
      </c>
      <c r="N116" s="46">
        <v>3</v>
      </c>
      <c r="O116" s="40">
        <f>H116*N116</f>
        <v>60</v>
      </c>
      <c r="P116" s="46">
        <v>3</v>
      </c>
      <c r="Q116" s="40">
        <f>H116*P116</f>
        <v>60</v>
      </c>
      <c r="R116" s="46" t="s">
        <v>85</v>
      </c>
    </row>
    <row r="117" spans="2:20">
      <c r="B117" s="39" t="s">
        <v>122</v>
      </c>
      <c r="C117" s="94"/>
      <c r="D117" s="95"/>
      <c r="E117" s="95"/>
      <c r="F117" s="40"/>
      <c r="G117" s="43"/>
      <c r="H117" s="41"/>
      <c r="I117" s="41"/>
      <c r="J117" s="48"/>
      <c r="K117" s="47"/>
      <c r="L117" s="51"/>
      <c r="M117" s="77"/>
      <c r="N117" s="46"/>
      <c r="O117" s="40"/>
      <c r="P117" s="65"/>
      <c r="Q117" s="40"/>
      <c r="R117" s="46"/>
    </row>
    <row r="118" spans="2:20">
      <c r="B118" s="20" t="s">
        <v>100</v>
      </c>
      <c r="C118" s="94">
        <v>16.18</v>
      </c>
      <c r="D118" s="95" t="s">
        <v>101</v>
      </c>
      <c r="E118" s="95">
        <v>11</v>
      </c>
      <c r="F118" s="40">
        <f t="shared" ref="F118:F123" si="33">C118*E118</f>
        <v>177.98</v>
      </c>
      <c r="G118" s="43" t="s">
        <v>85</v>
      </c>
      <c r="H118" s="44">
        <v>4.16</v>
      </c>
      <c r="I118" s="41" t="s">
        <v>101</v>
      </c>
      <c r="J118" s="48">
        <v>11</v>
      </c>
      <c r="K118" s="47">
        <f t="shared" ref="K118:K123" si="34">H118*J118</f>
        <v>45.760000000000005</v>
      </c>
      <c r="L118" s="51">
        <v>6</v>
      </c>
      <c r="M118" s="77">
        <f t="shared" ref="M118:M123" si="35">H118*L118</f>
        <v>24.96</v>
      </c>
      <c r="N118" s="46">
        <v>4</v>
      </c>
      <c r="O118" s="47">
        <f>H118*N118</f>
        <v>16.64</v>
      </c>
      <c r="P118" s="41">
        <v>1</v>
      </c>
      <c r="Q118" s="47">
        <f t="shared" ref="Q118:Q123" si="36">H118*P118</f>
        <v>4.16</v>
      </c>
      <c r="R118" s="41" t="s">
        <v>102</v>
      </c>
    </row>
    <row r="119" spans="2:20">
      <c r="B119" s="20" t="s">
        <v>106</v>
      </c>
      <c r="C119" s="94">
        <v>3.88</v>
      </c>
      <c r="D119" s="95" t="s">
        <v>101</v>
      </c>
      <c r="E119" s="95">
        <v>1.5</v>
      </c>
      <c r="F119" s="40">
        <f t="shared" si="33"/>
        <v>5.82</v>
      </c>
      <c r="G119" s="43" t="s">
        <v>85</v>
      </c>
      <c r="H119" s="44">
        <v>3.34</v>
      </c>
      <c r="I119" s="41" t="s">
        <v>101</v>
      </c>
      <c r="J119" s="48">
        <v>1.5</v>
      </c>
      <c r="K119" s="47">
        <f t="shared" si="34"/>
        <v>5.01</v>
      </c>
      <c r="L119" s="51">
        <v>1.5</v>
      </c>
      <c r="M119" s="77">
        <f t="shared" si="35"/>
        <v>5.01</v>
      </c>
      <c r="N119" s="46">
        <v>1</v>
      </c>
      <c r="O119" s="47">
        <f>H119*N119</f>
        <v>3.34</v>
      </c>
      <c r="P119" s="41">
        <v>1</v>
      </c>
      <c r="Q119" s="47">
        <f t="shared" si="36"/>
        <v>3.34</v>
      </c>
      <c r="R119" s="41" t="s">
        <v>85</v>
      </c>
    </row>
    <row r="120" spans="2:20">
      <c r="B120" s="20" t="s">
        <v>107</v>
      </c>
      <c r="C120" s="94">
        <v>4.67</v>
      </c>
      <c r="D120" s="95" t="s">
        <v>101</v>
      </c>
      <c r="E120" s="95">
        <v>1.5</v>
      </c>
      <c r="F120" s="40">
        <f t="shared" si="33"/>
        <v>7.0049999999999999</v>
      </c>
      <c r="G120" s="43" t="s">
        <v>85</v>
      </c>
      <c r="H120" s="44">
        <v>3.52</v>
      </c>
      <c r="I120" s="41" t="s">
        <v>101</v>
      </c>
      <c r="J120" s="48">
        <v>1.5</v>
      </c>
      <c r="K120" s="47">
        <f t="shared" si="34"/>
        <v>5.28</v>
      </c>
      <c r="L120" s="51">
        <v>1.5</v>
      </c>
      <c r="M120" s="77">
        <f t="shared" si="35"/>
        <v>5.28</v>
      </c>
      <c r="N120" s="46">
        <v>2</v>
      </c>
      <c r="O120" s="47">
        <f>H120*N120</f>
        <v>7.04</v>
      </c>
      <c r="P120" s="41">
        <v>1</v>
      </c>
      <c r="Q120" s="47">
        <f t="shared" si="36"/>
        <v>3.52</v>
      </c>
      <c r="R120" s="41" t="s">
        <v>85</v>
      </c>
    </row>
    <row r="121" spans="2:20">
      <c r="B121" s="20" t="s">
        <v>108</v>
      </c>
      <c r="C121" s="94">
        <v>19.37</v>
      </c>
      <c r="D121" s="95" t="s">
        <v>101</v>
      </c>
      <c r="E121" s="95">
        <v>2</v>
      </c>
      <c r="F121" s="40">
        <f t="shared" si="33"/>
        <v>38.74</v>
      </c>
      <c r="G121" s="43" t="s">
        <v>109</v>
      </c>
      <c r="H121" s="44">
        <v>8.18</v>
      </c>
      <c r="I121" s="41" t="s">
        <v>101</v>
      </c>
      <c r="J121" s="48">
        <v>2</v>
      </c>
      <c r="K121" s="47">
        <f t="shared" si="34"/>
        <v>16.36</v>
      </c>
      <c r="L121" s="51">
        <v>1.5</v>
      </c>
      <c r="M121" s="77">
        <f t="shared" si="35"/>
        <v>12.27</v>
      </c>
      <c r="N121" s="46">
        <v>0.25</v>
      </c>
      <c r="O121" s="47">
        <f>H121*N121</f>
        <v>2.0449999999999999</v>
      </c>
      <c r="P121" s="41">
        <v>0</v>
      </c>
      <c r="Q121" s="47">
        <f t="shared" si="36"/>
        <v>0</v>
      </c>
      <c r="R121" s="41"/>
    </row>
    <row r="122" spans="2:20">
      <c r="B122" s="20" t="s">
        <v>136</v>
      </c>
      <c r="C122" s="94">
        <v>13.52</v>
      </c>
      <c r="D122" s="95" t="s">
        <v>101</v>
      </c>
      <c r="E122" s="95">
        <v>2</v>
      </c>
      <c r="F122" s="40">
        <f t="shared" si="33"/>
        <v>27.04</v>
      </c>
      <c r="G122" s="43" t="s">
        <v>85</v>
      </c>
      <c r="H122" s="40">
        <v>4.1900000000000004</v>
      </c>
      <c r="I122" s="41" t="s">
        <v>101</v>
      </c>
      <c r="J122" s="48">
        <v>2</v>
      </c>
      <c r="K122" s="82">
        <f t="shared" si="34"/>
        <v>8.3800000000000008</v>
      </c>
      <c r="L122" s="48"/>
      <c r="M122" s="40"/>
      <c r="N122" s="81">
        <v>2</v>
      </c>
      <c r="O122" s="40">
        <f t="shared" ref="O122" si="37">H122*N122</f>
        <v>8.3800000000000008</v>
      </c>
      <c r="P122" s="46">
        <v>2</v>
      </c>
      <c r="Q122" s="47">
        <f t="shared" si="36"/>
        <v>8.3800000000000008</v>
      </c>
      <c r="R122" s="41" t="s">
        <v>150</v>
      </c>
      <c r="S122" s="47"/>
      <c r="T122" s="41"/>
    </row>
    <row r="123" spans="2:20">
      <c r="B123" s="20" t="s">
        <v>110</v>
      </c>
      <c r="C123" s="94">
        <v>1.8</v>
      </c>
      <c r="D123" s="95" t="s">
        <v>101</v>
      </c>
      <c r="E123" s="95">
        <v>8</v>
      </c>
      <c r="F123" s="40">
        <f t="shared" si="33"/>
        <v>14.4</v>
      </c>
      <c r="G123" s="43" t="s">
        <v>85</v>
      </c>
      <c r="H123" s="40">
        <v>1.44</v>
      </c>
      <c r="I123" s="41" t="s">
        <v>101</v>
      </c>
      <c r="J123" s="48">
        <v>8</v>
      </c>
      <c r="K123" s="47">
        <f t="shared" si="34"/>
        <v>11.52</v>
      </c>
      <c r="L123" s="51">
        <v>4</v>
      </c>
      <c r="M123" s="77">
        <f t="shared" si="35"/>
        <v>5.76</v>
      </c>
      <c r="N123" s="46">
        <v>3</v>
      </c>
      <c r="O123" s="47">
        <f>H123*N123</f>
        <v>4.32</v>
      </c>
      <c r="P123" s="41">
        <v>2</v>
      </c>
      <c r="Q123" s="47">
        <f t="shared" si="36"/>
        <v>2.88</v>
      </c>
      <c r="R123" s="41" t="s">
        <v>85</v>
      </c>
    </row>
    <row r="124" spans="2:20">
      <c r="B124" s="39" t="s">
        <v>111</v>
      </c>
      <c r="C124" s="94"/>
      <c r="D124" s="95"/>
      <c r="E124" s="95"/>
      <c r="F124" s="40"/>
      <c r="G124" s="43"/>
      <c r="H124" s="41"/>
      <c r="I124" s="41"/>
      <c r="J124" s="48"/>
      <c r="K124" s="47"/>
      <c r="L124" s="51"/>
      <c r="M124" s="77"/>
      <c r="N124" s="46"/>
      <c r="O124" s="47"/>
      <c r="P124" s="41"/>
      <c r="Q124" s="47"/>
      <c r="R124" s="41"/>
    </row>
    <row r="125" spans="2:20">
      <c r="B125" s="20" t="s">
        <v>112</v>
      </c>
      <c r="C125" s="94">
        <f>C30</f>
        <v>153.56521739130434</v>
      </c>
      <c r="D125" s="95" t="s">
        <v>113</v>
      </c>
      <c r="E125" s="95">
        <v>1</v>
      </c>
      <c r="F125" s="40">
        <f>C125*E125</f>
        <v>153.56521739130434</v>
      </c>
      <c r="G125" s="43" t="s">
        <v>85</v>
      </c>
      <c r="H125" s="40">
        <v>3</v>
      </c>
      <c r="I125" s="41" t="s">
        <v>113</v>
      </c>
      <c r="J125" s="48">
        <v>1</v>
      </c>
      <c r="K125" s="47">
        <f>H125*J125</f>
        <v>3</v>
      </c>
      <c r="L125" s="48">
        <v>1.5</v>
      </c>
      <c r="M125" s="47">
        <f>H125*L125</f>
        <v>4.5</v>
      </c>
      <c r="N125" s="46">
        <v>1</v>
      </c>
      <c r="O125" s="47">
        <f>H125*N125</f>
        <v>3</v>
      </c>
      <c r="P125" s="41">
        <v>1</v>
      </c>
      <c r="Q125" s="47">
        <f>H125*P125</f>
        <v>3</v>
      </c>
      <c r="R125" s="41" t="s">
        <v>85</v>
      </c>
    </row>
    <row r="126" spans="2:20">
      <c r="B126" s="20" t="s">
        <v>135</v>
      </c>
      <c r="C126" s="94">
        <f>25.74*(1/23)</f>
        <v>1.1191304347826085</v>
      </c>
      <c r="D126" s="95" t="s">
        <v>113</v>
      </c>
      <c r="E126" s="95">
        <v>1</v>
      </c>
      <c r="F126" s="40">
        <f>C126*E126</f>
        <v>1.1191304347826085</v>
      </c>
      <c r="G126" s="43" t="s">
        <v>85</v>
      </c>
      <c r="H126" s="40">
        <v>0.63</v>
      </c>
      <c r="I126" s="41" t="s">
        <v>113</v>
      </c>
      <c r="J126" s="48">
        <v>1</v>
      </c>
      <c r="K126" s="47">
        <f>H126*J126</f>
        <v>0.63</v>
      </c>
      <c r="L126" s="48">
        <v>1.5</v>
      </c>
      <c r="M126" s="47">
        <f>H126*L126</f>
        <v>0.94500000000000006</v>
      </c>
      <c r="N126" s="46">
        <v>1</v>
      </c>
      <c r="O126" s="47">
        <f>H126*N126</f>
        <v>0.63</v>
      </c>
      <c r="P126" s="41">
        <v>1</v>
      </c>
      <c r="Q126" s="47">
        <f>H126*P126</f>
        <v>0.63</v>
      </c>
      <c r="R126" s="41" t="s">
        <v>85</v>
      </c>
    </row>
    <row r="127" spans="2:20">
      <c r="B127" s="20" t="s">
        <v>115</v>
      </c>
      <c r="C127" s="94">
        <f>C32</f>
        <v>211</v>
      </c>
      <c r="D127" s="95" t="s">
        <v>113</v>
      </c>
      <c r="E127" s="95">
        <v>1</v>
      </c>
      <c r="F127" s="40">
        <f>C127*E127</f>
        <v>211</v>
      </c>
      <c r="G127" s="43" t="s">
        <v>85</v>
      </c>
      <c r="H127" s="40">
        <v>8.23</v>
      </c>
      <c r="I127" s="41" t="s">
        <v>113</v>
      </c>
      <c r="J127" s="48">
        <v>1</v>
      </c>
      <c r="K127" s="47">
        <f>H127*J127</f>
        <v>8.23</v>
      </c>
      <c r="L127" s="48">
        <v>1.5</v>
      </c>
      <c r="M127" s="47">
        <f>H127*L127</f>
        <v>12.345000000000001</v>
      </c>
      <c r="N127" s="46">
        <v>1</v>
      </c>
      <c r="O127" s="47">
        <f>H127*N127</f>
        <v>8.23</v>
      </c>
      <c r="P127" s="41">
        <v>1</v>
      </c>
      <c r="Q127" s="47">
        <f>H127*P127</f>
        <v>8.23</v>
      </c>
      <c r="R127" s="41" t="s">
        <v>85</v>
      </c>
    </row>
    <row r="128" spans="2:20">
      <c r="B128" s="20" t="s">
        <v>156</v>
      </c>
      <c r="C128" s="94">
        <f>71.19*(1/23)</f>
        <v>3.0952173913043475</v>
      </c>
      <c r="D128" s="95" t="s">
        <v>113</v>
      </c>
      <c r="E128" s="95">
        <v>1</v>
      </c>
      <c r="F128" s="40">
        <f>C128*E128</f>
        <v>3.0952173913043475</v>
      </c>
      <c r="G128" s="43" t="s">
        <v>85</v>
      </c>
      <c r="H128" s="40">
        <v>0.42</v>
      </c>
      <c r="I128" s="41" t="s">
        <v>113</v>
      </c>
      <c r="J128" s="48">
        <v>1</v>
      </c>
      <c r="K128" s="47">
        <f>H128*J128</f>
        <v>0.42</v>
      </c>
      <c r="L128" s="48">
        <v>1.5</v>
      </c>
      <c r="M128" s="47">
        <f>H128*L128</f>
        <v>0.63</v>
      </c>
      <c r="N128" s="46">
        <v>1</v>
      </c>
      <c r="O128" s="47">
        <f>H128*N128</f>
        <v>0.42</v>
      </c>
      <c r="P128" s="41">
        <v>1</v>
      </c>
      <c r="Q128" s="47">
        <f>H128*P128</f>
        <v>0.42</v>
      </c>
      <c r="R128" s="41" t="s">
        <v>85</v>
      </c>
    </row>
    <row r="129" spans="2:18">
      <c r="B129" s="20" t="s">
        <v>157</v>
      </c>
      <c r="C129" s="94">
        <f>C34</f>
        <v>4.0434782608695654</v>
      </c>
      <c r="D129" s="95" t="s">
        <v>113</v>
      </c>
      <c r="E129" s="95">
        <v>1</v>
      </c>
      <c r="F129" s="40">
        <f>C129*E129</f>
        <v>4.0434782608695654</v>
      </c>
      <c r="G129" s="43" t="s">
        <v>85</v>
      </c>
      <c r="H129" s="40">
        <v>0.16</v>
      </c>
      <c r="I129" s="41" t="s">
        <v>113</v>
      </c>
      <c r="J129" s="48">
        <v>1</v>
      </c>
      <c r="K129" s="47">
        <f>H129*J129</f>
        <v>0.16</v>
      </c>
      <c r="L129" s="48">
        <v>1.5</v>
      </c>
      <c r="M129" s="47">
        <f>H129*L129</f>
        <v>0.24</v>
      </c>
      <c r="N129" s="46">
        <v>1</v>
      </c>
      <c r="O129" s="47">
        <f>H129*N129</f>
        <v>0.16</v>
      </c>
      <c r="P129" s="41">
        <v>1</v>
      </c>
      <c r="Q129" s="47">
        <f>H129*P129</f>
        <v>0.16</v>
      </c>
      <c r="R129" s="41" t="s">
        <v>85</v>
      </c>
    </row>
    <row r="130" spans="2:18">
      <c r="B130" s="53" t="s">
        <v>117</v>
      </c>
      <c r="C130" s="103"/>
      <c r="D130" s="104"/>
      <c r="E130" s="104"/>
      <c r="F130" s="55">
        <f>SUM(F103:F129)</f>
        <v>1659.4005434782609</v>
      </c>
      <c r="G130" s="76"/>
      <c r="H130" s="71"/>
      <c r="I130" s="71"/>
      <c r="J130" s="75"/>
      <c r="K130" s="60">
        <f>SUM(K103:K129)</f>
        <v>770.75583333333327</v>
      </c>
      <c r="L130" s="70"/>
      <c r="M130" s="73">
        <f>SUM(M103:M129)</f>
        <v>680.53083333333348</v>
      </c>
      <c r="N130" s="72"/>
      <c r="O130" s="60">
        <f>SUM(O103:O129)</f>
        <v>563.45799999999997</v>
      </c>
      <c r="P130" s="71"/>
      <c r="Q130" s="60">
        <f>SUM(Q103:Q129)</f>
        <v>386.76300000000003</v>
      </c>
      <c r="R130" s="71"/>
    </row>
    <row r="131" spans="2:18" ht="9" customHeight="1">
      <c r="B131" s="11"/>
      <c r="C131" s="92"/>
      <c r="D131" s="93"/>
      <c r="E131" s="93"/>
      <c r="F131" s="61"/>
      <c r="G131" s="32"/>
      <c r="H131" s="11"/>
      <c r="I131" s="11"/>
      <c r="J131" s="11"/>
      <c r="K131" s="61"/>
      <c r="L131" s="64"/>
      <c r="M131" s="64"/>
      <c r="N131" s="11"/>
      <c r="O131" s="61"/>
      <c r="P131" s="61"/>
      <c r="Q131" s="61"/>
      <c r="R131" s="11"/>
    </row>
    <row r="132" spans="2:18" ht="19">
      <c r="B132" s="2" t="s">
        <v>137</v>
      </c>
      <c r="C132" s="94"/>
      <c r="D132" s="95"/>
      <c r="E132" s="95"/>
      <c r="F132" s="40"/>
      <c r="G132" s="43"/>
      <c r="H132" s="41"/>
      <c r="I132" s="41"/>
      <c r="J132" s="48"/>
      <c r="K132" s="47"/>
      <c r="L132" s="52"/>
      <c r="M132" s="52"/>
      <c r="N132" s="46"/>
      <c r="O132" s="40"/>
      <c r="P132" s="65"/>
      <c r="Q132" s="40"/>
      <c r="R132" s="46"/>
    </row>
    <row r="133" spans="2:18">
      <c r="B133" s="39" t="s">
        <v>119</v>
      </c>
      <c r="H133" s="41"/>
      <c r="I133" s="41"/>
      <c r="J133" s="34"/>
      <c r="K133" s="38"/>
      <c r="L133" s="36"/>
      <c r="M133" s="36"/>
      <c r="N133" s="46"/>
      <c r="O133" s="40"/>
      <c r="P133" s="65"/>
      <c r="Q133" s="40"/>
      <c r="R133" s="46"/>
    </row>
    <row r="134" spans="2:18">
      <c r="B134" s="20" t="s">
        <v>83</v>
      </c>
      <c r="C134" s="94">
        <v>37.299999999999997</v>
      </c>
      <c r="D134" s="95" t="s">
        <v>84</v>
      </c>
      <c r="E134" s="96">
        <f>(45+25+25+20)/60</f>
        <v>1.9166666666666667</v>
      </c>
      <c r="F134" s="40">
        <f t="shared" ref="F134:F139" si="38">C134*E134</f>
        <v>71.49166666666666</v>
      </c>
      <c r="G134" s="43" t="s">
        <v>85</v>
      </c>
      <c r="H134" s="44">
        <v>33.299999999999997</v>
      </c>
      <c r="I134" s="41" t="s">
        <v>84</v>
      </c>
      <c r="J134" s="45">
        <f>E134</f>
        <v>1.9166666666666667</v>
      </c>
      <c r="K134" s="47">
        <f t="shared" ref="K134:K139" si="39">H134*J134</f>
        <v>63.824999999999996</v>
      </c>
      <c r="L134" s="45">
        <f>(40+25+25)/60</f>
        <v>1.5</v>
      </c>
      <c r="M134" s="47">
        <f t="shared" ref="M134:M139" si="40">H134*L134</f>
        <v>49.949999999999996</v>
      </c>
      <c r="N134" s="66">
        <f>(30+20+15+30)/60</f>
        <v>1.5833333333333333</v>
      </c>
      <c r="O134" s="47">
        <f t="shared" ref="O134:O139" si="41">H134*N134</f>
        <v>52.724999999999994</v>
      </c>
      <c r="P134" s="66">
        <f>(30+20+15+30)/60</f>
        <v>1.5833333333333333</v>
      </c>
      <c r="Q134" s="47">
        <f t="shared" ref="Q134:Q139" si="42">H134*P134</f>
        <v>52.724999999999994</v>
      </c>
      <c r="R134" s="41" t="s">
        <v>86</v>
      </c>
    </row>
    <row r="135" spans="2:18">
      <c r="B135" s="20" t="s">
        <v>87</v>
      </c>
      <c r="C135" s="94">
        <v>8.4</v>
      </c>
      <c r="D135" s="95" t="s">
        <v>84</v>
      </c>
      <c r="E135" s="97">
        <f>(60+50+35+30+25+120)/60</f>
        <v>5.333333333333333</v>
      </c>
      <c r="F135" s="40">
        <f t="shared" si="38"/>
        <v>44.8</v>
      </c>
      <c r="G135" s="43" t="s">
        <v>85</v>
      </c>
      <c r="H135" s="44">
        <v>4.2</v>
      </c>
      <c r="I135" s="41" t="s">
        <v>84</v>
      </c>
      <c r="J135" s="50">
        <f>E135</f>
        <v>5.333333333333333</v>
      </c>
      <c r="K135" s="47">
        <f t="shared" si="39"/>
        <v>22.4</v>
      </c>
      <c r="L135" s="50">
        <f>(40+55+45)/60</f>
        <v>2.3333333333333335</v>
      </c>
      <c r="M135" s="47">
        <f t="shared" si="40"/>
        <v>9.8000000000000007</v>
      </c>
      <c r="N135" s="66">
        <f>(40+35+20+20)/60</f>
        <v>1.9166666666666667</v>
      </c>
      <c r="O135" s="47">
        <f t="shared" si="41"/>
        <v>8.0500000000000007</v>
      </c>
      <c r="P135" s="66">
        <f>(40+35+20+20)/60</f>
        <v>1.9166666666666667</v>
      </c>
      <c r="Q135" s="47">
        <f t="shared" si="42"/>
        <v>8.0500000000000007</v>
      </c>
      <c r="R135" s="41" t="s">
        <v>86</v>
      </c>
    </row>
    <row r="136" spans="2:18">
      <c r="B136" s="20" t="s">
        <v>88</v>
      </c>
      <c r="C136" s="94">
        <v>6.5</v>
      </c>
      <c r="D136" s="95" t="s">
        <v>84</v>
      </c>
      <c r="E136" s="97">
        <f>(45+25+60)/60</f>
        <v>2.1666666666666665</v>
      </c>
      <c r="F136" s="40">
        <f t="shared" si="38"/>
        <v>14.083333333333332</v>
      </c>
      <c r="G136" s="43" t="s">
        <v>85</v>
      </c>
      <c r="H136" s="44">
        <v>3.26</v>
      </c>
      <c r="I136" s="41" t="s">
        <v>84</v>
      </c>
      <c r="J136" s="50">
        <f>E136</f>
        <v>2.1666666666666665</v>
      </c>
      <c r="K136" s="47">
        <f t="shared" si="39"/>
        <v>7.0633333333333326</v>
      </c>
      <c r="L136" s="50">
        <f>(40+55+40)/60</f>
        <v>2.25</v>
      </c>
      <c r="M136" s="47">
        <f t="shared" si="40"/>
        <v>7.3349999999999991</v>
      </c>
      <c r="N136" s="66">
        <f>(40+30+30+20)/60</f>
        <v>2</v>
      </c>
      <c r="O136" s="47">
        <f t="shared" si="41"/>
        <v>6.52</v>
      </c>
      <c r="P136" s="66">
        <f>(40+30+30+20)/60</f>
        <v>2</v>
      </c>
      <c r="Q136" s="47">
        <f t="shared" si="42"/>
        <v>6.52</v>
      </c>
      <c r="R136" s="41" t="s">
        <v>86</v>
      </c>
    </row>
    <row r="137" spans="2:18">
      <c r="B137" s="20" t="s">
        <v>89</v>
      </c>
      <c r="C137" s="94">
        <v>19.93</v>
      </c>
      <c r="D137" s="95" t="s">
        <v>84</v>
      </c>
      <c r="E137" s="97">
        <f>E12</f>
        <v>2.4166666666666665</v>
      </c>
      <c r="F137" s="40">
        <f t="shared" si="38"/>
        <v>48.164166666666667</v>
      </c>
      <c r="G137" s="43" t="s">
        <v>85</v>
      </c>
      <c r="H137" s="44">
        <v>19.93</v>
      </c>
      <c r="I137" s="41" t="s">
        <v>84</v>
      </c>
      <c r="J137" s="50">
        <f>E137</f>
        <v>2.4166666666666665</v>
      </c>
      <c r="K137" s="47">
        <f t="shared" si="39"/>
        <v>48.164166666666667</v>
      </c>
      <c r="L137" s="50">
        <f>(35+15)/60</f>
        <v>0.83333333333333337</v>
      </c>
      <c r="M137" s="47">
        <f t="shared" si="40"/>
        <v>16.608333333333334</v>
      </c>
      <c r="N137" s="66">
        <v>0.5</v>
      </c>
      <c r="O137" s="47">
        <f t="shared" si="41"/>
        <v>9.9649999999999999</v>
      </c>
      <c r="P137" s="66">
        <v>0</v>
      </c>
      <c r="Q137" s="47">
        <f t="shared" si="42"/>
        <v>0</v>
      </c>
      <c r="R137" s="41" t="s">
        <v>86</v>
      </c>
    </row>
    <row r="138" spans="2:18">
      <c r="B138" s="20" t="s">
        <v>90</v>
      </c>
      <c r="C138" s="94">
        <v>5.6</v>
      </c>
      <c r="D138" s="95" t="s">
        <v>84</v>
      </c>
      <c r="E138" s="97">
        <v>1</v>
      </c>
      <c r="F138" s="40">
        <f t="shared" si="38"/>
        <v>5.6</v>
      </c>
      <c r="G138" s="43" t="s">
        <v>85</v>
      </c>
      <c r="H138" s="44">
        <v>3.26</v>
      </c>
      <c r="I138" s="41" t="s">
        <v>84</v>
      </c>
      <c r="J138" s="50">
        <f>E138</f>
        <v>1</v>
      </c>
      <c r="K138" s="47">
        <f t="shared" si="39"/>
        <v>3.26</v>
      </c>
      <c r="L138" s="50">
        <f>45/60</f>
        <v>0.75</v>
      </c>
      <c r="M138" s="47">
        <f t="shared" si="40"/>
        <v>2.4449999999999998</v>
      </c>
      <c r="N138" s="66">
        <v>0.75</v>
      </c>
      <c r="O138" s="47">
        <f t="shared" si="41"/>
        <v>2.4449999999999998</v>
      </c>
      <c r="P138" s="66">
        <v>0</v>
      </c>
      <c r="Q138" s="47">
        <f t="shared" si="42"/>
        <v>0</v>
      </c>
      <c r="R138" s="41" t="s">
        <v>86</v>
      </c>
    </row>
    <row r="139" spans="2:18">
      <c r="B139" s="20" t="s">
        <v>91</v>
      </c>
      <c r="C139" s="94">
        <v>3.85</v>
      </c>
      <c r="D139" s="95" t="s">
        <v>84</v>
      </c>
      <c r="E139" s="97">
        <v>1.3333333333333333</v>
      </c>
      <c r="F139" s="40">
        <f t="shared" si="38"/>
        <v>5.1333333333333329</v>
      </c>
      <c r="G139" s="43" t="s">
        <v>85</v>
      </c>
      <c r="H139" s="44">
        <v>1.93</v>
      </c>
      <c r="I139" s="41" t="s">
        <v>84</v>
      </c>
      <c r="J139" s="50">
        <v>1.3333333333333333</v>
      </c>
      <c r="K139" s="47">
        <f t="shared" si="39"/>
        <v>2.5733333333333333</v>
      </c>
      <c r="L139" s="50">
        <v>0.67</v>
      </c>
      <c r="M139" s="47">
        <f t="shared" si="40"/>
        <v>1.2931000000000001</v>
      </c>
      <c r="N139" s="46">
        <f>N14</f>
        <v>0.6</v>
      </c>
      <c r="O139" s="47">
        <f t="shared" si="41"/>
        <v>1.1579999999999999</v>
      </c>
      <c r="P139" s="46">
        <f>N14</f>
        <v>0.6</v>
      </c>
      <c r="Q139" s="47">
        <f t="shared" si="42"/>
        <v>1.1579999999999999</v>
      </c>
      <c r="R139" s="41" t="s">
        <v>86</v>
      </c>
    </row>
    <row r="140" spans="2:18">
      <c r="B140" s="39" t="s">
        <v>47</v>
      </c>
      <c r="G140" s="43"/>
      <c r="H140" s="41"/>
      <c r="I140" s="41"/>
      <c r="J140" s="34"/>
      <c r="K140" s="38"/>
      <c r="L140" s="35"/>
      <c r="M140" s="77"/>
      <c r="N140" s="46"/>
      <c r="O140" s="40"/>
      <c r="P140" s="65"/>
      <c r="Q140" s="40"/>
      <c r="R140" s="46"/>
    </row>
    <row r="141" spans="2:18">
      <c r="B141" s="20" t="s">
        <v>118</v>
      </c>
      <c r="C141" s="94">
        <v>49</v>
      </c>
      <c r="D141" s="95" t="s">
        <v>120</v>
      </c>
      <c r="E141" s="95">
        <v>8</v>
      </c>
      <c r="F141" s="40">
        <f>C141*E141</f>
        <v>392</v>
      </c>
      <c r="G141" s="43" t="s">
        <v>95</v>
      </c>
      <c r="H141" s="44">
        <v>18.100000000000001</v>
      </c>
      <c r="I141" s="41" t="s">
        <v>120</v>
      </c>
      <c r="J141" s="48">
        <v>8</v>
      </c>
      <c r="K141" s="47">
        <f>H141*J141</f>
        <v>144.80000000000001</v>
      </c>
      <c r="L141" s="48">
        <v>8</v>
      </c>
      <c r="M141" s="47">
        <f>H141*L141</f>
        <v>144.80000000000001</v>
      </c>
      <c r="N141" s="46">
        <v>8</v>
      </c>
      <c r="O141" s="40">
        <f>H141*N141</f>
        <v>144.80000000000001</v>
      </c>
      <c r="P141" s="65">
        <v>0</v>
      </c>
      <c r="Q141" s="40">
        <f>H141*P141</f>
        <v>0</v>
      </c>
      <c r="R141" s="46" t="s">
        <v>121</v>
      </c>
    </row>
    <row r="142" spans="2:18">
      <c r="B142" s="39" t="s">
        <v>133</v>
      </c>
      <c r="F142" s="40"/>
      <c r="J142" s="34"/>
      <c r="K142" s="47"/>
      <c r="L142" s="34"/>
      <c r="M142" s="47"/>
      <c r="N142" s="37"/>
      <c r="O142" s="40"/>
      <c r="P142" s="46"/>
      <c r="Q142" s="40"/>
      <c r="R142" s="37"/>
    </row>
    <row r="143" spans="2:18">
      <c r="B143" s="68" t="s">
        <v>134</v>
      </c>
      <c r="C143" s="94">
        <v>2.78</v>
      </c>
      <c r="D143" s="95" t="s">
        <v>120</v>
      </c>
      <c r="E143" s="102">
        <v>6</v>
      </c>
      <c r="F143" s="40">
        <f>C143*E143</f>
        <v>16.68</v>
      </c>
      <c r="G143" s="43" t="s">
        <v>85</v>
      </c>
      <c r="H143" s="44">
        <v>1.78</v>
      </c>
      <c r="I143" s="41" t="s">
        <v>127</v>
      </c>
      <c r="J143" s="69">
        <v>6</v>
      </c>
      <c r="K143" s="47">
        <f>H143*J143</f>
        <v>10.68</v>
      </c>
      <c r="L143" s="69">
        <v>6</v>
      </c>
      <c r="M143" s="47">
        <f>H143*L143</f>
        <v>10.68</v>
      </c>
      <c r="N143" s="46">
        <v>6</v>
      </c>
      <c r="O143" s="40">
        <f>H143*N143</f>
        <v>10.68</v>
      </c>
      <c r="P143" s="46">
        <v>6</v>
      </c>
      <c r="Q143" s="40">
        <f>H143*P143</f>
        <v>10.68</v>
      </c>
      <c r="R143" s="46" t="s">
        <v>85</v>
      </c>
    </row>
    <row r="144" spans="2:18">
      <c r="B144" s="39" t="s">
        <v>122</v>
      </c>
      <c r="C144" s="94"/>
      <c r="D144" s="95"/>
      <c r="E144" s="95"/>
      <c r="F144" s="40"/>
      <c r="G144" s="43"/>
      <c r="H144" s="41"/>
      <c r="I144" s="41"/>
      <c r="J144" s="48"/>
      <c r="K144" s="47"/>
      <c r="L144" s="51"/>
      <c r="M144" s="77"/>
      <c r="N144" s="46"/>
      <c r="O144" s="40"/>
      <c r="P144" s="65"/>
      <c r="Q144" s="40"/>
      <c r="R144" s="46"/>
    </row>
    <row r="145" spans="2:20">
      <c r="B145" s="20" t="s">
        <v>100</v>
      </c>
      <c r="C145" s="94">
        <v>16.18</v>
      </c>
      <c r="D145" s="95" t="s">
        <v>101</v>
      </c>
      <c r="E145" s="95">
        <v>11</v>
      </c>
      <c r="F145" s="40">
        <f t="shared" ref="F145:F151" si="43">C145*E145</f>
        <v>177.98</v>
      </c>
      <c r="G145" s="43" t="s">
        <v>85</v>
      </c>
      <c r="H145" s="44">
        <v>4.16</v>
      </c>
      <c r="I145" s="41" t="s">
        <v>101</v>
      </c>
      <c r="J145" s="48">
        <v>11</v>
      </c>
      <c r="K145" s="47">
        <f t="shared" ref="K145:K151" si="44">H145*J145</f>
        <v>45.760000000000005</v>
      </c>
      <c r="L145" s="48">
        <v>5</v>
      </c>
      <c r="M145" s="77">
        <f t="shared" ref="M145:M151" si="45">H145*L145</f>
        <v>20.8</v>
      </c>
      <c r="N145" s="46">
        <v>4</v>
      </c>
      <c r="O145" s="47">
        <f>H145*N145</f>
        <v>16.64</v>
      </c>
      <c r="P145" s="41">
        <v>1</v>
      </c>
      <c r="Q145" s="47">
        <f t="shared" ref="Q145:Q151" si="46">H145*P145</f>
        <v>4.16</v>
      </c>
      <c r="R145" s="41" t="s">
        <v>102</v>
      </c>
    </row>
    <row r="146" spans="2:20">
      <c r="B146" s="20" t="s">
        <v>103</v>
      </c>
      <c r="C146" s="94">
        <v>107.28</v>
      </c>
      <c r="D146" s="95" t="s">
        <v>101</v>
      </c>
      <c r="E146" s="95">
        <v>0</v>
      </c>
      <c r="F146" s="40">
        <f t="shared" si="43"/>
        <v>0</v>
      </c>
      <c r="G146" s="43" t="s">
        <v>85</v>
      </c>
      <c r="H146" s="44">
        <v>25.51</v>
      </c>
      <c r="I146" s="41" t="s">
        <v>101</v>
      </c>
      <c r="J146" s="48">
        <v>0</v>
      </c>
      <c r="K146" s="47">
        <f t="shared" si="44"/>
        <v>0</v>
      </c>
      <c r="L146" s="48">
        <v>0</v>
      </c>
      <c r="M146" s="77">
        <f t="shared" si="45"/>
        <v>0</v>
      </c>
      <c r="N146" s="46">
        <v>0</v>
      </c>
      <c r="O146" s="47">
        <f>H146*N146</f>
        <v>0</v>
      </c>
      <c r="P146" s="41">
        <v>0</v>
      </c>
      <c r="Q146" s="47">
        <f t="shared" si="46"/>
        <v>0</v>
      </c>
      <c r="R146" s="41" t="s">
        <v>102</v>
      </c>
    </row>
    <row r="147" spans="2:20">
      <c r="B147" s="20" t="s">
        <v>106</v>
      </c>
      <c r="C147" s="94">
        <v>3.88</v>
      </c>
      <c r="D147" s="95" t="s">
        <v>101</v>
      </c>
      <c r="E147" s="95">
        <v>1.5</v>
      </c>
      <c r="F147" s="40">
        <f t="shared" si="43"/>
        <v>5.82</v>
      </c>
      <c r="G147" s="43" t="s">
        <v>85</v>
      </c>
      <c r="H147" s="44">
        <v>3.34</v>
      </c>
      <c r="I147" s="41" t="s">
        <v>101</v>
      </c>
      <c r="J147" s="48">
        <v>1.5</v>
      </c>
      <c r="K147" s="47">
        <f t="shared" si="44"/>
        <v>5.01</v>
      </c>
      <c r="L147" s="48">
        <v>1</v>
      </c>
      <c r="M147" s="77">
        <f t="shared" si="45"/>
        <v>3.34</v>
      </c>
      <c r="N147" s="46">
        <v>1</v>
      </c>
      <c r="O147" s="47">
        <f>H147*N147</f>
        <v>3.34</v>
      </c>
      <c r="P147" s="41">
        <v>1</v>
      </c>
      <c r="Q147" s="47">
        <f t="shared" si="46"/>
        <v>3.34</v>
      </c>
      <c r="R147" s="41" t="s">
        <v>85</v>
      </c>
    </row>
    <row r="148" spans="2:20">
      <c r="B148" s="20" t="s">
        <v>107</v>
      </c>
      <c r="C148" s="94">
        <v>4.67</v>
      </c>
      <c r="D148" s="95" t="s">
        <v>101</v>
      </c>
      <c r="E148" s="95">
        <v>1.5</v>
      </c>
      <c r="F148" s="40">
        <f t="shared" si="43"/>
        <v>7.0049999999999999</v>
      </c>
      <c r="G148" s="43" t="s">
        <v>85</v>
      </c>
      <c r="H148" s="44">
        <v>3.52</v>
      </c>
      <c r="I148" s="41" t="s">
        <v>101</v>
      </c>
      <c r="J148" s="48">
        <v>1.5</v>
      </c>
      <c r="K148" s="47">
        <f t="shared" si="44"/>
        <v>5.28</v>
      </c>
      <c r="L148" s="48">
        <v>1</v>
      </c>
      <c r="M148" s="77">
        <f t="shared" si="45"/>
        <v>3.52</v>
      </c>
      <c r="N148" s="46">
        <v>2</v>
      </c>
      <c r="O148" s="47">
        <f>H148*N148</f>
        <v>7.04</v>
      </c>
      <c r="P148" s="41">
        <v>1</v>
      </c>
      <c r="Q148" s="47">
        <f t="shared" si="46"/>
        <v>3.52</v>
      </c>
      <c r="R148" s="41" t="s">
        <v>85</v>
      </c>
    </row>
    <row r="149" spans="2:20">
      <c r="B149" s="20" t="s">
        <v>108</v>
      </c>
      <c r="C149" s="94">
        <v>19.37</v>
      </c>
      <c r="D149" s="95" t="s">
        <v>101</v>
      </c>
      <c r="E149" s="95">
        <v>2</v>
      </c>
      <c r="F149" s="40">
        <f t="shared" si="43"/>
        <v>38.74</v>
      </c>
      <c r="G149" s="43" t="s">
        <v>109</v>
      </c>
      <c r="H149" s="44">
        <v>8.18</v>
      </c>
      <c r="I149" s="41" t="s">
        <v>101</v>
      </c>
      <c r="J149" s="48">
        <v>2</v>
      </c>
      <c r="K149" s="47">
        <f t="shared" si="44"/>
        <v>16.36</v>
      </c>
      <c r="L149" s="48">
        <v>2</v>
      </c>
      <c r="M149" s="77">
        <f t="shared" si="45"/>
        <v>16.36</v>
      </c>
      <c r="N149" s="46">
        <v>0.25</v>
      </c>
      <c r="O149" s="47">
        <f>H149*N149</f>
        <v>2.0449999999999999</v>
      </c>
      <c r="P149" s="41">
        <v>0</v>
      </c>
      <c r="Q149" s="47">
        <f t="shared" si="46"/>
        <v>0</v>
      </c>
      <c r="R149" s="41"/>
    </row>
    <row r="150" spans="2:20">
      <c r="B150" s="20" t="s">
        <v>136</v>
      </c>
      <c r="C150" s="94">
        <v>13.52</v>
      </c>
      <c r="D150" s="95" t="s">
        <v>101</v>
      </c>
      <c r="E150" s="95">
        <v>2</v>
      </c>
      <c r="F150" s="40">
        <f t="shared" si="43"/>
        <v>27.04</v>
      </c>
      <c r="G150" s="43" t="s">
        <v>85</v>
      </c>
      <c r="H150" s="40">
        <v>4.1900000000000004</v>
      </c>
      <c r="I150" s="41" t="s">
        <v>101</v>
      </c>
      <c r="J150" s="48">
        <v>2</v>
      </c>
      <c r="K150" s="82">
        <f t="shared" si="44"/>
        <v>8.3800000000000008</v>
      </c>
      <c r="L150" s="48"/>
      <c r="M150" s="40"/>
      <c r="N150" s="81">
        <v>2</v>
      </c>
      <c r="O150" s="40">
        <f t="shared" ref="O150" si="47">H150*N150</f>
        <v>8.3800000000000008</v>
      </c>
      <c r="P150" s="46">
        <v>2</v>
      </c>
      <c r="Q150" s="47">
        <f t="shared" si="46"/>
        <v>8.3800000000000008</v>
      </c>
      <c r="R150" s="41" t="s">
        <v>150</v>
      </c>
      <c r="S150" s="47"/>
      <c r="T150" s="41"/>
    </row>
    <row r="151" spans="2:20">
      <c r="B151" s="20" t="s">
        <v>110</v>
      </c>
      <c r="C151" s="94">
        <v>1.8</v>
      </c>
      <c r="D151" s="95" t="s">
        <v>101</v>
      </c>
      <c r="E151" s="95">
        <v>8</v>
      </c>
      <c r="F151" s="40">
        <f t="shared" si="43"/>
        <v>14.4</v>
      </c>
      <c r="G151" s="43" t="s">
        <v>85</v>
      </c>
      <c r="H151" s="40">
        <v>1.44</v>
      </c>
      <c r="I151" s="41" t="s">
        <v>101</v>
      </c>
      <c r="J151" s="48">
        <v>8</v>
      </c>
      <c r="K151" s="47">
        <f t="shared" si="44"/>
        <v>11.52</v>
      </c>
      <c r="L151" s="48">
        <v>4</v>
      </c>
      <c r="M151" s="77">
        <f t="shared" si="45"/>
        <v>5.76</v>
      </c>
      <c r="N151" s="46">
        <v>3</v>
      </c>
      <c r="O151" s="47">
        <f>H151*N151</f>
        <v>4.32</v>
      </c>
      <c r="P151" s="41">
        <v>2</v>
      </c>
      <c r="Q151" s="47">
        <f t="shared" si="46"/>
        <v>2.88</v>
      </c>
      <c r="R151" s="41" t="s">
        <v>85</v>
      </c>
    </row>
    <row r="152" spans="2:20">
      <c r="B152" s="39" t="s">
        <v>111</v>
      </c>
      <c r="C152" s="94"/>
      <c r="D152" s="95"/>
      <c r="E152" s="95"/>
      <c r="F152" s="40"/>
      <c r="G152" s="43"/>
      <c r="H152" s="41"/>
      <c r="I152" s="41"/>
      <c r="J152" s="48"/>
      <c r="K152" s="47"/>
      <c r="L152" s="48"/>
      <c r="M152" s="77"/>
      <c r="N152" s="46"/>
      <c r="O152" s="47"/>
      <c r="P152" s="41"/>
      <c r="Q152" s="47"/>
      <c r="R152" s="41"/>
    </row>
    <row r="153" spans="2:20">
      <c r="B153" s="20" t="s">
        <v>112</v>
      </c>
      <c r="C153" s="94">
        <f>C30</f>
        <v>153.56521739130434</v>
      </c>
      <c r="D153" s="95" t="s">
        <v>113</v>
      </c>
      <c r="E153" s="95">
        <v>1</v>
      </c>
      <c r="F153" s="40">
        <f>C153*E153</f>
        <v>153.56521739130434</v>
      </c>
      <c r="G153" s="43" t="s">
        <v>85</v>
      </c>
      <c r="H153" s="40">
        <v>3</v>
      </c>
      <c r="I153" s="41" t="s">
        <v>113</v>
      </c>
      <c r="J153" s="48">
        <v>1</v>
      </c>
      <c r="K153" s="47">
        <f>H153*J153</f>
        <v>3</v>
      </c>
      <c r="L153" s="48">
        <v>1.5</v>
      </c>
      <c r="M153" s="77">
        <f>H153*L153</f>
        <v>4.5</v>
      </c>
      <c r="N153" s="46">
        <v>1</v>
      </c>
      <c r="O153" s="47">
        <f>H153*N153</f>
        <v>3</v>
      </c>
      <c r="P153" s="41">
        <v>1</v>
      </c>
      <c r="Q153" s="47">
        <f>H153*P153</f>
        <v>3</v>
      </c>
      <c r="R153" s="41" t="s">
        <v>85</v>
      </c>
    </row>
    <row r="154" spans="2:20">
      <c r="B154" s="20" t="s">
        <v>135</v>
      </c>
      <c r="C154" s="94">
        <f>25.74*(1/23)</f>
        <v>1.1191304347826085</v>
      </c>
      <c r="D154" s="95" t="s">
        <v>113</v>
      </c>
      <c r="E154" s="95">
        <v>1</v>
      </c>
      <c r="F154" s="40">
        <f>C154*E154</f>
        <v>1.1191304347826085</v>
      </c>
      <c r="G154" s="43" t="s">
        <v>85</v>
      </c>
      <c r="H154" s="40">
        <v>0.63</v>
      </c>
      <c r="I154" s="41" t="s">
        <v>113</v>
      </c>
      <c r="J154" s="48">
        <v>1</v>
      </c>
      <c r="K154" s="47">
        <f>H154*J154</f>
        <v>0.63</v>
      </c>
      <c r="L154" s="48">
        <v>1.5</v>
      </c>
      <c r="M154" s="77">
        <f>H154*L154</f>
        <v>0.94500000000000006</v>
      </c>
      <c r="N154" s="46">
        <v>1</v>
      </c>
      <c r="O154" s="47">
        <f>H154*N154</f>
        <v>0.63</v>
      </c>
      <c r="P154" s="41">
        <v>1</v>
      </c>
      <c r="Q154" s="47">
        <f>H154*P154</f>
        <v>0.63</v>
      </c>
      <c r="R154" s="41" t="s">
        <v>85</v>
      </c>
    </row>
    <row r="155" spans="2:20">
      <c r="B155" s="20" t="s">
        <v>115</v>
      </c>
      <c r="C155" s="94">
        <f>C32</f>
        <v>211</v>
      </c>
      <c r="D155" s="95" t="s">
        <v>113</v>
      </c>
      <c r="E155" s="95">
        <v>1</v>
      </c>
      <c r="F155" s="40">
        <f>C155*E155</f>
        <v>211</v>
      </c>
      <c r="G155" s="43" t="s">
        <v>85</v>
      </c>
      <c r="H155" s="40">
        <v>8.23</v>
      </c>
      <c r="I155" s="41" t="s">
        <v>113</v>
      </c>
      <c r="J155" s="48">
        <v>1</v>
      </c>
      <c r="K155" s="47">
        <f>H155*J155</f>
        <v>8.23</v>
      </c>
      <c r="L155" s="48">
        <v>1.5</v>
      </c>
      <c r="M155" s="77">
        <f>H155*L155</f>
        <v>12.345000000000001</v>
      </c>
      <c r="N155" s="46">
        <v>1</v>
      </c>
      <c r="O155" s="47">
        <f>H155*N155</f>
        <v>8.23</v>
      </c>
      <c r="P155" s="41">
        <v>1</v>
      </c>
      <c r="Q155" s="47">
        <f>H155*P155</f>
        <v>8.23</v>
      </c>
      <c r="R155" s="41" t="s">
        <v>85</v>
      </c>
    </row>
    <row r="156" spans="2:20">
      <c r="B156" s="20" t="s">
        <v>156</v>
      </c>
      <c r="C156" s="94">
        <f>71.19*(1/23)</f>
        <v>3.0952173913043475</v>
      </c>
      <c r="D156" s="95" t="s">
        <v>113</v>
      </c>
      <c r="E156" s="95">
        <v>1</v>
      </c>
      <c r="F156" s="40">
        <f>C156*E156</f>
        <v>3.0952173913043475</v>
      </c>
      <c r="G156" s="43" t="s">
        <v>85</v>
      </c>
      <c r="H156" s="40">
        <v>0.42</v>
      </c>
      <c r="I156" s="41" t="s">
        <v>113</v>
      </c>
      <c r="J156" s="48">
        <v>1</v>
      </c>
      <c r="K156" s="47">
        <f>H156*J156</f>
        <v>0.42</v>
      </c>
      <c r="L156" s="48">
        <v>1.5</v>
      </c>
      <c r="M156" s="77">
        <f>H156*L156</f>
        <v>0.63</v>
      </c>
      <c r="N156" s="46">
        <v>1</v>
      </c>
      <c r="O156" s="47">
        <f>H156*N156</f>
        <v>0.42</v>
      </c>
      <c r="P156" s="41">
        <v>1</v>
      </c>
      <c r="Q156" s="47">
        <f>H156*P156</f>
        <v>0.42</v>
      </c>
      <c r="R156" s="41" t="s">
        <v>85</v>
      </c>
    </row>
    <row r="157" spans="2:20">
      <c r="B157" s="20" t="s">
        <v>157</v>
      </c>
      <c r="C157" s="94">
        <f>C34</f>
        <v>4.0434782608695654</v>
      </c>
      <c r="D157" s="95" t="s">
        <v>113</v>
      </c>
      <c r="E157" s="95">
        <v>1</v>
      </c>
      <c r="F157" s="40">
        <f>C157*E157</f>
        <v>4.0434782608695654</v>
      </c>
      <c r="G157" s="43" t="s">
        <v>85</v>
      </c>
      <c r="H157" s="40">
        <v>0.16</v>
      </c>
      <c r="I157" s="41" t="s">
        <v>113</v>
      </c>
      <c r="J157" s="48">
        <v>1</v>
      </c>
      <c r="K157" s="47">
        <f>H157*J157</f>
        <v>0.16</v>
      </c>
      <c r="L157" s="48">
        <v>1.5</v>
      </c>
      <c r="M157" s="77">
        <f>H157*L157</f>
        <v>0.24</v>
      </c>
      <c r="N157" s="46">
        <v>1</v>
      </c>
      <c r="O157" s="47">
        <f>H157*N157</f>
        <v>0.16</v>
      </c>
      <c r="P157" s="41">
        <v>1</v>
      </c>
      <c r="Q157" s="47">
        <f>H157*P157</f>
        <v>0.16</v>
      </c>
      <c r="R157" s="41" t="s">
        <v>85</v>
      </c>
    </row>
    <row r="158" spans="2:20" s="8" customFormat="1">
      <c r="B158" s="53" t="s">
        <v>117</v>
      </c>
      <c r="C158" s="103"/>
      <c r="D158" s="104"/>
      <c r="E158" s="104"/>
      <c r="F158" s="55">
        <f>SUM(F133:F157)</f>
        <v>1241.7605434782611</v>
      </c>
      <c r="G158" s="76"/>
      <c r="H158" s="71"/>
      <c r="I158" s="71"/>
      <c r="J158" s="75"/>
      <c r="K158" s="60">
        <f>SUM(K133:K157)</f>
        <v>407.51583333333332</v>
      </c>
      <c r="L158" s="74"/>
      <c r="M158" s="73">
        <f>SUM(M133:M157)</f>
        <v>311.35143333333332</v>
      </c>
      <c r="N158" s="72"/>
      <c r="O158" s="60">
        <f>SUM(O133:O157)</f>
        <v>290.54800000000006</v>
      </c>
      <c r="P158" s="71"/>
      <c r="Q158" s="60">
        <f>SUM(Q133:Q157)</f>
        <v>113.85299999999997</v>
      </c>
      <c r="R158" s="71"/>
    </row>
    <row r="159" spans="2:20">
      <c r="G159"/>
    </row>
    <row r="160" spans="2:20">
      <c r="G160"/>
    </row>
    <row r="161" spans="7:7">
      <c r="G161"/>
    </row>
    <row r="162" spans="7:7">
      <c r="G162"/>
    </row>
    <row r="163" spans="7:7">
      <c r="G163"/>
    </row>
    <row r="164" spans="7:7">
      <c r="G164"/>
    </row>
    <row r="165" spans="7:7">
      <c r="G165"/>
    </row>
    <row r="166" spans="7:7">
      <c r="G166"/>
    </row>
    <row r="167" spans="7:7">
      <c r="G167"/>
    </row>
    <row r="168" spans="7:7">
      <c r="G168"/>
    </row>
    <row r="169" spans="7:7">
      <c r="G169"/>
    </row>
    <row r="170" spans="7:7">
      <c r="G170"/>
    </row>
    <row r="171" spans="7:7">
      <c r="G171"/>
    </row>
    <row r="172" spans="7:7">
      <c r="G172"/>
    </row>
    <row r="173" spans="7:7">
      <c r="G173"/>
    </row>
    <row r="174" spans="7:7">
      <c r="G174"/>
    </row>
    <row r="175" spans="7:7">
      <c r="G175"/>
    </row>
    <row r="176" spans="7:7">
      <c r="G176"/>
    </row>
    <row r="177" spans="7:7">
      <c r="G177"/>
    </row>
    <row r="178" spans="7:7">
      <c r="G178"/>
    </row>
    <row r="179" spans="7:7">
      <c r="G179"/>
    </row>
    <row r="180" spans="7:7">
      <c r="G180"/>
    </row>
    <row r="181" spans="7:7">
      <c r="G181"/>
    </row>
    <row r="182" spans="7:7">
      <c r="G182"/>
    </row>
    <row r="183" spans="7:7">
      <c r="G183"/>
    </row>
    <row r="184" spans="7:7">
      <c r="G184"/>
    </row>
    <row r="185" spans="7:7">
      <c r="G185"/>
    </row>
    <row r="186" spans="7:7">
      <c r="G186"/>
    </row>
    <row r="187" spans="7:7">
      <c r="G187"/>
    </row>
    <row r="188" spans="7:7">
      <c r="G188"/>
    </row>
    <row r="189" spans="7:7">
      <c r="G189"/>
    </row>
    <row r="190" spans="7:7">
      <c r="G190"/>
    </row>
    <row r="191" spans="7:7">
      <c r="G191"/>
    </row>
    <row r="192" spans="7:7">
      <c r="G192"/>
    </row>
    <row r="193" spans="7:7">
      <c r="G193"/>
    </row>
    <row r="194" spans="7:7">
      <c r="G194"/>
    </row>
    <row r="195" spans="7:7">
      <c r="G195"/>
    </row>
    <row r="196" spans="7:7">
      <c r="G196"/>
    </row>
    <row r="197" spans="7:7">
      <c r="G197"/>
    </row>
    <row r="198" spans="7:7">
      <c r="G198"/>
    </row>
  </sheetData>
  <sheetProtection algorithmName="SHA-512" hashValue="eviQM3/8GkGWEK15qoXtRdEdNYyj7FaQvt9tB7lTCpJ7bt5FQfitbn53/uBFCVv0UTiNf9ylWUb9yrOMkr5Fcw==" saltValue="ZYtEYTfQQaEJi6pZO3BRcQ==" spinCount="100000" sheet="1" objects="1" scenarios="1"/>
  <mergeCells count="8">
    <mergeCell ref="B3:B4"/>
    <mergeCell ref="H3:R3"/>
    <mergeCell ref="H4:I4"/>
    <mergeCell ref="N4:O4"/>
    <mergeCell ref="P4:Q4"/>
    <mergeCell ref="J4:K4"/>
    <mergeCell ref="L4:M4"/>
    <mergeCell ref="F3:G4"/>
  </mergeCells>
  <pageMargins left="0.7" right="0.7" top="0.75" bottom="0.75" header="0.3" footer="0.3"/>
  <pageSetup scale="32" fitToHeight="2" orientation="portrait" horizontalDpi="0" verticalDpi="0"/>
  <drawing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Scenario details</vt:lpstr>
      <vt:lpstr>Cost inputs Individual </vt:lpstr>
      <vt:lpstr>Cost inputs combination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Carolyn Hughes</dc:creator>
  <cp:lastModifiedBy>Carolyn Hughes</cp:lastModifiedBy>
  <dcterms:created xsi:type="dcterms:W3CDTF">2019-11-07T17:22:56Z</dcterms:created>
  <dcterms:modified xsi:type="dcterms:W3CDTF">2020-06-05T19:58:36Z</dcterms:modified>
</cp:coreProperties>
</file>