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E:\同位素英语\"/>
    </mc:Choice>
  </mc:AlternateContent>
  <xr:revisionPtr revIDLastSave="0" documentId="13_ncr:1_{03C6F892-5979-403C-85EB-2063E7260E0A}" xr6:coauthVersionLast="47" xr6:coauthVersionMax="47" xr10:uidLastSave="{00000000-0000-0000-0000-000000000000}"/>
  <bookViews>
    <workbookView xWindow="8604" yWindow="2040" windowWidth="11544" windowHeight="10680" firstSheet="1" activeTab="5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" i="2" l="1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2" i="2"/>
  <c r="T243" i="3"/>
  <c r="R243" i="3"/>
  <c r="T239" i="3"/>
  <c r="R239" i="3"/>
  <c r="T235" i="3"/>
  <c r="R235" i="3"/>
  <c r="T231" i="3"/>
  <c r="R231" i="3"/>
  <c r="T227" i="3"/>
  <c r="S227" i="3"/>
  <c r="R227" i="3"/>
  <c r="T223" i="3"/>
  <c r="R223" i="3"/>
  <c r="T219" i="3"/>
  <c r="R219" i="3"/>
  <c r="T215" i="3"/>
  <c r="R215" i="3"/>
  <c r="T211" i="3"/>
  <c r="R211" i="3"/>
  <c r="T206" i="3"/>
  <c r="R206" i="3"/>
  <c r="T202" i="3"/>
  <c r="R202" i="3"/>
  <c r="T198" i="3"/>
  <c r="R198" i="3"/>
  <c r="T194" i="3"/>
  <c r="R194" i="3"/>
  <c r="T190" i="3"/>
  <c r="R190" i="3"/>
  <c r="T186" i="3"/>
  <c r="R186" i="3"/>
  <c r="T181" i="3"/>
  <c r="S181" i="3"/>
  <c r="R181" i="3"/>
  <c r="T176" i="3"/>
  <c r="R176" i="3"/>
  <c r="T171" i="3"/>
  <c r="R171" i="3"/>
  <c r="T164" i="3"/>
  <c r="R164" i="3"/>
  <c r="T160" i="3"/>
  <c r="R160" i="3"/>
  <c r="T156" i="3"/>
  <c r="R156" i="3"/>
  <c r="T151" i="3"/>
  <c r="R151" i="3"/>
  <c r="T147" i="3"/>
  <c r="R147" i="3"/>
  <c r="T143" i="3"/>
  <c r="R143" i="3"/>
  <c r="T139" i="3"/>
  <c r="R139" i="3"/>
  <c r="T135" i="3"/>
  <c r="S135" i="3"/>
  <c r="R135" i="3"/>
  <c r="T131" i="3"/>
  <c r="R131" i="3"/>
  <c r="T126" i="3"/>
  <c r="R126" i="3"/>
  <c r="T121" i="3"/>
  <c r="R121" i="3"/>
  <c r="T116" i="3"/>
  <c r="R116" i="3"/>
  <c r="T111" i="3"/>
  <c r="R111" i="3"/>
  <c r="T106" i="3"/>
  <c r="R106" i="3"/>
  <c r="T101" i="3"/>
  <c r="S101" i="3"/>
  <c r="R101" i="3"/>
  <c r="T96" i="3"/>
  <c r="R96" i="3"/>
  <c r="T91" i="3"/>
  <c r="R91" i="3"/>
  <c r="T86" i="3"/>
  <c r="R86" i="3"/>
  <c r="T80" i="3"/>
  <c r="R80" i="3"/>
  <c r="T76" i="3"/>
  <c r="R76" i="3"/>
  <c r="T72" i="3"/>
  <c r="R72" i="3"/>
  <c r="T68" i="3"/>
  <c r="R68" i="3"/>
  <c r="T64" i="3"/>
  <c r="R64" i="3"/>
  <c r="T60" i="3"/>
  <c r="R60" i="3"/>
  <c r="T56" i="3"/>
  <c r="R56" i="3"/>
  <c r="T51" i="3"/>
  <c r="R51" i="3"/>
  <c r="T47" i="3"/>
  <c r="R47" i="3"/>
  <c r="T43" i="3"/>
  <c r="R43" i="3"/>
  <c r="T39" i="3"/>
  <c r="R39" i="3"/>
  <c r="T35" i="3"/>
  <c r="R35" i="3"/>
  <c r="T31" i="3"/>
  <c r="R31" i="3"/>
  <c r="T25" i="3"/>
  <c r="S25" i="3"/>
  <c r="R25" i="3"/>
  <c r="T20" i="3"/>
  <c r="S20" i="3"/>
  <c r="R20" i="3"/>
  <c r="T15" i="3"/>
  <c r="S15" i="3"/>
  <c r="R15" i="3"/>
  <c r="T10" i="3"/>
  <c r="S10" i="3"/>
  <c r="R10" i="3"/>
  <c r="T4" i="3"/>
  <c r="S4" i="3"/>
  <c r="R4" i="3"/>
  <c r="N4" i="3"/>
  <c r="G40" i="5"/>
  <c r="I40" i="5"/>
  <c r="H40" i="5"/>
  <c r="H58" i="5"/>
  <c r="I58" i="5"/>
  <c r="G58" i="5"/>
  <c r="G20" i="5"/>
  <c r="H57" i="5"/>
  <c r="I57" i="5"/>
  <c r="G57" i="5"/>
  <c r="H56" i="5"/>
  <c r="I56" i="5"/>
  <c r="G56" i="5"/>
  <c r="I55" i="5"/>
  <c r="H55" i="5"/>
  <c r="G55" i="5"/>
  <c r="H54" i="5"/>
  <c r="I54" i="5"/>
  <c r="G54" i="5"/>
  <c r="H53" i="5"/>
  <c r="I53" i="5"/>
  <c r="G53" i="5"/>
  <c r="I52" i="5"/>
  <c r="H52" i="5"/>
  <c r="G52" i="5"/>
  <c r="H51" i="5"/>
  <c r="I51" i="5"/>
  <c r="G51" i="5"/>
  <c r="H50" i="5"/>
  <c r="I50" i="5"/>
  <c r="G50" i="5"/>
  <c r="H49" i="5"/>
  <c r="I49" i="5"/>
  <c r="G49" i="5"/>
  <c r="H48" i="5"/>
  <c r="I48" i="5"/>
  <c r="G48" i="5"/>
  <c r="I47" i="5"/>
  <c r="H47" i="5"/>
  <c r="G47" i="5"/>
  <c r="H46" i="5"/>
  <c r="I46" i="5"/>
  <c r="G46" i="5"/>
  <c r="H45" i="5"/>
  <c r="I45" i="5"/>
  <c r="G45" i="5"/>
  <c r="H44" i="5"/>
  <c r="I44" i="5"/>
  <c r="G44" i="5"/>
  <c r="H43" i="5"/>
  <c r="I43" i="5"/>
  <c r="G43" i="5"/>
  <c r="H42" i="5"/>
  <c r="I42" i="5"/>
  <c r="G42" i="5"/>
  <c r="H41" i="5"/>
  <c r="I41" i="5"/>
  <c r="G41" i="5"/>
  <c r="H39" i="5"/>
  <c r="I39" i="5"/>
  <c r="G39" i="5"/>
  <c r="H38" i="5"/>
  <c r="I38" i="5"/>
  <c r="G38" i="5"/>
  <c r="H37" i="5"/>
  <c r="I37" i="5"/>
  <c r="G37" i="5"/>
  <c r="H36" i="5"/>
  <c r="I36" i="5"/>
  <c r="G36" i="5"/>
  <c r="H35" i="5"/>
  <c r="I35" i="5"/>
  <c r="G35" i="5"/>
  <c r="H34" i="5"/>
  <c r="I34" i="5"/>
  <c r="G34" i="5"/>
  <c r="H33" i="5"/>
  <c r="I33" i="5"/>
  <c r="G33" i="5"/>
  <c r="H32" i="5"/>
  <c r="I32" i="5"/>
  <c r="G32" i="5"/>
  <c r="H31" i="5"/>
  <c r="I31" i="5"/>
  <c r="G31" i="5"/>
  <c r="H30" i="5"/>
  <c r="I30" i="5"/>
  <c r="G30" i="5"/>
  <c r="H29" i="5"/>
  <c r="I29" i="5"/>
  <c r="G29" i="5"/>
  <c r="H28" i="5"/>
  <c r="I28" i="5"/>
  <c r="G28" i="5"/>
  <c r="H27" i="5"/>
  <c r="I27" i="5"/>
  <c r="G27" i="5"/>
  <c r="I26" i="5"/>
  <c r="H26" i="5"/>
  <c r="G26" i="5"/>
  <c r="I25" i="5"/>
  <c r="H25" i="5"/>
  <c r="G25" i="5"/>
  <c r="H24" i="5"/>
  <c r="I24" i="5"/>
  <c r="G24" i="5"/>
  <c r="H23" i="5"/>
  <c r="I23" i="5"/>
  <c r="G23" i="5"/>
  <c r="H22" i="5"/>
  <c r="I22" i="5"/>
  <c r="G22" i="5"/>
  <c r="H21" i="5"/>
  <c r="I21" i="5"/>
  <c r="G21" i="5"/>
  <c r="H19" i="5"/>
  <c r="I19" i="5"/>
  <c r="G19" i="5"/>
  <c r="H18" i="5"/>
  <c r="I18" i="5"/>
  <c r="G18" i="5"/>
  <c r="H17" i="5"/>
  <c r="I17" i="5"/>
  <c r="G17" i="5"/>
  <c r="H16" i="5"/>
  <c r="I16" i="5"/>
  <c r="G16" i="5"/>
  <c r="H15" i="5"/>
  <c r="I15" i="5"/>
  <c r="G15" i="5"/>
  <c r="H14" i="5"/>
  <c r="I14" i="5"/>
  <c r="G14" i="5"/>
  <c r="H13" i="5"/>
  <c r="I13" i="5"/>
  <c r="G13" i="5"/>
  <c r="H12" i="5"/>
  <c r="I12" i="5"/>
  <c r="G12" i="5"/>
  <c r="H11" i="5"/>
  <c r="I11" i="5"/>
  <c r="G11" i="5"/>
  <c r="H10" i="5"/>
  <c r="I10" i="5"/>
  <c r="G10" i="5"/>
  <c r="H9" i="5"/>
  <c r="I9" i="5"/>
  <c r="G9" i="5"/>
  <c r="H8" i="5"/>
  <c r="I8" i="5"/>
  <c r="G8" i="5"/>
  <c r="H7" i="5"/>
  <c r="I7" i="5"/>
  <c r="G7" i="5"/>
  <c r="H6" i="5"/>
  <c r="I6" i="5"/>
  <c r="G6" i="5"/>
  <c r="H5" i="5"/>
  <c r="I5" i="5"/>
  <c r="G5" i="5"/>
  <c r="H4" i="5"/>
  <c r="I4" i="5"/>
  <c r="G4" i="5"/>
  <c r="H3" i="5"/>
  <c r="I3" i="5"/>
  <c r="G3" i="5"/>
  <c r="I2" i="5"/>
  <c r="I20" i="5" s="1"/>
  <c r="H2" i="5"/>
  <c r="H20" i="5" s="1"/>
  <c r="G2" i="5"/>
  <c r="J40" i="1"/>
  <c r="Q243" i="3"/>
  <c r="P243" i="3"/>
  <c r="N243" i="3"/>
  <c r="M243" i="3"/>
  <c r="L244" i="3"/>
  <c r="L245" i="3"/>
  <c r="L243" i="3"/>
  <c r="K244" i="3"/>
  <c r="K245" i="3"/>
  <c r="K243" i="3"/>
  <c r="I244" i="3"/>
  <c r="I245" i="3"/>
  <c r="I243" i="3"/>
  <c r="H244" i="3"/>
  <c r="H245" i="3"/>
  <c r="H243" i="3"/>
  <c r="G244" i="3"/>
  <c r="G245" i="3"/>
  <c r="G243" i="3"/>
  <c r="F244" i="3"/>
  <c r="F245" i="3"/>
  <c r="F243" i="3"/>
  <c r="Q239" i="3"/>
  <c r="P239" i="3"/>
  <c r="N239" i="3"/>
  <c r="M239" i="3"/>
  <c r="L240" i="3"/>
  <c r="L241" i="3"/>
  <c r="L239" i="3"/>
  <c r="K240" i="3"/>
  <c r="K241" i="3"/>
  <c r="K239" i="3"/>
  <c r="I240" i="3"/>
  <c r="I241" i="3"/>
  <c r="I239" i="3"/>
  <c r="H240" i="3"/>
  <c r="H241" i="3"/>
  <c r="H239" i="3"/>
  <c r="G240" i="3"/>
  <c r="G241" i="3"/>
  <c r="G239" i="3"/>
  <c r="F240" i="3"/>
  <c r="F241" i="3"/>
  <c r="F239" i="3"/>
  <c r="Q235" i="3"/>
  <c r="P235" i="3"/>
  <c r="N235" i="3"/>
  <c r="M235" i="3"/>
  <c r="L236" i="3"/>
  <c r="L237" i="3"/>
  <c r="L235" i="3"/>
  <c r="K236" i="3"/>
  <c r="K237" i="3"/>
  <c r="K235" i="3"/>
  <c r="I236" i="3"/>
  <c r="I237" i="3"/>
  <c r="I235" i="3"/>
  <c r="H236" i="3"/>
  <c r="H237" i="3"/>
  <c r="H235" i="3"/>
  <c r="G236" i="3"/>
  <c r="G237" i="3"/>
  <c r="G235" i="3"/>
  <c r="F236" i="3"/>
  <c r="F237" i="3"/>
  <c r="F235" i="3"/>
  <c r="Q231" i="3"/>
  <c r="P231" i="3"/>
  <c r="N231" i="3"/>
  <c r="M231" i="3"/>
  <c r="L232" i="3"/>
  <c r="L233" i="3"/>
  <c r="L231" i="3"/>
  <c r="K232" i="3"/>
  <c r="K233" i="3"/>
  <c r="K231" i="3"/>
  <c r="I232" i="3"/>
  <c r="I233" i="3"/>
  <c r="I231" i="3"/>
  <c r="H232" i="3"/>
  <c r="H233" i="3"/>
  <c r="H231" i="3"/>
  <c r="G232" i="3"/>
  <c r="G233" i="3"/>
  <c r="G231" i="3"/>
  <c r="F232" i="3"/>
  <c r="F233" i="3"/>
  <c r="F231" i="3"/>
  <c r="Q227" i="3"/>
  <c r="P227" i="3"/>
  <c r="N227" i="3"/>
  <c r="M227" i="3"/>
  <c r="L228" i="3"/>
  <c r="L229" i="3"/>
  <c r="L227" i="3"/>
  <c r="K228" i="3"/>
  <c r="K229" i="3"/>
  <c r="K227" i="3"/>
  <c r="I228" i="3"/>
  <c r="I229" i="3"/>
  <c r="I227" i="3"/>
  <c r="H228" i="3"/>
  <c r="H229" i="3"/>
  <c r="H227" i="3"/>
  <c r="G228" i="3"/>
  <c r="G229" i="3"/>
  <c r="G227" i="3"/>
  <c r="F228" i="3"/>
  <c r="F229" i="3"/>
  <c r="F227" i="3"/>
  <c r="Q223" i="3"/>
  <c r="P223" i="3"/>
  <c r="N223" i="3"/>
  <c r="M223" i="3"/>
  <c r="L224" i="3"/>
  <c r="L225" i="3"/>
  <c r="L223" i="3"/>
  <c r="K224" i="3"/>
  <c r="K225" i="3"/>
  <c r="K223" i="3"/>
  <c r="I224" i="3"/>
  <c r="I225" i="3"/>
  <c r="I223" i="3"/>
  <c r="H224" i="3"/>
  <c r="H225" i="3"/>
  <c r="H223" i="3"/>
  <c r="G224" i="3"/>
  <c r="G225" i="3"/>
  <c r="G223" i="3"/>
  <c r="F224" i="3"/>
  <c r="F225" i="3"/>
  <c r="F223" i="3"/>
  <c r="Q219" i="3"/>
  <c r="P219" i="3"/>
  <c r="N219" i="3"/>
  <c r="M219" i="3"/>
  <c r="L220" i="3"/>
  <c r="L221" i="3"/>
  <c r="L219" i="3"/>
  <c r="K220" i="3"/>
  <c r="K221" i="3"/>
  <c r="K219" i="3"/>
  <c r="I220" i="3"/>
  <c r="I221" i="3"/>
  <c r="I219" i="3"/>
  <c r="H220" i="3"/>
  <c r="H221" i="3"/>
  <c r="H219" i="3"/>
  <c r="G220" i="3"/>
  <c r="G221" i="3"/>
  <c r="G219" i="3"/>
  <c r="F220" i="3"/>
  <c r="F221" i="3"/>
  <c r="F219" i="3"/>
  <c r="Q215" i="3"/>
  <c r="P215" i="3"/>
  <c r="N215" i="3"/>
  <c r="M215" i="3"/>
  <c r="L216" i="3"/>
  <c r="L217" i="3"/>
  <c r="L215" i="3"/>
  <c r="K216" i="3"/>
  <c r="K217" i="3"/>
  <c r="K215" i="3"/>
  <c r="I216" i="3"/>
  <c r="I217" i="3"/>
  <c r="I215" i="3"/>
  <c r="H216" i="3"/>
  <c r="H217" i="3"/>
  <c r="H215" i="3"/>
  <c r="G216" i="3"/>
  <c r="G217" i="3"/>
  <c r="G215" i="3"/>
  <c r="F216" i="3"/>
  <c r="F217" i="3"/>
  <c r="F215" i="3"/>
  <c r="Q211" i="3"/>
  <c r="P211" i="3"/>
  <c r="N211" i="3"/>
  <c r="M211" i="3"/>
  <c r="L212" i="3"/>
  <c r="L213" i="3"/>
  <c r="L211" i="3"/>
  <c r="K212" i="3"/>
  <c r="K213" i="3"/>
  <c r="K211" i="3"/>
  <c r="I212" i="3"/>
  <c r="I213" i="3"/>
  <c r="I211" i="3"/>
  <c r="H212" i="3"/>
  <c r="H213" i="3"/>
  <c r="H211" i="3"/>
  <c r="G212" i="3"/>
  <c r="G213" i="3"/>
  <c r="G211" i="3"/>
  <c r="F212" i="3"/>
  <c r="F213" i="3"/>
  <c r="F211" i="3"/>
  <c r="Q206" i="3"/>
  <c r="P206" i="3"/>
  <c r="N206" i="3"/>
  <c r="M206" i="3"/>
  <c r="L207" i="3"/>
  <c r="L208" i="3"/>
  <c r="L206" i="3"/>
  <c r="K207" i="3"/>
  <c r="K208" i="3"/>
  <c r="K206" i="3"/>
  <c r="I207" i="3"/>
  <c r="I208" i="3"/>
  <c r="I206" i="3"/>
  <c r="H207" i="3"/>
  <c r="H208" i="3"/>
  <c r="H206" i="3"/>
  <c r="G207" i="3"/>
  <c r="G208" i="3"/>
  <c r="G206" i="3"/>
  <c r="F207" i="3"/>
  <c r="F208" i="3"/>
  <c r="F206" i="3"/>
  <c r="Q202" i="3"/>
  <c r="P202" i="3"/>
  <c r="N202" i="3"/>
  <c r="M202" i="3"/>
  <c r="L203" i="3"/>
  <c r="L204" i="3"/>
  <c r="L202" i="3"/>
  <c r="K204" i="3"/>
  <c r="K203" i="3"/>
  <c r="K202" i="3"/>
  <c r="I203" i="3"/>
  <c r="I204" i="3"/>
  <c r="I202" i="3"/>
  <c r="H203" i="3"/>
  <c r="H204" i="3"/>
  <c r="H202" i="3"/>
  <c r="G203" i="3"/>
  <c r="G204" i="3"/>
  <c r="G202" i="3"/>
  <c r="F203" i="3"/>
  <c r="F204" i="3"/>
  <c r="F202" i="3"/>
  <c r="Q198" i="3"/>
  <c r="P198" i="3"/>
  <c r="N198" i="3"/>
  <c r="M198" i="3"/>
  <c r="L199" i="3"/>
  <c r="L200" i="3"/>
  <c r="L198" i="3"/>
  <c r="K199" i="3"/>
  <c r="K200" i="3"/>
  <c r="K198" i="3"/>
  <c r="I199" i="3"/>
  <c r="I200" i="3"/>
  <c r="I198" i="3"/>
  <c r="H199" i="3"/>
  <c r="H200" i="3"/>
  <c r="H198" i="3"/>
  <c r="G199" i="3"/>
  <c r="G200" i="3"/>
  <c r="G198" i="3"/>
  <c r="F199" i="3"/>
  <c r="F200" i="3"/>
  <c r="F198" i="3"/>
  <c r="Q194" i="3"/>
  <c r="P194" i="3"/>
  <c r="N194" i="3"/>
  <c r="M194" i="3"/>
  <c r="L195" i="3"/>
  <c r="L196" i="3"/>
  <c r="L194" i="3"/>
  <c r="K195" i="3"/>
  <c r="K196" i="3"/>
  <c r="K194" i="3"/>
  <c r="I195" i="3"/>
  <c r="I196" i="3"/>
  <c r="I194" i="3"/>
  <c r="H195" i="3"/>
  <c r="H196" i="3"/>
  <c r="H194" i="3"/>
  <c r="G195" i="3"/>
  <c r="G196" i="3"/>
  <c r="G194" i="3"/>
  <c r="F195" i="3"/>
  <c r="F196" i="3"/>
  <c r="F194" i="3"/>
  <c r="Q190" i="3"/>
  <c r="P190" i="3"/>
  <c r="N190" i="3"/>
  <c r="M190" i="3"/>
  <c r="L191" i="3"/>
  <c r="L192" i="3"/>
  <c r="L190" i="3"/>
  <c r="K191" i="3"/>
  <c r="K192" i="3"/>
  <c r="K190" i="3"/>
  <c r="I191" i="3"/>
  <c r="I192" i="3"/>
  <c r="I190" i="3"/>
  <c r="H191" i="3"/>
  <c r="H192" i="3"/>
  <c r="H190" i="3"/>
  <c r="G191" i="3"/>
  <c r="G192" i="3"/>
  <c r="G190" i="3"/>
  <c r="F191" i="3"/>
  <c r="F192" i="3"/>
  <c r="F190" i="3"/>
  <c r="Q186" i="3"/>
  <c r="P186" i="3"/>
  <c r="N186" i="3"/>
  <c r="M186" i="3"/>
  <c r="L187" i="3"/>
  <c r="L188" i="3"/>
  <c r="L186" i="3"/>
  <c r="K187" i="3"/>
  <c r="K188" i="3"/>
  <c r="K186" i="3"/>
  <c r="I187" i="3"/>
  <c r="I188" i="3"/>
  <c r="I186" i="3"/>
  <c r="H187" i="3"/>
  <c r="H188" i="3"/>
  <c r="H186" i="3"/>
  <c r="G187" i="3"/>
  <c r="G188" i="3"/>
  <c r="G186" i="3"/>
  <c r="F187" i="3"/>
  <c r="F188" i="3"/>
  <c r="F186" i="3"/>
  <c r="Q181" i="3"/>
  <c r="P181" i="3"/>
  <c r="N181" i="3"/>
  <c r="M181" i="3"/>
  <c r="L182" i="3"/>
  <c r="L183" i="3"/>
  <c r="L181" i="3"/>
  <c r="K182" i="3"/>
  <c r="K183" i="3"/>
  <c r="K181" i="3"/>
  <c r="I182" i="3"/>
  <c r="I183" i="3"/>
  <c r="I181" i="3"/>
  <c r="H182" i="3"/>
  <c r="H183" i="3"/>
  <c r="H181" i="3"/>
  <c r="G182" i="3"/>
  <c r="G183" i="3"/>
  <c r="G181" i="3"/>
  <c r="F182" i="3"/>
  <c r="F183" i="3"/>
  <c r="F181" i="3"/>
  <c r="Q176" i="3"/>
  <c r="P176" i="3"/>
  <c r="N176" i="3"/>
  <c r="M176" i="3"/>
  <c r="L177" i="3"/>
  <c r="L178" i="3"/>
  <c r="L176" i="3"/>
  <c r="K177" i="3"/>
  <c r="K178" i="3"/>
  <c r="K176" i="3"/>
  <c r="I177" i="3"/>
  <c r="I178" i="3"/>
  <c r="I176" i="3"/>
  <c r="H177" i="3"/>
  <c r="H178" i="3"/>
  <c r="H176" i="3"/>
  <c r="G177" i="3"/>
  <c r="G178" i="3"/>
  <c r="G176" i="3"/>
  <c r="F177" i="3"/>
  <c r="F178" i="3"/>
  <c r="F176" i="3"/>
  <c r="Q171" i="3"/>
  <c r="P171" i="3"/>
  <c r="N171" i="3"/>
  <c r="M171" i="3"/>
  <c r="L172" i="3"/>
  <c r="L173" i="3"/>
  <c r="L171" i="3"/>
  <c r="K172" i="3"/>
  <c r="K173" i="3"/>
  <c r="K171" i="3"/>
  <c r="I172" i="3"/>
  <c r="I173" i="3"/>
  <c r="I171" i="3"/>
  <c r="H172" i="3"/>
  <c r="H173" i="3"/>
  <c r="H171" i="3"/>
  <c r="G172" i="3"/>
  <c r="G173" i="3"/>
  <c r="G171" i="3"/>
  <c r="F172" i="3"/>
  <c r="F173" i="3"/>
  <c r="F171" i="3"/>
  <c r="Q164" i="3"/>
  <c r="P164" i="3"/>
  <c r="N164" i="3"/>
  <c r="M164" i="3"/>
  <c r="L165" i="3"/>
  <c r="L166" i="3"/>
  <c r="L164" i="3"/>
  <c r="K165" i="3"/>
  <c r="K166" i="3"/>
  <c r="K164" i="3"/>
  <c r="I165" i="3"/>
  <c r="I166" i="3"/>
  <c r="I164" i="3"/>
  <c r="H165" i="3"/>
  <c r="H166" i="3"/>
  <c r="H164" i="3"/>
  <c r="G165" i="3"/>
  <c r="G166" i="3"/>
  <c r="G164" i="3"/>
  <c r="F165" i="3"/>
  <c r="F166" i="3"/>
  <c r="F164" i="3"/>
  <c r="Q160" i="3"/>
  <c r="P160" i="3"/>
  <c r="N160" i="3"/>
  <c r="M160" i="3"/>
  <c r="L161" i="3"/>
  <c r="L162" i="3"/>
  <c r="L160" i="3"/>
  <c r="K161" i="3"/>
  <c r="K162" i="3"/>
  <c r="K160" i="3"/>
  <c r="I161" i="3"/>
  <c r="I162" i="3"/>
  <c r="I160" i="3"/>
  <c r="H161" i="3"/>
  <c r="H162" i="3"/>
  <c r="H160" i="3"/>
  <c r="G161" i="3"/>
  <c r="G162" i="3"/>
  <c r="G160" i="3"/>
  <c r="F161" i="3"/>
  <c r="F162" i="3"/>
  <c r="F160" i="3"/>
  <c r="Q156" i="3"/>
  <c r="P156" i="3"/>
  <c r="N156" i="3"/>
  <c r="M156" i="3"/>
  <c r="L157" i="3"/>
  <c r="L158" i="3"/>
  <c r="L156" i="3"/>
  <c r="K157" i="3"/>
  <c r="K158" i="3"/>
  <c r="K156" i="3"/>
  <c r="I157" i="3"/>
  <c r="I158" i="3"/>
  <c r="I156" i="3"/>
  <c r="H157" i="3"/>
  <c r="H158" i="3"/>
  <c r="H156" i="3"/>
  <c r="G157" i="3"/>
  <c r="G158" i="3"/>
  <c r="G156" i="3"/>
  <c r="F157" i="3"/>
  <c r="F158" i="3"/>
  <c r="F156" i="3"/>
  <c r="Q151" i="3"/>
  <c r="P151" i="3"/>
  <c r="N151" i="3"/>
  <c r="M151" i="3"/>
  <c r="L152" i="3"/>
  <c r="L153" i="3"/>
  <c r="L151" i="3"/>
  <c r="K152" i="3"/>
  <c r="K153" i="3"/>
  <c r="K151" i="3"/>
  <c r="I152" i="3"/>
  <c r="I153" i="3"/>
  <c r="I151" i="3"/>
  <c r="H152" i="3"/>
  <c r="H153" i="3"/>
  <c r="H151" i="3"/>
  <c r="G152" i="3"/>
  <c r="G153" i="3"/>
  <c r="G151" i="3"/>
  <c r="F152" i="3"/>
  <c r="F153" i="3"/>
  <c r="F151" i="3"/>
  <c r="Q147" i="3"/>
  <c r="P147" i="3"/>
  <c r="N147" i="3"/>
  <c r="M147" i="3"/>
  <c r="L148" i="3"/>
  <c r="L149" i="3"/>
  <c r="L147" i="3"/>
  <c r="K148" i="3"/>
  <c r="K149" i="3"/>
  <c r="K147" i="3"/>
  <c r="I148" i="3"/>
  <c r="I149" i="3"/>
  <c r="I147" i="3"/>
  <c r="H148" i="3"/>
  <c r="H149" i="3"/>
  <c r="H147" i="3"/>
  <c r="G148" i="3"/>
  <c r="G149" i="3"/>
  <c r="G147" i="3"/>
  <c r="F148" i="3"/>
  <c r="F149" i="3"/>
  <c r="F147" i="3"/>
  <c r="Q143" i="3"/>
  <c r="P143" i="3"/>
  <c r="N143" i="3"/>
  <c r="M143" i="3"/>
  <c r="L144" i="3"/>
  <c r="L145" i="3"/>
  <c r="L143" i="3"/>
  <c r="K144" i="3"/>
  <c r="K145" i="3"/>
  <c r="K143" i="3"/>
  <c r="I144" i="3"/>
  <c r="I145" i="3"/>
  <c r="I143" i="3"/>
  <c r="H144" i="3"/>
  <c r="H145" i="3"/>
  <c r="H143" i="3"/>
  <c r="G144" i="3"/>
  <c r="G145" i="3"/>
  <c r="G143" i="3"/>
  <c r="F143" i="3"/>
  <c r="F144" i="3"/>
  <c r="F145" i="3"/>
  <c r="Q139" i="3"/>
  <c r="P139" i="3"/>
  <c r="N139" i="3"/>
  <c r="M139" i="3"/>
  <c r="L140" i="3"/>
  <c r="L141" i="3"/>
  <c r="L139" i="3"/>
  <c r="K140" i="3"/>
  <c r="K141" i="3"/>
  <c r="K139" i="3"/>
  <c r="I140" i="3"/>
  <c r="I141" i="3"/>
  <c r="I139" i="3"/>
  <c r="H140" i="3"/>
  <c r="H141" i="3"/>
  <c r="H139" i="3"/>
  <c r="G140" i="3"/>
  <c r="G141" i="3"/>
  <c r="G139" i="3"/>
  <c r="F140" i="3"/>
  <c r="F141" i="3"/>
  <c r="F139" i="3"/>
  <c r="Q135" i="3"/>
  <c r="P135" i="3"/>
  <c r="N135" i="3"/>
  <c r="M135" i="3"/>
  <c r="L136" i="3"/>
  <c r="L137" i="3"/>
  <c r="L135" i="3"/>
  <c r="K136" i="3"/>
  <c r="K137" i="3"/>
  <c r="K135" i="3"/>
  <c r="I136" i="3"/>
  <c r="I137" i="3"/>
  <c r="I135" i="3"/>
  <c r="H136" i="3"/>
  <c r="H137" i="3"/>
  <c r="H135" i="3"/>
  <c r="G136" i="3"/>
  <c r="G137" i="3"/>
  <c r="G135" i="3"/>
  <c r="F136" i="3"/>
  <c r="F137" i="3"/>
  <c r="F135" i="3"/>
  <c r="Q131" i="3"/>
  <c r="P131" i="3"/>
  <c r="N131" i="3"/>
  <c r="M131" i="3"/>
  <c r="L132" i="3"/>
  <c r="L133" i="3"/>
  <c r="L131" i="3"/>
  <c r="K132" i="3"/>
  <c r="K133" i="3"/>
  <c r="K131" i="3"/>
  <c r="I132" i="3"/>
  <c r="I133" i="3"/>
  <c r="I131" i="3"/>
  <c r="H132" i="3"/>
  <c r="H133" i="3"/>
  <c r="H131" i="3"/>
  <c r="G133" i="3"/>
  <c r="G132" i="3"/>
  <c r="G131" i="3"/>
  <c r="F132" i="3"/>
  <c r="F133" i="3"/>
  <c r="F131" i="3"/>
  <c r="Q126" i="3"/>
  <c r="P126" i="3"/>
  <c r="N126" i="3"/>
  <c r="M126" i="3"/>
  <c r="L127" i="3"/>
  <c r="L128" i="3"/>
  <c r="L126" i="3"/>
  <c r="K127" i="3"/>
  <c r="K128" i="3"/>
  <c r="K126" i="3"/>
  <c r="I127" i="3"/>
  <c r="I128" i="3"/>
  <c r="I126" i="3"/>
  <c r="H127" i="3"/>
  <c r="H128" i="3"/>
  <c r="H129" i="3"/>
  <c r="H126" i="3"/>
  <c r="G127" i="3"/>
  <c r="G128" i="3"/>
  <c r="G126" i="3"/>
  <c r="F127" i="3"/>
  <c r="F128" i="3"/>
  <c r="F126" i="3"/>
  <c r="Q121" i="3"/>
  <c r="P121" i="3"/>
  <c r="N121" i="3"/>
  <c r="M121" i="3"/>
  <c r="L122" i="3"/>
  <c r="L123" i="3"/>
  <c r="L121" i="3"/>
  <c r="K122" i="3"/>
  <c r="K123" i="3"/>
  <c r="K121" i="3"/>
  <c r="I122" i="3"/>
  <c r="I123" i="3"/>
  <c r="I121" i="3"/>
  <c r="H122" i="3"/>
  <c r="H123" i="3"/>
  <c r="H121" i="3"/>
  <c r="G122" i="3"/>
  <c r="G123" i="3"/>
  <c r="G121" i="3"/>
  <c r="F122" i="3"/>
  <c r="F123" i="3"/>
  <c r="F121" i="3"/>
  <c r="Q116" i="3"/>
  <c r="P116" i="3"/>
  <c r="N116" i="3"/>
  <c r="M116" i="3"/>
  <c r="L117" i="3"/>
  <c r="L118" i="3"/>
  <c r="L116" i="3"/>
  <c r="K117" i="3"/>
  <c r="K118" i="3"/>
  <c r="K116" i="3"/>
  <c r="I117" i="3"/>
  <c r="I118" i="3"/>
  <c r="I116" i="3"/>
  <c r="H117" i="3"/>
  <c r="H118" i="3"/>
  <c r="H116" i="3"/>
  <c r="G117" i="3"/>
  <c r="G118" i="3"/>
  <c r="G116" i="3"/>
  <c r="F117" i="3"/>
  <c r="F118" i="3"/>
  <c r="F116" i="3"/>
  <c r="Q111" i="3"/>
  <c r="P111" i="3"/>
  <c r="N111" i="3"/>
  <c r="M111" i="3"/>
  <c r="L112" i="3"/>
  <c r="L113" i="3"/>
  <c r="L114" i="3"/>
  <c r="L111" i="3"/>
  <c r="K112" i="3"/>
  <c r="K113" i="3"/>
  <c r="K111" i="3"/>
  <c r="I112" i="3"/>
  <c r="I113" i="3"/>
  <c r="I111" i="3"/>
  <c r="H112" i="3"/>
  <c r="H113" i="3"/>
  <c r="H111" i="3"/>
  <c r="G112" i="3"/>
  <c r="G113" i="3"/>
  <c r="G111" i="3"/>
  <c r="F112" i="3"/>
  <c r="F113" i="3"/>
  <c r="F111" i="3"/>
  <c r="Q106" i="3"/>
  <c r="P106" i="3"/>
  <c r="N106" i="3"/>
  <c r="M106" i="3"/>
  <c r="L107" i="3"/>
  <c r="L108" i="3"/>
  <c r="L106" i="3"/>
  <c r="K107" i="3"/>
  <c r="K108" i="3"/>
  <c r="K106" i="3"/>
  <c r="I107" i="3"/>
  <c r="I108" i="3"/>
  <c r="I106" i="3"/>
  <c r="H107" i="3"/>
  <c r="H108" i="3"/>
  <c r="H106" i="3"/>
  <c r="G107" i="3"/>
  <c r="G108" i="3"/>
  <c r="G106" i="3"/>
  <c r="F107" i="3"/>
  <c r="F108" i="3"/>
  <c r="F106" i="3"/>
  <c r="Q101" i="3"/>
  <c r="P101" i="3"/>
  <c r="N101" i="3"/>
  <c r="M101" i="3"/>
  <c r="L102" i="3"/>
  <c r="L103" i="3"/>
  <c r="L101" i="3"/>
  <c r="K102" i="3"/>
  <c r="K103" i="3"/>
  <c r="K101" i="3"/>
  <c r="I97" i="3"/>
  <c r="I98" i="3"/>
  <c r="I96" i="3"/>
  <c r="K96" i="3" s="1"/>
  <c r="L96" i="3" s="1"/>
  <c r="I102" i="3"/>
  <c r="I103" i="3"/>
  <c r="I101" i="3"/>
  <c r="H102" i="3"/>
  <c r="H103" i="3"/>
  <c r="H101" i="3"/>
  <c r="G102" i="3"/>
  <c r="G103" i="3"/>
  <c r="G101" i="3"/>
  <c r="F102" i="3"/>
  <c r="F103" i="3"/>
  <c r="F101" i="3"/>
  <c r="P96" i="3"/>
  <c r="K97" i="3"/>
  <c r="L97" i="3" s="1"/>
  <c r="K98" i="3"/>
  <c r="L98" i="3" s="1"/>
  <c r="H97" i="3"/>
  <c r="H98" i="3"/>
  <c r="H96" i="3"/>
  <c r="G97" i="3"/>
  <c r="G98" i="3"/>
  <c r="G96" i="3"/>
  <c r="F98" i="3"/>
  <c r="F97" i="3"/>
  <c r="F96" i="3"/>
  <c r="Q91" i="3"/>
  <c r="P91" i="3"/>
  <c r="N91" i="3"/>
  <c r="M91" i="3"/>
  <c r="L92" i="3"/>
  <c r="L93" i="3"/>
  <c r="L91" i="3"/>
  <c r="K92" i="3"/>
  <c r="K93" i="3"/>
  <c r="K91" i="3"/>
  <c r="I92" i="3"/>
  <c r="I93" i="3"/>
  <c r="I91" i="3"/>
  <c r="H92" i="3"/>
  <c r="H93" i="3"/>
  <c r="H91" i="3"/>
  <c r="G92" i="3"/>
  <c r="G93" i="3"/>
  <c r="G91" i="3"/>
  <c r="F93" i="3"/>
  <c r="F92" i="3"/>
  <c r="F91" i="3"/>
  <c r="Q86" i="3"/>
  <c r="P86" i="3"/>
  <c r="N86" i="3"/>
  <c r="M86" i="3"/>
  <c r="L87" i="3"/>
  <c r="L88" i="3"/>
  <c r="L86" i="3"/>
  <c r="K87" i="3"/>
  <c r="K88" i="3"/>
  <c r="K86" i="3"/>
  <c r="I87" i="3"/>
  <c r="I88" i="3"/>
  <c r="I86" i="3"/>
  <c r="H87" i="3"/>
  <c r="H88" i="3"/>
  <c r="H86" i="3"/>
  <c r="G87" i="3"/>
  <c r="G88" i="3"/>
  <c r="G86" i="3"/>
  <c r="F87" i="3"/>
  <c r="F88" i="3"/>
  <c r="F86" i="3"/>
  <c r="Q80" i="3"/>
  <c r="P80" i="3"/>
  <c r="N80" i="3"/>
  <c r="M80" i="3"/>
  <c r="L81" i="3"/>
  <c r="L82" i="3"/>
  <c r="L80" i="3"/>
  <c r="K81" i="3"/>
  <c r="K82" i="3"/>
  <c r="K80" i="3"/>
  <c r="I81" i="3"/>
  <c r="I82" i="3"/>
  <c r="I80" i="3"/>
  <c r="H81" i="3"/>
  <c r="H82" i="3"/>
  <c r="H80" i="3"/>
  <c r="G81" i="3"/>
  <c r="G82" i="3"/>
  <c r="G80" i="3"/>
  <c r="F81" i="3"/>
  <c r="F82" i="3"/>
  <c r="F80" i="3"/>
  <c r="Q76" i="3"/>
  <c r="P76" i="3"/>
  <c r="N76" i="3"/>
  <c r="M76" i="3"/>
  <c r="L77" i="3"/>
  <c r="L78" i="3"/>
  <c r="L76" i="3"/>
  <c r="K77" i="3"/>
  <c r="K78" i="3"/>
  <c r="K76" i="3"/>
  <c r="I77" i="3"/>
  <c r="I78" i="3"/>
  <c r="I76" i="3"/>
  <c r="H77" i="3"/>
  <c r="H78" i="3"/>
  <c r="H76" i="3"/>
  <c r="G77" i="3"/>
  <c r="G78" i="3"/>
  <c r="G76" i="3"/>
  <c r="F77" i="3"/>
  <c r="F78" i="3"/>
  <c r="F76" i="3"/>
  <c r="Q72" i="3"/>
  <c r="P72" i="3"/>
  <c r="N72" i="3"/>
  <c r="M72" i="3"/>
  <c r="L73" i="3"/>
  <c r="L74" i="3"/>
  <c r="L72" i="3"/>
  <c r="K73" i="3"/>
  <c r="K74" i="3"/>
  <c r="K72" i="3"/>
  <c r="I73" i="3"/>
  <c r="I74" i="3"/>
  <c r="I72" i="3"/>
  <c r="H73" i="3"/>
  <c r="H74" i="3"/>
  <c r="H72" i="3"/>
  <c r="G73" i="3"/>
  <c r="G74" i="3"/>
  <c r="G72" i="3"/>
  <c r="F73" i="3"/>
  <c r="F74" i="3"/>
  <c r="F72" i="3"/>
  <c r="Q68" i="3"/>
  <c r="P68" i="3"/>
  <c r="N68" i="3"/>
  <c r="M68" i="3"/>
  <c r="L69" i="3"/>
  <c r="L70" i="3"/>
  <c r="L68" i="3"/>
  <c r="K69" i="3"/>
  <c r="K70" i="3"/>
  <c r="K68" i="3"/>
  <c r="I69" i="3"/>
  <c r="I70" i="3"/>
  <c r="I68" i="3"/>
  <c r="H69" i="3"/>
  <c r="H70" i="3"/>
  <c r="H68" i="3"/>
  <c r="G69" i="3"/>
  <c r="G70" i="3"/>
  <c r="G68" i="3"/>
  <c r="F69" i="3"/>
  <c r="F70" i="3"/>
  <c r="F68" i="3"/>
  <c r="Q64" i="3"/>
  <c r="P64" i="3"/>
  <c r="N64" i="3"/>
  <c r="M64" i="3"/>
  <c r="L65" i="3"/>
  <c r="L66" i="3"/>
  <c r="L64" i="3"/>
  <c r="K65" i="3"/>
  <c r="K66" i="3"/>
  <c r="K64" i="3"/>
  <c r="I65" i="3"/>
  <c r="I66" i="3"/>
  <c r="I64" i="3"/>
  <c r="H65" i="3"/>
  <c r="H66" i="3"/>
  <c r="H64" i="3"/>
  <c r="G65" i="3"/>
  <c r="G66" i="3"/>
  <c r="G64" i="3"/>
  <c r="F65" i="3"/>
  <c r="F66" i="3"/>
  <c r="F64" i="3"/>
  <c r="Q60" i="3"/>
  <c r="P60" i="3"/>
  <c r="N60" i="3"/>
  <c r="M60" i="3"/>
  <c r="L61" i="3"/>
  <c r="L62" i="3"/>
  <c r="L60" i="3"/>
  <c r="K61" i="3"/>
  <c r="K62" i="3"/>
  <c r="K60" i="3"/>
  <c r="I61" i="3"/>
  <c r="I62" i="3"/>
  <c r="I60" i="3"/>
  <c r="H61" i="3"/>
  <c r="H62" i="3"/>
  <c r="H60" i="3"/>
  <c r="G61" i="3"/>
  <c r="G62" i="3"/>
  <c r="G60" i="3"/>
  <c r="F61" i="3"/>
  <c r="F62" i="3"/>
  <c r="F60" i="3"/>
  <c r="Q56" i="3"/>
  <c r="P56" i="3"/>
  <c r="N56" i="3"/>
  <c r="M56" i="3"/>
  <c r="L57" i="3"/>
  <c r="L58" i="3"/>
  <c r="L56" i="3"/>
  <c r="K57" i="3"/>
  <c r="K58" i="3"/>
  <c r="K56" i="3"/>
  <c r="I57" i="3"/>
  <c r="I58" i="3"/>
  <c r="I56" i="3"/>
  <c r="H57" i="3"/>
  <c r="H58" i="3"/>
  <c r="H56" i="3"/>
  <c r="G57" i="3"/>
  <c r="G58" i="3"/>
  <c r="G56" i="3"/>
  <c r="F57" i="3"/>
  <c r="F58" i="3"/>
  <c r="F56" i="3"/>
  <c r="Q51" i="3"/>
  <c r="P51" i="3"/>
  <c r="N51" i="3"/>
  <c r="M51" i="3"/>
  <c r="L52" i="3"/>
  <c r="L53" i="3"/>
  <c r="L51" i="3"/>
  <c r="K52" i="3"/>
  <c r="K53" i="3"/>
  <c r="K51" i="3"/>
  <c r="I52" i="3"/>
  <c r="I53" i="3"/>
  <c r="I51" i="3"/>
  <c r="H52" i="3"/>
  <c r="H53" i="3"/>
  <c r="H51" i="3"/>
  <c r="G52" i="3"/>
  <c r="G53" i="3"/>
  <c r="G51" i="3"/>
  <c r="F52" i="3"/>
  <c r="F53" i="3"/>
  <c r="F51" i="3"/>
  <c r="D54" i="3"/>
  <c r="E54" i="3"/>
  <c r="C54" i="3"/>
  <c r="Q47" i="3"/>
  <c r="P47" i="3"/>
  <c r="N47" i="3"/>
  <c r="M47" i="3"/>
  <c r="L48" i="3"/>
  <c r="L49" i="3"/>
  <c r="L47" i="3"/>
  <c r="K48" i="3"/>
  <c r="K49" i="3"/>
  <c r="K47" i="3"/>
  <c r="I48" i="3"/>
  <c r="I49" i="3"/>
  <c r="I47" i="3"/>
  <c r="H48" i="3"/>
  <c r="H49" i="3"/>
  <c r="H47" i="3"/>
  <c r="G48" i="3"/>
  <c r="G49" i="3"/>
  <c r="G47" i="3"/>
  <c r="F48" i="3"/>
  <c r="F49" i="3"/>
  <c r="F47" i="3"/>
  <c r="Q43" i="3"/>
  <c r="P43" i="3"/>
  <c r="N43" i="3"/>
  <c r="M43" i="3"/>
  <c r="L44" i="3"/>
  <c r="L45" i="3"/>
  <c r="L43" i="3"/>
  <c r="K44" i="3"/>
  <c r="K45" i="3"/>
  <c r="K43" i="3"/>
  <c r="I44" i="3"/>
  <c r="I45" i="3"/>
  <c r="I43" i="3"/>
  <c r="H44" i="3"/>
  <c r="H45" i="3"/>
  <c r="H43" i="3"/>
  <c r="G44" i="3"/>
  <c r="G45" i="3"/>
  <c r="G43" i="3"/>
  <c r="F44" i="3"/>
  <c r="F45" i="3"/>
  <c r="F43" i="3"/>
  <c r="Q39" i="3"/>
  <c r="P39" i="3"/>
  <c r="N39" i="3"/>
  <c r="M39" i="3"/>
  <c r="L40" i="3"/>
  <c r="L41" i="3"/>
  <c r="L39" i="3"/>
  <c r="K40" i="3"/>
  <c r="K41" i="3"/>
  <c r="K39" i="3"/>
  <c r="I40" i="3"/>
  <c r="I41" i="3"/>
  <c r="I39" i="3"/>
  <c r="H40" i="3"/>
  <c r="H41" i="3"/>
  <c r="H39" i="3"/>
  <c r="G40" i="3"/>
  <c r="G41" i="3"/>
  <c r="G39" i="3"/>
  <c r="F40" i="3"/>
  <c r="F41" i="3"/>
  <c r="F39" i="3"/>
  <c r="Q35" i="3"/>
  <c r="P35" i="3"/>
  <c r="N35" i="3"/>
  <c r="M34" i="3"/>
  <c r="L36" i="3"/>
  <c r="L37" i="3"/>
  <c r="L35" i="3"/>
  <c r="K36" i="3"/>
  <c r="K37" i="3"/>
  <c r="K35" i="3"/>
  <c r="I36" i="3"/>
  <c r="I37" i="3"/>
  <c r="I35" i="3"/>
  <c r="H36" i="3"/>
  <c r="H37" i="3"/>
  <c r="H35" i="3"/>
  <c r="G36" i="3"/>
  <c r="G37" i="3"/>
  <c r="G35" i="3"/>
  <c r="F36" i="3"/>
  <c r="F37" i="3"/>
  <c r="F35" i="3"/>
  <c r="Q31" i="3"/>
  <c r="P31" i="3"/>
  <c r="N31" i="3"/>
  <c r="M31" i="3"/>
  <c r="L32" i="3"/>
  <c r="L33" i="3"/>
  <c r="L31" i="3"/>
  <c r="K32" i="3"/>
  <c r="K33" i="3"/>
  <c r="K31" i="3"/>
  <c r="I32" i="3"/>
  <c r="I33" i="3"/>
  <c r="I31" i="3"/>
  <c r="H32" i="3"/>
  <c r="H33" i="3"/>
  <c r="H31" i="3"/>
  <c r="G32" i="3"/>
  <c r="G33" i="3"/>
  <c r="G31" i="3"/>
  <c r="F32" i="3"/>
  <c r="F33" i="3"/>
  <c r="F31" i="3"/>
  <c r="D246" i="3"/>
  <c r="E246" i="3"/>
  <c r="C246" i="3"/>
  <c r="D242" i="3"/>
  <c r="E242" i="3"/>
  <c r="C242" i="3"/>
  <c r="D238" i="3"/>
  <c r="E238" i="3"/>
  <c r="C238" i="3"/>
  <c r="D234" i="3"/>
  <c r="E234" i="3"/>
  <c r="C234" i="3"/>
  <c r="D230" i="3"/>
  <c r="E230" i="3"/>
  <c r="C230" i="3"/>
  <c r="D226" i="3"/>
  <c r="E226" i="3"/>
  <c r="C226" i="3"/>
  <c r="D222" i="3"/>
  <c r="E222" i="3"/>
  <c r="C222" i="3"/>
  <c r="D218" i="3"/>
  <c r="E218" i="3"/>
  <c r="C218" i="3"/>
  <c r="D214" i="3"/>
  <c r="E214" i="3"/>
  <c r="C214" i="3"/>
  <c r="D209" i="3"/>
  <c r="E209" i="3"/>
  <c r="C209" i="3"/>
  <c r="D205" i="3"/>
  <c r="E205" i="3"/>
  <c r="C205" i="3"/>
  <c r="D201" i="3"/>
  <c r="E201" i="3"/>
  <c r="C201" i="3"/>
  <c r="D197" i="3"/>
  <c r="E197" i="3"/>
  <c r="C197" i="3"/>
  <c r="D193" i="3"/>
  <c r="E193" i="3"/>
  <c r="C193" i="3"/>
  <c r="D189" i="3"/>
  <c r="E189" i="3"/>
  <c r="C189" i="3"/>
  <c r="D184" i="3"/>
  <c r="E184" i="3"/>
  <c r="C184" i="3"/>
  <c r="D179" i="3"/>
  <c r="E179" i="3"/>
  <c r="C179" i="3"/>
  <c r="D174" i="3"/>
  <c r="E174" i="3"/>
  <c r="C174" i="3"/>
  <c r="D167" i="3"/>
  <c r="E167" i="3"/>
  <c r="C167" i="3"/>
  <c r="D163" i="3"/>
  <c r="E163" i="3"/>
  <c r="C163" i="3"/>
  <c r="D159" i="3"/>
  <c r="E159" i="3"/>
  <c r="C159" i="3"/>
  <c r="D154" i="3"/>
  <c r="E154" i="3"/>
  <c r="C154" i="3"/>
  <c r="D150" i="3"/>
  <c r="E150" i="3"/>
  <c r="C150" i="3"/>
  <c r="D146" i="3"/>
  <c r="E146" i="3"/>
  <c r="C146" i="3"/>
  <c r="D142" i="3"/>
  <c r="E142" i="3"/>
  <c r="C142" i="3"/>
  <c r="D138" i="3"/>
  <c r="E138" i="3"/>
  <c r="C138" i="3"/>
  <c r="D134" i="3"/>
  <c r="E134" i="3"/>
  <c r="C134" i="3"/>
  <c r="D129" i="3"/>
  <c r="E129" i="3"/>
  <c r="C129" i="3"/>
  <c r="D124" i="3"/>
  <c r="E124" i="3"/>
  <c r="C124" i="3"/>
  <c r="D119" i="3"/>
  <c r="E119" i="3"/>
  <c r="C119" i="3"/>
  <c r="D114" i="3"/>
  <c r="E114" i="3"/>
  <c r="C114" i="3"/>
  <c r="D109" i="3"/>
  <c r="E109" i="3"/>
  <c r="C109" i="3"/>
  <c r="D104" i="3"/>
  <c r="E104" i="3"/>
  <c r="C104" i="3"/>
  <c r="D99" i="3"/>
  <c r="E99" i="3"/>
  <c r="C99" i="3"/>
  <c r="D94" i="3"/>
  <c r="E94" i="3"/>
  <c r="C94" i="3"/>
  <c r="D89" i="3"/>
  <c r="E89" i="3"/>
  <c r="C89" i="3"/>
  <c r="D83" i="3"/>
  <c r="E83" i="3"/>
  <c r="C83" i="3"/>
  <c r="D79" i="3"/>
  <c r="E79" i="3"/>
  <c r="C79" i="3"/>
  <c r="D75" i="3"/>
  <c r="E75" i="3"/>
  <c r="C75" i="3"/>
  <c r="D71" i="3"/>
  <c r="E71" i="3"/>
  <c r="C71" i="3"/>
  <c r="D67" i="3"/>
  <c r="E67" i="3"/>
  <c r="C67" i="3"/>
  <c r="D63" i="3"/>
  <c r="E63" i="3"/>
  <c r="C63" i="3"/>
  <c r="D59" i="3"/>
  <c r="E59" i="3"/>
  <c r="C59" i="3"/>
  <c r="D50" i="3"/>
  <c r="E50" i="3"/>
  <c r="C50" i="3"/>
  <c r="D46" i="3"/>
  <c r="E46" i="3"/>
  <c r="C46" i="3"/>
  <c r="D42" i="3"/>
  <c r="E42" i="3"/>
  <c r="C42" i="3"/>
  <c r="D38" i="3"/>
  <c r="E38" i="3"/>
  <c r="C38" i="3"/>
  <c r="D34" i="3"/>
  <c r="E34" i="3"/>
  <c r="C34" i="3"/>
  <c r="P25" i="3"/>
  <c r="I27" i="3"/>
  <c r="K27" i="3" s="1"/>
  <c r="H26" i="3"/>
  <c r="H27" i="3"/>
  <c r="H25" i="3"/>
  <c r="G26" i="3"/>
  <c r="G27" i="3"/>
  <c r="G25" i="3"/>
  <c r="F26" i="3"/>
  <c r="I26" i="3" s="1"/>
  <c r="F27" i="3"/>
  <c r="F25" i="3"/>
  <c r="I25" i="3" s="1"/>
  <c r="D28" i="3"/>
  <c r="E28" i="3"/>
  <c r="C28" i="3"/>
  <c r="P20" i="3"/>
  <c r="I21" i="3"/>
  <c r="K21" i="3" s="1"/>
  <c r="H21" i="3"/>
  <c r="H22" i="3"/>
  <c r="H20" i="3"/>
  <c r="G21" i="3"/>
  <c r="G22" i="3"/>
  <c r="G20" i="3"/>
  <c r="F22" i="3"/>
  <c r="I22" i="3" s="1"/>
  <c r="F21" i="3"/>
  <c r="F20" i="3"/>
  <c r="I20" i="3" s="1"/>
  <c r="D23" i="3"/>
  <c r="E23" i="3"/>
  <c r="C23" i="3"/>
  <c r="P15" i="3"/>
  <c r="G16" i="3"/>
  <c r="G17" i="3"/>
  <c r="G15" i="3"/>
  <c r="F16" i="3"/>
  <c r="I16" i="3" s="1"/>
  <c r="F17" i="3"/>
  <c r="I17" i="3" s="1"/>
  <c r="F15" i="3"/>
  <c r="I15" i="3" s="1"/>
  <c r="D18" i="3"/>
  <c r="E18" i="3"/>
  <c r="C18" i="3"/>
  <c r="P10" i="3"/>
  <c r="K11" i="3"/>
  <c r="I11" i="3"/>
  <c r="L11" i="3" s="1"/>
  <c r="H11" i="3"/>
  <c r="H12" i="3"/>
  <c r="H10" i="3"/>
  <c r="G11" i="3"/>
  <c r="G12" i="3"/>
  <c r="G10" i="3"/>
  <c r="F12" i="3"/>
  <c r="I12" i="3" s="1"/>
  <c r="F11" i="3"/>
  <c r="M96" i="3" l="1"/>
  <c r="N96" i="3" s="1"/>
  <c r="Q96" i="3" s="1"/>
  <c r="K15" i="3"/>
  <c r="L15" i="3" s="1"/>
  <c r="K22" i="3"/>
  <c r="L22" i="3"/>
  <c r="K25" i="3"/>
  <c r="L25" i="3"/>
  <c r="K17" i="3"/>
  <c r="L17" i="3"/>
  <c r="K12" i="3"/>
  <c r="L12" i="3"/>
  <c r="K16" i="3"/>
  <c r="L16" i="3" s="1"/>
  <c r="K20" i="3"/>
  <c r="L20" i="3"/>
  <c r="K26" i="3"/>
  <c r="L26" i="3" s="1"/>
  <c r="L21" i="3"/>
  <c r="L27" i="3"/>
  <c r="M15" i="3" l="1"/>
  <c r="N15" i="3" s="1"/>
  <c r="Q15" i="3" s="1"/>
  <c r="M25" i="3"/>
  <c r="N25" i="3" s="1"/>
  <c r="Q25" i="3" s="1"/>
  <c r="M20" i="3"/>
  <c r="N20" i="3" s="1"/>
  <c r="Q20" i="3" s="1"/>
  <c r="D13" i="3" l="1"/>
  <c r="E13" i="3"/>
  <c r="C13" i="3"/>
  <c r="F10" i="3" s="1"/>
  <c r="I10" i="3" s="1"/>
  <c r="P4" i="3"/>
  <c r="D7" i="3"/>
  <c r="G5" i="3" s="1"/>
  <c r="E7" i="3"/>
  <c r="H6" i="3" s="1"/>
  <c r="C7" i="3"/>
  <c r="F4" i="3" s="1"/>
  <c r="K10" i="3" l="1"/>
  <c r="L10" i="3" s="1"/>
  <c r="M10" i="3" s="1"/>
  <c r="N10" i="3" s="1"/>
  <c r="Q10" i="3" s="1"/>
  <c r="H5" i="3"/>
  <c r="F5" i="3"/>
  <c r="I5" i="3" s="1"/>
  <c r="G6" i="3"/>
  <c r="F6" i="3"/>
  <c r="H4" i="3"/>
  <c r="G4" i="3"/>
  <c r="I4" i="3" s="1"/>
  <c r="J56" i="1"/>
  <c r="J53" i="1"/>
  <c r="J30" i="1"/>
  <c r="J17" i="1"/>
  <c r="J8" i="1"/>
  <c r="J29" i="1"/>
  <c r="J31" i="1"/>
  <c r="J32" i="1"/>
  <c r="J33" i="1"/>
  <c r="J34" i="1"/>
  <c r="J35" i="1"/>
  <c r="J36" i="1"/>
  <c r="J37" i="1"/>
  <c r="J38" i="1"/>
  <c r="J39" i="1"/>
  <c r="J41" i="1"/>
  <c r="J42" i="1"/>
  <c r="J43" i="1"/>
  <c r="J44" i="1"/>
  <c r="J45" i="1"/>
  <c r="J28" i="1"/>
  <c r="J4" i="1"/>
  <c r="J5" i="1"/>
  <c r="J6" i="1"/>
  <c r="J7" i="1"/>
  <c r="J9" i="1"/>
  <c r="J10" i="1"/>
  <c r="J11" i="1"/>
  <c r="J12" i="1"/>
  <c r="J13" i="1"/>
  <c r="J14" i="1"/>
  <c r="J15" i="1"/>
  <c r="J16" i="1"/>
  <c r="J18" i="1"/>
  <c r="J19" i="1"/>
  <c r="J20" i="1"/>
  <c r="J3" i="1"/>
  <c r="J52" i="1"/>
  <c r="J54" i="1"/>
  <c r="J55" i="1"/>
  <c r="J57" i="1"/>
  <c r="J58" i="1"/>
  <c r="J59" i="1"/>
  <c r="J60" i="1"/>
  <c r="J61" i="1"/>
  <c r="J62" i="1"/>
  <c r="J63" i="1"/>
  <c r="J64" i="1"/>
  <c r="J65" i="1"/>
  <c r="J66" i="1"/>
  <c r="J67" i="1"/>
  <c r="J68" i="1"/>
  <c r="J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51" i="1"/>
  <c r="I6" i="3" l="1"/>
  <c r="K4" i="3"/>
  <c r="L4" i="3" s="1"/>
  <c r="K6" i="3"/>
  <c r="L6" i="3" s="1"/>
  <c r="K5" i="3"/>
  <c r="L5" i="3" s="1"/>
  <c r="M4" i="3" l="1"/>
  <c r="Q4" i="3" s="1"/>
</calcChain>
</file>

<file path=xl/sharedStrings.xml><?xml version="1.0" encoding="utf-8"?>
<sst xmlns="http://schemas.openxmlformats.org/spreadsheetml/2006/main" count="577" uniqueCount="150">
  <si>
    <t>日期：2020/9/30</t>
  </si>
  <si>
    <t>单位：g/0.25m2</t>
  </si>
  <si>
    <t>总鲜重</t>
  </si>
  <si>
    <t>禾本科鲜</t>
  </si>
  <si>
    <t>莎草科鲜</t>
  </si>
  <si>
    <t>杂类草鲜</t>
  </si>
  <si>
    <t>总干重</t>
  </si>
  <si>
    <t>禾本科干</t>
  </si>
  <si>
    <t>莎草科干</t>
  </si>
  <si>
    <t>杂类草干</t>
  </si>
  <si>
    <t>根鲜重</t>
  </si>
  <si>
    <t>根干重</t>
  </si>
  <si>
    <t>（NH4)2SO4-5</t>
  </si>
  <si>
    <t>Ca(NO3)2-4</t>
  </si>
  <si>
    <t>CO(NH2)2-4</t>
  </si>
  <si>
    <t>Ca(NO3)2-1</t>
  </si>
  <si>
    <t>（NH4)2SO4-3</t>
  </si>
  <si>
    <t>CO(NH2)2-2</t>
  </si>
  <si>
    <t>Ca(NO3)2-6</t>
  </si>
  <si>
    <t>(NH4)2SO4-6</t>
  </si>
  <si>
    <t>CO(NH2)2-6</t>
  </si>
  <si>
    <t>(CO(NH2)2-3</t>
  </si>
  <si>
    <t>(NH4)2SO4-4</t>
  </si>
  <si>
    <t>Ca(NO3)2-5</t>
  </si>
  <si>
    <t>(NH4)2SO4-1</t>
  </si>
  <si>
    <t>CO(NH2)2-5</t>
  </si>
  <si>
    <t>Ca(N03)2-3</t>
  </si>
  <si>
    <t>(NH4)2SO4-2</t>
  </si>
  <si>
    <t>CO(NH3)2-1</t>
  </si>
  <si>
    <t>Ca(NO3)2-2</t>
  </si>
  <si>
    <t>CO(NH2)2-3</t>
  </si>
  <si>
    <t>生产力</t>
    <phoneticPr fontId="1" type="noConversion"/>
  </si>
  <si>
    <t>（NH4)2SO4-6</t>
  </si>
  <si>
    <t>（NH4)2SO4-7</t>
  </si>
  <si>
    <t>（NH4)2SO4-8</t>
  </si>
  <si>
    <t>（NH4)2SO4-9</t>
  </si>
  <si>
    <t>（NH4)2SO4-1</t>
    <phoneticPr fontId="1" type="noConversion"/>
  </si>
  <si>
    <t>（NH4)2SO4-2</t>
  </si>
  <si>
    <t>（NH4)2SO4-4</t>
  </si>
  <si>
    <t>（NH4)2SO4-10</t>
  </si>
  <si>
    <t>（NH4)2SO4-11</t>
  </si>
  <si>
    <t>（NH4)2SO4-12</t>
  </si>
  <si>
    <t>（NH4)2SO4-13</t>
  </si>
  <si>
    <t>（NH4)2SO4-14</t>
  </si>
  <si>
    <t>（NH4)2SO4-15</t>
  </si>
  <si>
    <t>（NH4)2SO4-16</t>
  </si>
  <si>
    <t>（NH4)2SO4-17</t>
  </si>
  <si>
    <t>（NH4)2SO4-18</t>
  </si>
  <si>
    <t>g/0.25m2</t>
    <phoneticPr fontId="1" type="noConversion"/>
  </si>
  <si>
    <t>地上</t>
    <phoneticPr fontId="1" type="noConversion"/>
  </si>
  <si>
    <t>地下</t>
    <phoneticPr fontId="1" type="noConversion"/>
  </si>
  <si>
    <t>Ca(NO3)2-1</t>
    <phoneticPr fontId="1" type="noConversion"/>
  </si>
  <si>
    <t>Ca(NO3)2-3</t>
  </si>
  <si>
    <t>Ca(NO3)2-7</t>
  </si>
  <si>
    <t>Ca(NO3)2-8</t>
  </si>
  <si>
    <t>Ca(NO3)2-9</t>
  </si>
  <si>
    <t>Ca(NO3)2-10</t>
  </si>
  <si>
    <t>Ca(NO3)2-11</t>
  </si>
  <si>
    <t>Ca(NO3)2-12</t>
  </si>
  <si>
    <t>Ca(NO3)2-13</t>
  </si>
  <si>
    <t>Ca(NO3)2-14</t>
  </si>
  <si>
    <t>Ca(NO3)2-15</t>
  </si>
  <si>
    <t>Ca(NO3)2-16</t>
  </si>
  <si>
    <t>Ca(NO3)2-17</t>
  </si>
  <si>
    <t>Ca(NO3)2-18</t>
  </si>
  <si>
    <t>CO(NH2)2-1</t>
    <phoneticPr fontId="1" type="noConversion"/>
  </si>
  <si>
    <t>CO(NH2)2-7</t>
  </si>
  <si>
    <t>CO(NH2)2-8</t>
  </si>
  <si>
    <t>CO(NH2)2-9</t>
  </si>
  <si>
    <t>CO(NH2)2-10</t>
  </si>
  <si>
    <t>CO(NH2)2-11</t>
  </si>
  <si>
    <t>CO(NH2)2-12</t>
  </si>
  <si>
    <t>CO(NH2)2-13</t>
  </si>
  <si>
    <t>CO(NH2)2-14</t>
  </si>
  <si>
    <t>CO(NH2)2-15</t>
  </si>
  <si>
    <t>CO(NH2)2-16</t>
  </si>
  <si>
    <t>CO(NH2)2-17</t>
  </si>
  <si>
    <t>CO(NH2)2-18</t>
  </si>
  <si>
    <t>高度</t>
    <phoneticPr fontId="1" type="noConversion"/>
  </si>
  <si>
    <t>盖度</t>
    <phoneticPr fontId="1" type="noConversion"/>
  </si>
  <si>
    <t>密度</t>
    <phoneticPr fontId="1" type="noConversion"/>
  </si>
  <si>
    <t>禾本科</t>
  </si>
  <si>
    <t>莎草科</t>
  </si>
  <si>
    <t>杂类草</t>
  </si>
  <si>
    <t>禾本科</t>
    <phoneticPr fontId="1" type="noConversion"/>
  </si>
  <si>
    <t>杂类草</t>
    <phoneticPr fontId="1" type="noConversion"/>
  </si>
  <si>
    <t>相对盖度</t>
  </si>
  <si>
    <t>相对密度</t>
  </si>
  <si>
    <t>重要值</t>
  </si>
  <si>
    <t>pi</t>
  </si>
  <si>
    <t>ln(pi)</t>
  </si>
  <si>
    <t>pi*ln(pi)</t>
  </si>
  <si>
    <t>总</t>
  </si>
  <si>
    <t>H</t>
  </si>
  <si>
    <t>S</t>
  </si>
  <si>
    <t>ln(s)</t>
  </si>
  <si>
    <t>E</t>
  </si>
  <si>
    <t>相对高度</t>
    <phoneticPr fontId="1" type="noConversion"/>
  </si>
  <si>
    <t>0.22/0.91</t>
    <phoneticPr fontId="1" type="noConversion"/>
  </si>
  <si>
    <t>0.22/0.92</t>
  </si>
  <si>
    <t>0.22/0.93</t>
  </si>
  <si>
    <t>H</t>
    <phoneticPr fontId="1" type="noConversion"/>
  </si>
  <si>
    <t>S</t>
    <phoneticPr fontId="1" type="noConversion"/>
  </si>
  <si>
    <t>E</t>
    <phoneticPr fontId="1" type="noConversion"/>
  </si>
  <si>
    <t>soilN</t>
    <phoneticPr fontId="1" type="noConversion"/>
  </si>
  <si>
    <t>plantN</t>
  </si>
  <si>
    <t>plantN</t>
    <phoneticPr fontId="1" type="noConversion"/>
  </si>
  <si>
    <t>rootN</t>
  </si>
  <si>
    <t>rootN</t>
    <phoneticPr fontId="1" type="noConversion"/>
  </si>
  <si>
    <t>15NSoil</t>
  </si>
  <si>
    <t>15NSoil</t>
    <phoneticPr fontId="1" type="noConversion"/>
  </si>
  <si>
    <t>15Nplant</t>
  </si>
  <si>
    <t>15Nplant</t>
    <phoneticPr fontId="1" type="noConversion"/>
  </si>
  <si>
    <t>15Nsoil</t>
    <phoneticPr fontId="1" type="noConversion"/>
  </si>
  <si>
    <t>（NH4)2SO4-1</t>
  </si>
  <si>
    <t>CO(NH2)2-1</t>
  </si>
  <si>
    <t>soilN0-30</t>
    <phoneticPr fontId="1" type="noConversion"/>
  </si>
  <si>
    <t>15Nroot</t>
    <phoneticPr fontId="1" type="noConversion"/>
  </si>
  <si>
    <t>mg/kg</t>
    <phoneticPr fontId="1" type="noConversion"/>
  </si>
  <si>
    <t xml:space="preserve"> </t>
    <phoneticPr fontId="1" type="noConversion"/>
  </si>
  <si>
    <t>总</t>
    <phoneticPr fontId="1" type="noConversion"/>
  </si>
  <si>
    <t>禾本</t>
    <phoneticPr fontId="1" type="noConversion"/>
  </si>
  <si>
    <t>莎草</t>
    <phoneticPr fontId="1" type="noConversion"/>
  </si>
  <si>
    <t>Ln(n)</t>
    <phoneticPr fontId="1" type="noConversion"/>
  </si>
  <si>
    <t>s-1</t>
    <phoneticPr fontId="1" type="noConversion"/>
  </si>
  <si>
    <t>R</t>
  </si>
  <si>
    <t>R</t>
    <phoneticPr fontId="1" type="noConversion"/>
  </si>
  <si>
    <t>根系</t>
  </si>
  <si>
    <t>根系</t>
    <phoneticPr fontId="1" type="noConversion"/>
  </si>
  <si>
    <t>地上</t>
  </si>
  <si>
    <t>描述</t>
  </si>
  <si>
    <t>个案数</t>
  </si>
  <si>
    <t>平均值</t>
  </si>
  <si>
    <t>标准 偏差</t>
  </si>
  <si>
    <t>标准 错误</t>
  </si>
  <si>
    <t>土壤氮</t>
  </si>
  <si>
    <t>总计</t>
  </si>
  <si>
    <t>模型</t>
  </si>
  <si>
    <t>固定效应</t>
  </si>
  <si>
    <t>随机效应</t>
  </si>
  <si>
    <t>植物氮</t>
  </si>
  <si>
    <t>根系氮</t>
  </si>
  <si>
    <t>土壤丰度</t>
  </si>
  <si>
    <t>植物丰度</t>
  </si>
  <si>
    <t>根系丰度</t>
  </si>
  <si>
    <t>a 警告：成分间方差为负。在计算此随机效应测量时，会将其替换为 0.0。</t>
  </si>
  <si>
    <t>.00187a</t>
  </si>
  <si>
    <t>a</t>
    <phoneticPr fontId="1" type="noConversion"/>
  </si>
  <si>
    <t>ab</t>
    <phoneticPr fontId="1" type="noConversion"/>
  </si>
  <si>
    <t>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</si>
</sst>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8"/>
  <sheetViews>
    <sheetView workbookViewId="0">
      <selection activeCell="K68" sqref="K68:M68"/>
    </sheetView>
  </sheetViews>
  <sheetFormatPr defaultRowHeight="13.8" x14ac:dyDescent="0.25"/>
  <cols>
    <col min="10" max="10" width="9.109375" bestFit="1" customWidth="1"/>
  </cols>
  <sheetData>
    <row r="1" spans="1:15" x14ac:dyDescent="0.25">
      <c r="C1" t="s">
        <v>0</v>
      </c>
    </row>
    <row r="2" spans="1:15" x14ac:dyDescent="0.25">
      <c r="A2" t="s">
        <v>1</v>
      </c>
      <c r="F2" t="s">
        <v>2</v>
      </c>
      <c r="G2" t="s">
        <v>3</v>
      </c>
      <c r="H2" t="s">
        <v>4</v>
      </c>
      <c r="I2" t="s">
        <v>5</v>
      </c>
      <c r="J2" t="s">
        <v>6</v>
      </c>
      <c r="K2" t="s">
        <v>7</v>
      </c>
      <c r="L2" t="s">
        <v>8</v>
      </c>
      <c r="M2" t="s">
        <v>9</v>
      </c>
      <c r="N2" t="s">
        <v>10</v>
      </c>
      <c r="O2" t="s">
        <v>11</v>
      </c>
    </row>
    <row r="3" spans="1:15" x14ac:dyDescent="0.25">
      <c r="C3" t="s">
        <v>12</v>
      </c>
      <c r="F3">
        <v>327.13</v>
      </c>
      <c r="G3">
        <v>4.63</v>
      </c>
      <c r="H3">
        <v>270.38</v>
      </c>
      <c r="I3">
        <v>52.12</v>
      </c>
      <c r="J3">
        <f>SUM(K3:M3)</f>
        <v>154.02000000000001</v>
      </c>
      <c r="K3">
        <v>3.34</v>
      </c>
      <c r="L3">
        <v>132.68</v>
      </c>
      <c r="M3">
        <v>18</v>
      </c>
      <c r="N3">
        <v>28.07</v>
      </c>
      <c r="O3">
        <v>13.62</v>
      </c>
    </row>
    <row r="4" spans="1:15" x14ac:dyDescent="0.25">
      <c r="C4" t="s">
        <v>13</v>
      </c>
      <c r="F4">
        <v>495.05000000000007</v>
      </c>
      <c r="G4">
        <v>20.350000000000001</v>
      </c>
      <c r="H4">
        <v>328.04</v>
      </c>
      <c r="I4">
        <v>146.66</v>
      </c>
      <c r="J4">
        <f t="shared" ref="J4:J20" si="0">SUM(K4:M4)</f>
        <v>238.45000000000002</v>
      </c>
      <c r="K4">
        <v>13.14</v>
      </c>
      <c r="L4">
        <v>160.59</v>
      </c>
      <c r="M4">
        <v>64.72</v>
      </c>
      <c r="N4">
        <v>75.64</v>
      </c>
      <c r="O4">
        <v>34.53</v>
      </c>
    </row>
    <row r="5" spans="1:15" x14ac:dyDescent="0.25">
      <c r="C5" t="s">
        <v>14</v>
      </c>
      <c r="F5">
        <v>460.58000000000004</v>
      </c>
      <c r="G5">
        <v>18.52</v>
      </c>
      <c r="H5">
        <v>203.11</v>
      </c>
      <c r="I5">
        <v>238.95</v>
      </c>
      <c r="J5">
        <f t="shared" si="0"/>
        <v>231.69</v>
      </c>
      <c r="K5">
        <v>11.87</v>
      </c>
      <c r="L5">
        <v>107.73</v>
      </c>
      <c r="M5">
        <v>112.09</v>
      </c>
      <c r="N5">
        <v>55.41</v>
      </c>
      <c r="O5">
        <v>30.62</v>
      </c>
    </row>
    <row r="6" spans="1:15" x14ac:dyDescent="0.25">
      <c r="C6" t="s">
        <v>15</v>
      </c>
      <c r="F6">
        <v>375.91</v>
      </c>
      <c r="G6">
        <v>108</v>
      </c>
      <c r="H6">
        <v>216.73</v>
      </c>
      <c r="I6">
        <v>51.18</v>
      </c>
      <c r="J6">
        <f t="shared" si="0"/>
        <v>166.57000000000002</v>
      </c>
      <c r="K6">
        <v>34.520000000000003</v>
      </c>
      <c r="L6">
        <v>109.09</v>
      </c>
      <c r="M6">
        <v>22.96</v>
      </c>
      <c r="N6">
        <v>67.41</v>
      </c>
      <c r="O6">
        <v>31.74</v>
      </c>
    </row>
    <row r="7" spans="1:15" x14ac:dyDescent="0.25">
      <c r="C7" t="s">
        <v>16</v>
      </c>
      <c r="F7">
        <v>481.09</v>
      </c>
      <c r="G7">
        <v>6.95</v>
      </c>
      <c r="H7">
        <v>351.62</v>
      </c>
      <c r="I7">
        <v>122.52</v>
      </c>
      <c r="J7">
        <f t="shared" si="0"/>
        <v>230.19</v>
      </c>
      <c r="K7">
        <v>4.46</v>
      </c>
      <c r="L7">
        <v>184</v>
      </c>
      <c r="M7">
        <v>41.73</v>
      </c>
      <c r="N7">
        <v>44.33</v>
      </c>
      <c r="O7">
        <v>19.18</v>
      </c>
    </row>
    <row r="8" spans="1:15" x14ac:dyDescent="0.25">
      <c r="C8" t="s">
        <v>17</v>
      </c>
      <c r="F8">
        <v>342.38</v>
      </c>
      <c r="G8">
        <v>29.85</v>
      </c>
      <c r="H8">
        <v>172.89</v>
      </c>
      <c r="I8">
        <v>139.63999999999999</v>
      </c>
      <c r="J8">
        <f>SUM(K8:M8)</f>
        <v>144.52000000000001</v>
      </c>
      <c r="K8">
        <v>16.760000000000002</v>
      </c>
      <c r="L8">
        <v>79.33</v>
      </c>
      <c r="M8">
        <v>48.43</v>
      </c>
      <c r="N8">
        <v>87.37</v>
      </c>
      <c r="O8">
        <v>43.31</v>
      </c>
    </row>
    <row r="9" spans="1:15" x14ac:dyDescent="0.25">
      <c r="C9" t="s">
        <v>18</v>
      </c>
      <c r="F9">
        <v>182.79</v>
      </c>
      <c r="G9">
        <v>0.52</v>
      </c>
      <c r="H9">
        <v>85.36</v>
      </c>
      <c r="I9">
        <v>96.91</v>
      </c>
      <c r="J9">
        <f t="shared" si="0"/>
        <v>64.44</v>
      </c>
      <c r="K9">
        <v>0.26</v>
      </c>
      <c r="L9">
        <v>46.41</v>
      </c>
      <c r="M9">
        <v>17.77</v>
      </c>
      <c r="N9">
        <v>64.64</v>
      </c>
      <c r="O9">
        <v>31.79</v>
      </c>
    </row>
    <row r="10" spans="1:15" x14ac:dyDescent="0.25">
      <c r="C10" t="s">
        <v>19</v>
      </c>
      <c r="F10">
        <v>335.11</v>
      </c>
      <c r="G10">
        <v>10.35</v>
      </c>
      <c r="H10">
        <v>81.62</v>
      </c>
      <c r="I10">
        <v>243.14</v>
      </c>
      <c r="J10">
        <f t="shared" si="0"/>
        <v>129.66</v>
      </c>
      <c r="K10">
        <v>4.8899999999999997</v>
      </c>
      <c r="L10">
        <v>33.409999999999997</v>
      </c>
      <c r="M10">
        <v>91.36</v>
      </c>
      <c r="N10">
        <v>60.45</v>
      </c>
      <c r="O10">
        <v>25.58</v>
      </c>
    </row>
    <row r="11" spans="1:15" x14ac:dyDescent="0.25">
      <c r="C11" t="s">
        <v>20</v>
      </c>
      <c r="F11">
        <v>301.71000000000004</v>
      </c>
      <c r="G11">
        <v>14.18</v>
      </c>
      <c r="H11">
        <v>139.80000000000001</v>
      </c>
      <c r="I11">
        <v>147.72999999999999</v>
      </c>
      <c r="J11">
        <f t="shared" si="0"/>
        <v>143.25</v>
      </c>
      <c r="K11">
        <v>6.83</v>
      </c>
      <c r="L11">
        <v>78.040000000000006</v>
      </c>
      <c r="M11">
        <v>58.38</v>
      </c>
      <c r="N11">
        <v>113.64</v>
      </c>
      <c r="O11">
        <v>52.04</v>
      </c>
    </row>
    <row r="12" spans="1:15" x14ac:dyDescent="0.25">
      <c r="C12" t="s">
        <v>21</v>
      </c>
      <c r="F12">
        <v>343.61</v>
      </c>
      <c r="G12">
        <v>23.4</v>
      </c>
      <c r="H12">
        <v>172.31</v>
      </c>
      <c r="I12">
        <v>147.9</v>
      </c>
      <c r="J12">
        <f t="shared" si="0"/>
        <v>154.51999999999998</v>
      </c>
      <c r="K12">
        <v>7.45</v>
      </c>
      <c r="L12">
        <v>121.1</v>
      </c>
      <c r="M12">
        <v>25.97</v>
      </c>
      <c r="N12">
        <v>42.48</v>
      </c>
      <c r="O12">
        <v>26.14</v>
      </c>
    </row>
    <row r="13" spans="1:15" x14ac:dyDescent="0.25">
      <c r="C13" t="s">
        <v>22</v>
      </c>
      <c r="F13">
        <v>406.15999999999997</v>
      </c>
      <c r="G13">
        <v>37.35</v>
      </c>
      <c r="H13">
        <v>145.12</v>
      </c>
      <c r="I13">
        <v>223.69</v>
      </c>
      <c r="J13">
        <f t="shared" si="0"/>
        <v>179.59</v>
      </c>
      <c r="K13">
        <v>18.079999999999998</v>
      </c>
      <c r="L13">
        <v>74.2</v>
      </c>
      <c r="M13">
        <v>87.31</v>
      </c>
      <c r="N13">
        <v>43.26</v>
      </c>
      <c r="O13">
        <v>19.559999999999999</v>
      </c>
    </row>
    <row r="14" spans="1:15" x14ac:dyDescent="0.25">
      <c r="C14" t="s">
        <v>23</v>
      </c>
      <c r="F14">
        <v>208.8</v>
      </c>
      <c r="G14">
        <v>4.3499999999999996</v>
      </c>
      <c r="H14">
        <v>120.83</v>
      </c>
      <c r="I14">
        <v>83.62</v>
      </c>
      <c r="J14">
        <f t="shared" si="0"/>
        <v>104.77000000000001</v>
      </c>
      <c r="K14">
        <v>2.2200000000000002</v>
      </c>
      <c r="L14">
        <v>71.150000000000006</v>
      </c>
      <c r="M14">
        <v>31.4</v>
      </c>
      <c r="N14">
        <v>32.93</v>
      </c>
      <c r="O14">
        <v>16.91</v>
      </c>
    </row>
    <row r="15" spans="1:15" x14ac:dyDescent="0.25">
      <c r="C15" t="s">
        <v>24</v>
      </c>
      <c r="F15">
        <v>325.95999999999998</v>
      </c>
      <c r="G15">
        <v>90.79</v>
      </c>
      <c r="H15">
        <v>120.85</v>
      </c>
      <c r="I15">
        <v>114.32</v>
      </c>
      <c r="J15">
        <f t="shared" si="0"/>
        <v>145.10999999999999</v>
      </c>
      <c r="K15">
        <v>39.299999999999997</v>
      </c>
      <c r="L15">
        <v>70.63</v>
      </c>
      <c r="M15">
        <v>35.18</v>
      </c>
      <c r="N15">
        <v>53.49</v>
      </c>
      <c r="O15">
        <v>22.07</v>
      </c>
    </row>
    <row r="16" spans="1:15" x14ac:dyDescent="0.25">
      <c r="C16" t="s">
        <v>25</v>
      </c>
      <c r="F16">
        <v>221</v>
      </c>
      <c r="G16">
        <v>28.21</v>
      </c>
      <c r="H16">
        <v>135.63</v>
      </c>
      <c r="I16">
        <v>57.16</v>
      </c>
      <c r="J16">
        <f t="shared" si="0"/>
        <v>119.82</v>
      </c>
      <c r="K16">
        <v>14.21</v>
      </c>
      <c r="L16">
        <v>79.77</v>
      </c>
      <c r="M16">
        <v>25.84</v>
      </c>
      <c r="N16">
        <v>49.35</v>
      </c>
      <c r="O16">
        <v>24.88</v>
      </c>
    </row>
    <row r="17" spans="1:15" x14ac:dyDescent="0.25">
      <c r="C17" t="s">
        <v>26</v>
      </c>
      <c r="F17">
        <v>188.22</v>
      </c>
      <c r="G17">
        <v>5.81</v>
      </c>
      <c r="H17">
        <v>95.71</v>
      </c>
      <c r="I17">
        <v>86.7</v>
      </c>
      <c r="J17">
        <f>SUM(K17:M17)</f>
        <v>82.860000000000014</v>
      </c>
      <c r="K17">
        <v>2.34</v>
      </c>
      <c r="L17">
        <v>42.31</v>
      </c>
      <c r="M17">
        <v>38.21</v>
      </c>
      <c r="N17">
        <v>107.26</v>
      </c>
      <c r="O17">
        <v>46.24</v>
      </c>
    </row>
    <row r="18" spans="1:15" x14ac:dyDescent="0.25">
      <c r="C18" t="s">
        <v>27</v>
      </c>
      <c r="F18">
        <v>231.07999999999998</v>
      </c>
      <c r="G18">
        <v>82.96</v>
      </c>
      <c r="H18">
        <v>11.18</v>
      </c>
      <c r="I18">
        <v>136.94</v>
      </c>
      <c r="J18">
        <f t="shared" si="0"/>
        <v>184.07999999999998</v>
      </c>
      <c r="K18">
        <v>43.12</v>
      </c>
      <c r="L18">
        <v>82.14</v>
      </c>
      <c r="M18">
        <v>58.82</v>
      </c>
      <c r="N18">
        <v>61.38</v>
      </c>
      <c r="O18">
        <v>29.96</v>
      </c>
    </row>
    <row r="19" spans="1:15" x14ac:dyDescent="0.25">
      <c r="C19" t="s">
        <v>28</v>
      </c>
      <c r="F19">
        <v>200.21999999999997</v>
      </c>
      <c r="G19">
        <v>7.52</v>
      </c>
      <c r="H19">
        <v>98.1</v>
      </c>
      <c r="I19">
        <v>94.6</v>
      </c>
      <c r="J19">
        <f t="shared" si="0"/>
        <v>103.38</v>
      </c>
      <c r="K19">
        <v>4.07</v>
      </c>
      <c r="L19">
        <v>56.39</v>
      </c>
      <c r="M19">
        <v>42.92</v>
      </c>
      <c r="N19">
        <v>99.9</v>
      </c>
      <c r="O19">
        <v>43.03</v>
      </c>
    </row>
    <row r="20" spans="1:15" x14ac:dyDescent="0.25">
      <c r="C20" t="s">
        <v>29</v>
      </c>
      <c r="F20">
        <v>208.63</v>
      </c>
      <c r="G20">
        <v>7.68</v>
      </c>
      <c r="H20">
        <v>80.14</v>
      </c>
      <c r="I20">
        <v>120.81</v>
      </c>
      <c r="J20">
        <f t="shared" si="0"/>
        <v>102.89</v>
      </c>
      <c r="K20">
        <v>5.49</v>
      </c>
      <c r="L20">
        <v>58.84</v>
      </c>
      <c r="M20">
        <v>38.56</v>
      </c>
      <c r="N20">
        <v>91.1</v>
      </c>
      <c r="O20">
        <v>38.53</v>
      </c>
    </row>
    <row r="27" spans="1:15" x14ac:dyDescent="0.25">
      <c r="C27">
        <v>44469</v>
      </c>
      <c r="F27" t="s">
        <v>2</v>
      </c>
      <c r="G27" t="s">
        <v>3</v>
      </c>
      <c r="H27" t="s">
        <v>4</v>
      </c>
      <c r="I27" t="s">
        <v>5</v>
      </c>
      <c r="J27" t="s">
        <v>6</v>
      </c>
      <c r="K27" t="s">
        <v>7</v>
      </c>
      <c r="L27" t="s">
        <v>8</v>
      </c>
      <c r="M27" t="s">
        <v>9</v>
      </c>
      <c r="N27" t="s">
        <v>10</v>
      </c>
      <c r="O27" t="s">
        <v>11</v>
      </c>
    </row>
    <row r="28" spans="1:15" x14ac:dyDescent="0.25">
      <c r="A28" t="s">
        <v>1</v>
      </c>
      <c r="C28" t="s">
        <v>12</v>
      </c>
      <c r="F28">
        <v>176.39999999999998</v>
      </c>
      <c r="G28">
        <v>57.12</v>
      </c>
      <c r="H28">
        <v>86.33</v>
      </c>
      <c r="I28">
        <v>32.950000000000003</v>
      </c>
      <c r="J28">
        <f>SUM(K28:M28)</f>
        <v>124.27</v>
      </c>
      <c r="K28">
        <v>41.07</v>
      </c>
      <c r="L28">
        <v>58.72</v>
      </c>
      <c r="M28">
        <v>24.48</v>
      </c>
      <c r="N28">
        <v>168.68</v>
      </c>
      <c r="O28">
        <v>87.36</v>
      </c>
    </row>
    <row r="29" spans="1:15" x14ac:dyDescent="0.25">
      <c r="C29" t="s">
        <v>13</v>
      </c>
      <c r="F29">
        <v>183.39999999999998</v>
      </c>
      <c r="G29">
        <v>10.61</v>
      </c>
      <c r="H29">
        <v>139.84</v>
      </c>
      <c r="I29">
        <v>32.950000000000003</v>
      </c>
      <c r="J29">
        <f t="shared" ref="J29:J45" si="1">SUM(K29:M29)</f>
        <v>177.48000000000002</v>
      </c>
      <c r="K29">
        <v>100.98</v>
      </c>
      <c r="L29">
        <v>7.79</v>
      </c>
      <c r="M29">
        <v>68.709999999999994</v>
      </c>
      <c r="N29">
        <v>24.48</v>
      </c>
      <c r="O29">
        <v>46.37</v>
      </c>
    </row>
    <row r="30" spans="1:15" x14ac:dyDescent="0.25">
      <c r="C30" t="s">
        <v>14</v>
      </c>
      <c r="F30">
        <v>89.23</v>
      </c>
      <c r="G30">
        <v>21.12</v>
      </c>
      <c r="H30">
        <v>35.97</v>
      </c>
      <c r="I30">
        <v>32.14</v>
      </c>
      <c r="J30">
        <f>SUM(K30:M30)</f>
        <v>67.14</v>
      </c>
      <c r="K30">
        <v>20.79</v>
      </c>
      <c r="L30">
        <v>22.3</v>
      </c>
      <c r="M30">
        <v>24.05</v>
      </c>
      <c r="N30">
        <v>54.92</v>
      </c>
      <c r="O30">
        <v>21.04</v>
      </c>
    </row>
    <row r="31" spans="1:15" x14ac:dyDescent="0.25">
      <c r="C31" t="s">
        <v>15</v>
      </c>
      <c r="F31">
        <v>72.680000000000007</v>
      </c>
      <c r="G31">
        <v>14.53</v>
      </c>
      <c r="H31">
        <v>33.44</v>
      </c>
      <c r="I31">
        <v>24.71</v>
      </c>
      <c r="J31">
        <f t="shared" si="1"/>
        <v>73.73</v>
      </c>
      <c r="K31">
        <v>43.95</v>
      </c>
      <c r="L31">
        <v>6.97</v>
      </c>
      <c r="M31">
        <v>22.81</v>
      </c>
      <c r="N31">
        <v>149.25</v>
      </c>
      <c r="O31">
        <v>59.55</v>
      </c>
    </row>
    <row r="32" spans="1:15" x14ac:dyDescent="0.25">
      <c r="C32" t="s">
        <v>16</v>
      </c>
      <c r="F32">
        <v>76.8</v>
      </c>
      <c r="G32">
        <v>5.37</v>
      </c>
      <c r="H32">
        <v>14.64</v>
      </c>
      <c r="I32">
        <v>56.79</v>
      </c>
      <c r="J32">
        <f t="shared" si="1"/>
        <v>40.480000000000004</v>
      </c>
      <c r="K32">
        <v>3.14</v>
      </c>
      <c r="L32">
        <v>8.09</v>
      </c>
      <c r="M32">
        <v>29.25</v>
      </c>
      <c r="N32">
        <v>69.66</v>
      </c>
      <c r="O32">
        <v>22.31</v>
      </c>
    </row>
    <row r="33" spans="3:15" x14ac:dyDescent="0.25">
      <c r="C33" t="s">
        <v>17</v>
      </c>
      <c r="F33">
        <v>41.680000000000007</v>
      </c>
      <c r="G33">
        <v>14.55</v>
      </c>
      <c r="H33">
        <v>21.29</v>
      </c>
      <c r="I33">
        <v>5.84</v>
      </c>
      <c r="J33">
        <f t="shared" si="1"/>
        <v>32.270000000000003</v>
      </c>
      <c r="K33">
        <v>11.81</v>
      </c>
      <c r="L33">
        <v>16.670000000000002</v>
      </c>
      <c r="M33">
        <v>3.79</v>
      </c>
      <c r="N33">
        <v>44.52</v>
      </c>
      <c r="O33">
        <v>13.74</v>
      </c>
    </row>
    <row r="34" spans="3:15" x14ac:dyDescent="0.25">
      <c r="C34" t="s">
        <v>18</v>
      </c>
      <c r="F34">
        <v>84.37</v>
      </c>
      <c r="G34">
        <v>1.61</v>
      </c>
      <c r="H34">
        <v>37.99</v>
      </c>
      <c r="I34">
        <v>44.77</v>
      </c>
      <c r="J34">
        <f t="shared" si="1"/>
        <v>41.56</v>
      </c>
      <c r="K34">
        <v>0.51</v>
      </c>
      <c r="L34">
        <v>21.9</v>
      </c>
      <c r="M34">
        <v>19.149999999999999</v>
      </c>
      <c r="N34">
        <v>139.11000000000001</v>
      </c>
      <c r="O34">
        <v>53.91</v>
      </c>
    </row>
    <row r="35" spans="3:15" x14ac:dyDescent="0.25">
      <c r="C35" t="s">
        <v>19</v>
      </c>
      <c r="F35">
        <v>60.55</v>
      </c>
      <c r="G35">
        <v>5.41</v>
      </c>
      <c r="H35">
        <v>34.15</v>
      </c>
      <c r="I35">
        <v>20.99</v>
      </c>
      <c r="J35">
        <f t="shared" si="1"/>
        <v>49.94</v>
      </c>
      <c r="K35">
        <v>2.93</v>
      </c>
      <c r="L35">
        <v>27.88</v>
      </c>
      <c r="M35">
        <v>19.13</v>
      </c>
      <c r="N35">
        <v>172.11</v>
      </c>
      <c r="O35">
        <v>85.17</v>
      </c>
    </row>
    <row r="36" spans="3:15" x14ac:dyDescent="0.25">
      <c r="C36" t="s">
        <v>20</v>
      </c>
      <c r="F36">
        <v>52.349999999999994</v>
      </c>
      <c r="G36">
        <v>10.87</v>
      </c>
      <c r="H36">
        <v>12.79</v>
      </c>
      <c r="I36">
        <v>11.28</v>
      </c>
      <c r="J36">
        <f t="shared" si="1"/>
        <v>52.02</v>
      </c>
      <c r="K36">
        <v>7.36</v>
      </c>
      <c r="L36">
        <v>28.69</v>
      </c>
      <c r="M36">
        <v>15.97</v>
      </c>
      <c r="N36">
        <v>151.46</v>
      </c>
      <c r="O36">
        <v>60.24</v>
      </c>
    </row>
    <row r="37" spans="3:15" x14ac:dyDescent="0.25">
      <c r="C37" t="s">
        <v>30</v>
      </c>
      <c r="F37">
        <v>87.52</v>
      </c>
      <c r="G37">
        <v>2.97</v>
      </c>
      <c r="H37">
        <v>45.94</v>
      </c>
      <c r="I37">
        <v>38.61</v>
      </c>
      <c r="J37">
        <f t="shared" si="1"/>
        <v>52.5</v>
      </c>
      <c r="K37">
        <v>1.1000000000000001</v>
      </c>
      <c r="L37">
        <v>30.91</v>
      </c>
      <c r="M37">
        <v>20.49</v>
      </c>
      <c r="N37">
        <v>164.05</v>
      </c>
      <c r="O37">
        <v>66.739999999999995</v>
      </c>
    </row>
    <row r="38" spans="3:15" x14ac:dyDescent="0.25">
      <c r="C38" t="s">
        <v>22</v>
      </c>
      <c r="F38">
        <v>52.86</v>
      </c>
      <c r="G38">
        <v>8.75</v>
      </c>
      <c r="H38">
        <v>10.43</v>
      </c>
      <c r="I38">
        <v>33.68</v>
      </c>
      <c r="J38">
        <f t="shared" si="1"/>
        <v>40.629999999999995</v>
      </c>
      <c r="K38">
        <v>7.26</v>
      </c>
      <c r="L38">
        <v>9.06</v>
      </c>
      <c r="M38">
        <v>24.31</v>
      </c>
      <c r="N38">
        <v>109.96</v>
      </c>
      <c r="O38">
        <v>45.26</v>
      </c>
    </row>
    <row r="39" spans="3:15" x14ac:dyDescent="0.25">
      <c r="C39" t="s">
        <v>23</v>
      </c>
      <c r="F39">
        <v>62.01</v>
      </c>
      <c r="G39">
        <v>13.56</v>
      </c>
      <c r="H39">
        <v>30.13</v>
      </c>
      <c r="I39">
        <v>18.32</v>
      </c>
      <c r="J39">
        <f t="shared" si="1"/>
        <v>45.02</v>
      </c>
      <c r="K39">
        <v>10.32</v>
      </c>
      <c r="L39">
        <v>20.85</v>
      </c>
      <c r="M39">
        <v>13.85</v>
      </c>
      <c r="N39">
        <v>136.55000000000001</v>
      </c>
      <c r="O39">
        <v>54.14</v>
      </c>
    </row>
    <row r="40" spans="3:15" x14ac:dyDescent="0.25">
      <c r="C40" t="s">
        <v>24</v>
      </c>
      <c r="F40">
        <v>65.67</v>
      </c>
      <c r="H40">
        <v>60.08</v>
      </c>
      <c r="I40">
        <v>5.59</v>
      </c>
      <c r="J40">
        <f>SUM(K40:M40)</f>
        <v>44.55</v>
      </c>
      <c r="L40">
        <v>40.97</v>
      </c>
      <c r="M40">
        <v>3.58</v>
      </c>
      <c r="N40">
        <v>42.2</v>
      </c>
      <c r="O40">
        <v>16.38</v>
      </c>
    </row>
    <row r="41" spans="3:15" x14ac:dyDescent="0.25">
      <c r="C41" t="s">
        <v>25</v>
      </c>
      <c r="F41">
        <v>85.36</v>
      </c>
      <c r="G41">
        <v>52.04</v>
      </c>
      <c r="H41">
        <v>18.309999999999999</v>
      </c>
      <c r="I41">
        <v>15.01</v>
      </c>
      <c r="J41">
        <f t="shared" si="1"/>
        <v>63.99</v>
      </c>
      <c r="K41">
        <v>38.380000000000003</v>
      </c>
      <c r="L41">
        <v>14.62</v>
      </c>
      <c r="M41">
        <v>10.99</v>
      </c>
      <c r="N41">
        <v>117.18</v>
      </c>
      <c r="O41">
        <v>37.32</v>
      </c>
    </row>
    <row r="42" spans="3:15" x14ac:dyDescent="0.25">
      <c r="C42" t="s">
        <v>26</v>
      </c>
      <c r="F42">
        <v>165.81</v>
      </c>
      <c r="G42">
        <v>109.55</v>
      </c>
      <c r="H42">
        <v>45.76</v>
      </c>
      <c r="I42">
        <v>10.5</v>
      </c>
      <c r="J42">
        <f t="shared" si="1"/>
        <v>118.21</v>
      </c>
      <c r="K42">
        <v>76.33</v>
      </c>
      <c r="L42">
        <v>34.19</v>
      </c>
      <c r="M42">
        <v>7.69</v>
      </c>
      <c r="N42">
        <v>62.24</v>
      </c>
      <c r="O42">
        <v>22.08</v>
      </c>
    </row>
    <row r="43" spans="3:15" x14ac:dyDescent="0.25">
      <c r="C43" t="s">
        <v>27</v>
      </c>
      <c r="F43">
        <v>55.089999999999996</v>
      </c>
      <c r="G43">
        <v>24.06</v>
      </c>
      <c r="H43">
        <v>23.16</v>
      </c>
      <c r="I43">
        <v>7.87</v>
      </c>
      <c r="J43">
        <f t="shared" si="1"/>
        <v>45.91</v>
      </c>
      <c r="K43">
        <v>17.399999999999999</v>
      </c>
      <c r="L43">
        <v>21.7</v>
      </c>
      <c r="M43">
        <v>6.81</v>
      </c>
      <c r="N43">
        <v>111.56</v>
      </c>
      <c r="O43">
        <v>38.04</v>
      </c>
    </row>
    <row r="44" spans="3:15" x14ac:dyDescent="0.25">
      <c r="C44" t="s">
        <v>28</v>
      </c>
      <c r="F44">
        <v>90.57</v>
      </c>
      <c r="G44">
        <v>15.46</v>
      </c>
      <c r="H44">
        <v>9.51</v>
      </c>
      <c r="I44">
        <v>65.599999999999994</v>
      </c>
      <c r="J44">
        <f t="shared" si="1"/>
        <v>56.29</v>
      </c>
      <c r="K44">
        <v>8.6999999999999993</v>
      </c>
      <c r="L44">
        <v>8.99</v>
      </c>
      <c r="M44">
        <v>38.6</v>
      </c>
      <c r="N44">
        <v>92.68</v>
      </c>
      <c r="O44">
        <v>32.74</v>
      </c>
    </row>
    <row r="45" spans="3:15" x14ac:dyDescent="0.25">
      <c r="C45" t="s">
        <v>29</v>
      </c>
      <c r="F45">
        <v>67.58</v>
      </c>
      <c r="G45">
        <v>25.3</v>
      </c>
      <c r="H45">
        <v>16.510000000000002</v>
      </c>
      <c r="I45">
        <v>25.77</v>
      </c>
      <c r="J45">
        <f t="shared" si="1"/>
        <v>46.34</v>
      </c>
      <c r="K45">
        <v>15.5</v>
      </c>
      <c r="L45">
        <v>14.8</v>
      </c>
      <c r="M45">
        <v>16.04</v>
      </c>
      <c r="N45">
        <v>164.74</v>
      </c>
      <c r="O45">
        <v>66.260000000000005</v>
      </c>
    </row>
    <row r="50" spans="3:15" x14ac:dyDescent="0.25">
      <c r="C50">
        <v>44834</v>
      </c>
      <c r="F50" t="s">
        <v>2</v>
      </c>
      <c r="G50" t="s">
        <v>3</v>
      </c>
      <c r="H50" t="s">
        <v>4</v>
      </c>
      <c r="I50" t="s">
        <v>5</v>
      </c>
      <c r="J50" t="s">
        <v>6</v>
      </c>
      <c r="K50" t="s">
        <v>7</v>
      </c>
      <c r="L50" t="s">
        <v>8</v>
      </c>
      <c r="M50" t="s">
        <v>9</v>
      </c>
      <c r="N50" t="s">
        <v>10</v>
      </c>
      <c r="O50" t="s">
        <v>11</v>
      </c>
    </row>
    <row r="51" spans="3:15" x14ac:dyDescent="0.25">
      <c r="C51" t="s">
        <v>12</v>
      </c>
      <c r="F51">
        <f>SUM(G51:I51)</f>
        <v>112.9</v>
      </c>
      <c r="G51">
        <v>38.1</v>
      </c>
      <c r="H51">
        <v>32.700000000000003</v>
      </c>
      <c r="I51">
        <v>42.1</v>
      </c>
      <c r="J51">
        <f>SUM(K51:M51)</f>
        <v>73.900000000000006</v>
      </c>
      <c r="K51">
        <v>24.5</v>
      </c>
      <c r="L51">
        <v>22.1</v>
      </c>
      <c r="M51">
        <v>27.3</v>
      </c>
      <c r="N51">
        <v>98.68</v>
      </c>
      <c r="O51">
        <v>45.2</v>
      </c>
    </row>
    <row r="52" spans="3:15" x14ac:dyDescent="0.25">
      <c r="C52" t="s">
        <v>13</v>
      </c>
      <c r="F52">
        <f t="shared" ref="F52:F68" si="2">SUM(G52:I52)</f>
        <v>91.78</v>
      </c>
      <c r="G52">
        <v>26.59</v>
      </c>
      <c r="H52">
        <v>43.12</v>
      </c>
      <c r="I52">
        <v>22.07</v>
      </c>
      <c r="J52">
        <f t="shared" ref="J52:J68" si="3">SUM(K52:M52)</f>
        <v>52</v>
      </c>
      <c r="K52">
        <v>15.7</v>
      </c>
      <c r="L52">
        <v>21.2</v>
      </c>
      <c r="M52">
        <v>15.1</v>
      </c>
      <c r="N52">
        <v>157.74</v>
      </c>
      <c r="O52">
        <v>101.7</v>
      </c>
    </row>
    <row r="53" spans="3:15" x14ac:dyDescent="0.25">
      <c r="C53" t="s">
        <v>14</v>
      </c>
      <c r="F53">
        <f t="shared" si="2"/>
        <v>80.3</v>
      </c>
      <c r="G53">
        <v>21.2</v>
      </c>
      <c r="H53">
        <v>38.9</v>
      </c>
      <c r="I53">
        <v>20.2</v>
      </c>
      <c r="J53">
        <f t="shared" si="3"/>
        <v>51.5</v>
      </c>
      <c r="K53">
        <v>18.100000000000001</v>
      </c>
      <c r="L53">
        <v>17.600000000000001</v>
      </c>
      <c r="M53">
        <v>15.8</v>
      </c>
      <c r="N53">
        <v>84.14</v>
      </c>
      <c r="O53">
        <v>50.05</v>
      </c>
    </row>
    <row r="54" spans="3:15" x14ac:dyDescent="0.25">
      <c r="C54" t="s">
        <v>15</v>
      </c>
      <c r="F54">
        <f t="shared" si="2"/>
        <v>83</v>
      </c>
      <c r="G54">
        <v>23.1</v>
      </c>
      <c r="H54">
        <v>31.2</v>
      </c>
      <c r="I54">
        <v>28.7</v>
      </c>
      <c r="J54">
        <f t="shared" si="3"/>
        <v>57.900000000000006</v>
      </c>
      <c r="K54">
        <v>17.8</v>
      </c>
      <c r="L54">
        <v>18.899999999999999</v>
      </c>
      <c r="M54">
        <v>21.2</v>
      </c>
      <c r="N54">
        <v>127.48</v>
      </c>
      <c r="O54">
        <v>60.29</v>
      </c>
    </row>
    <row r="55" spans="3:15" x14ac:dyDescent="0.25">
      <c r="C55" t="s">
        <v>16</v>
      </c>
      <c r="F55">
        <f t="shared" si="2"/>
        <v>119.36</v>
      </c>
      <c r="G55">
        <v>44.7</v>
      </c>
      <c r="H55">
        <v>48.9</v>
      </c>
      <c r="I55">
        <v>25.76</v>
      </c>
      <c r="J55">
        <f t="shared" si="3"/>
        <v>84.800000000000011</v>
      </c>
      <c r="K55">
        <v>35.6</v>
      </c>
      <c r="L55">
        <v>32.1</v>
      </c>
      <c r="M55">
        <v>17.100000000000001</v>
      </c>
      <c r="N55">
        <v>151.87</v>
      </c>
      <c r="O55">
        <v>67.12</v>
      </c>
    </row>
    <row r="56" spans="3:15" x14ac:dyDescent="0.25">
      <c r="C56" t="s">
        <v>17</v>
      </c>
      <c r="F56">
        <f t="shared" si="2"/>
        <v>92.6</v>
      </c>
      <c r="G56">
        <v>26.7</v>
      </c>
      <c r="H56">
        <v>32.1</v>
      </c>
      <c r="I56">
        <v>33.799999999999997</v>
      </c>
      <c r="J56">
        <f>SUM(K56:M56)</f>
        <v>64.900000000000006</v>
      </c>
      <c r="K56">
        <v>19.8</v>
      </c>
      <c r="L56">
        <v>20.399999999999999</v>
      </c>
      <c r="M56">
        <v>24.7</v>
      </c>
      <c r="N56">
        <v>269.77</v>
      </c>
      <c r="O56">
        <v>207.8</v>
      </c>
    </row>
    <row r="57" spans="3:15" x14ac:dyDescent="0.25">
      <c r="C57" t="s">
        <v>18</v>
      </c>
      <c r="F57">
        <f t="shared" si="2"/>
        <v>87.600000000000009</v>
      </c>
      <c r="G57">
        <v>26.8</v>
      </c>
      <c r="H57">
        <v>25.1</v>
      </c>
      <c r="I57">
        <v>35.700000000000003</v>
      </c>
      <c r="J57">
        <f t="shared" si="3"/>
        <v>66.100000000000009</v>
      </c>
      <c r="K57">
        <v>19.8</v>
      </c>
      <c r="L57">
        <v>20.100000000000001</v>
      </c>
      <c r="M57">
        <v>26.2</v>
      </c>
      <c r="N57">
        <v>245.6</v>
      </c>
      <c r="O57">
        <v>167.8</v>
      </c>
    </row>
    <row r="58" spans="3:15" x14ac:dyDescent="0.25">
      <c r="C58" t="s">
        <v>19</v>
      </c>
      <c r="F58">
        <f t="shared" si="2"/>
        <v>76.900000000000006</v>
      </c>
      <c r="G58">
        <v>27.8</v>
      </c>
      <c r="H58">
        <v>25.4</v>
      </c>
      <c r="I58">
        <v>23.7</v>
      </c>
      <c r="J58">
        <f t="shared" si="3"/>
        <v>51.2</v>
      </c>
      <c r="K58">
        <v>18.100000000000001</v>
      </c>
      <c r="L58">
        <v>17.399999999999999</v>
      </c>
      <c r="M58">
        <v>15.7</v>
      </c>
      <c r="N58">
        <v>195.28</v>
      </c>
      <c r="O58">
        <v>133.66</v>
      </c>
    </row>
    <row r="59" spans="3:15" x14ac:dyDescent="0.25">
      <c r="C59" t="s">
        <v>20</v>
      </c>
      <c r="F59">
        <f t="shared" si="2"/>
        <v>99.300000000000011</v>
      </c>
      <c r="G59">
        <v>34.1</v>
      </c>
      <c r="H59">
        <v>29.8</v>
      </c>
      <c r="I59">
        <v>35.4</v>
      </c>
      <c r="J59">
        <f t="shared" si="3"/>
        <v>61</v>
      </c>
      <c r="K59">
        <v>16.5</v>
      </c>
      <c r="L59">
        <v>24.7</v>
      </c>
      <c r="M59">
        <v>19.8</v>
      </c>
      <c r="N59">
        <v>150.56</v>
      </c>
      <c r="O59">
        <v>69.739999999999995</v>
      </c>
    </row>
    <row r="60" spans="3:15" x14ac:dyDescent="0.25">
      <c r="C60" t="s">
        <v>21</v>
      </c>
      <c r="F60">
        <f t="shared" si="2"/>
        <v>108.55000000000001</v>
      </c>
      <c r="G60">
        <v>41.6</v>
      </c>
      <c r="H60">
        <v>34.299999999999997</v>
      </c>
      <c r="I60">
        <v>32.65</v>
      </c>
      <c r="J60">
        <f t="shared" si="3"/>
        <v>77.400000000000006</v>
      </c>
      <c r="K60">
        <v>32.1</v>
      </c>
      <c r="L60">
        <v>22.2</v>
      </c>
      <c r="M60">
        <v>23.1</v>
      </c>
      <c r="N60">
        <v>133.72</v>
      </c>
      <c r="O60">
        <v>60.1</v>
      </c>
    </row>
    <row r="61" spans="3:15" x14ac:dyDescent="0.25">
      <c r="C61" t="s">
        <v>22</v>
      </c>
      <c r="F61">
        <f t="shared" si="2"/>
        <v>64</v>
      </c>
      <c r="G61">
        <v>23.1</v>
      </c>
      <c r="H61">
        <v>19.8</v>
      </c>
      <c r="I61">
        <v>21.1</v>
      </c>
      <c r="J61">
        <f t="shared" si="3"/>
        <v>38.799999999999997</v>
      </c>
      <c r="K61">
        <v>16.399999999999999</v>
      </c>
      <c r="L61">
        <v>10.199999999999999</v>
      </c>
      <c r="M61">
        <v>12.2</v>
      </c>
      <c r="N61">
        <v>191.93</v>
      </c>
      <c r="O61">
        <v>80.7</v>
      </c>
    </row>
    <row r="62" spans="3:15" x14ac:dyDescent="0.25">
      <c r="C62" t="s">
        <v>23</v>
      </c>
      <c r="F62">
        <f t="shared" si="2"/>
        <v>84.4</v>
      </c>
      <c r="G62">
        <v>24.1</v>
      </c>
      <c r="H62">
        <v>19.7</v>
      </c>
      <c r="I62">
        <v>40.6</v>
      </c>
      <c r="J62">
        <f t="shared" si="3"/>
        <v>41.199999999999996</v>
      </c>
      <c r="K62">
        <v>10.7</v>
      </c>
      <c r="L62">
        <v>20.399999999999999</v>
      </c>
      <c r="M62">
        <v>10.1</v>
      </c>
      <c r="N62">
        <v>107.42</v>
      </c>
      <c r="O62">
        <v>69.12</v>
      </c>
    </row>
    <row r="63" spans="3:15" x14ac:dyDescent="0.25">
      <c r="C63" t="s">
        <v>24</v>
      </c>
      <c r="F63">
        <f t="shared" si="2"/>
        <v>84.5</v>
      </c>
      <c r="G63">
        <v>28.1</v>
      </c>
      <c r="H63">
        <v>29.3</v>
      </c>
      <c r="I63">
        <v>27.1</v>
      </c>
      <c r="J63">
        <f t="shared" si="3"/>
        <v>52.099999999999994</v>
      </c>
      <c r="K63">
        <v>15.1</v>
      </c>
      <c r="L63">
        <v>19.8</v>
      </c>
      <c r="M63">
        <v>17.2</v>
      </c>
      <c r="N63">
        <v>124.17</v>
      </c>
      <c r="O63">
        <v>109.1</v>
      </c>
    </row>
    <row r="64" spans="3:15" x14ac:dyDescent="0.25">
      <c r="C64" t="s">
        <v>25</v>
      </c>
      <c r="F64">
        <f t="shared" si="2"/>
        <v>62.800000000000004</v>
      </c>
      <c r="G64">
        <v>21.2</v>
      </c>
      <c r="H64">
        <v>23.5</v>
      </c>
      <c r="I64">
        <v>18.100000000000001</v>
      </c>
      <c r="J64">
        <f t="shared" si="3"/>
        <v>62.2</v>
      </c>
      <c r="K64">
        <v>19.8</v>
      </c>
      <c r="L64">
        <v>14.6</v>
      </c>
      <c r="M64">
        <v>27.8</v>
      </c>
      <c r="N64">
        <v>209.68</v>
      </c>
      <c r="O64">
        <v>130.22</v>
      </c>
    </row>
    <row r="65" spans="3:15" x14ac:dyDescent="0.25">
      <c r="C65" t="s">
        <v>26</v>
      </c>
      <c r="F65">
        <f t="shared" si="2"/>
        <v>103</v>
      </c>
      <c r="G65">
        <v>34.700000000000003</v>
      </c>
      <c r="H65">
        <v>30.5</v>
      </c>
      <c r="I65">
        <v>37.799999999999997</v>
      </c>
      <c r="J65">
        <f t="shared" si="3"/>
        <v>77.400000000000006</v>
      </c>
      <c r="K65">
        <v>29.1</v>
      </c>
      <c r="L65">
        <v>26.9</v>
      </c>
      <c r="M65">
        <v>21.4</v>
      </c>
      <c r="N65">
        <v>216</v>
      </c>
      <c r="O65">
        <v>142.1</v>
      </c>
    </row>
    <row r="66" spans="3:15" x14ac:dyDescent="0.25">
      <c r="C66" t="s">
        <v>27</v>
      </c>
      <c r="F66">
        <f t="shared" si="2"/>
        <v>93.4</v>
      </c>
      <c r="G66">
        <v>32.1</v>
      </c>
      <c r="H66">
        <v>28.1</v>
      </c>
      <c r="I66">
        <v>33.200000000000003</v>
      </c>
      <c r="J66">
        <f t="shared" si="3"/>
        <v>63.4</v>
      </c>
      <c r="K66">
        <v>20.100000000000001</v>
      </c>
      <c r="L66">
        <v>19.7</v>
      </c>
      <c r="M66">
        <v>23.6</v>
      </c>
      <c r="N66">
        <v>141.22999999999999</v>
      </c>
      <c r="O66">
        <v>87.6</v>
      </c>
    </row>
    <row r="67" spans="3:15" x14ac:dyDescent="0.25">
      <c r="C67" t="s">
        <v>28</v>
      </c>
      <c r="F67">
        <f t="shared" si="2"/>
        <v>89.009999999999991</v>
      </c>
      <c r="G67">
        <v>24.49</v>
      </c>
      <c r="H67">
        <v>37.869999999999997</v>
      </c>
      <c r="I67">
        <v>26.65</v>
      </c>
      <c r="J67">
        <f t="shared" si="3"/>
        <v>64.7</v>
      </c>
      <c r="K67">
        <v>18.100000000000001</v>
      </c>
      <c r="L67">
        <v>22.5</v>
      </c>
      <c r="M67">
        <v>24.1</v>
      </c>
      <c r="N67">
        <v>143.1</v>
      </c>
      <c r="O67">
        <v>68.13</v>
      </c>
    </row>
    <row r="68" spans="3:15" x14ac:dyDescent="0.25">
      <c r="C68" t="s">
        <v>29</v>
      </c>
      <c r="F68">
        <f t="shared" si="2"/>
        <v>68.100000000000009</v>
      </c>
      <c r="G68">
        <v>12.7</v>
      </c>
      <c r="H68">
        <v>34.200000000000003</v>
      </c>
      <c r="I68">
        <v>21.2</v>
      </c>
      <c r="J68">
        <f t="shared" si="3"/>
        <v>49.900000000000006</v>
      </c>
      <c r="K68">
        <v>9.8000000000000007</v>
      </c>
      <c r="L68">
        <v>22.3</v>
      </c>
      <c r="M68">
        <v>17.8</v>
      </c>
      <c r="N68">
        <v>138.46</v>
      </c>
      <c r="O68">
        <v>73.14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6CC0D-1CB1-4318-8504-4EAC116902BB}">
  <dimension ref="A1:T55"/>
  <sheetViews>
    <sheetView topLeftCell="A34" workbookViewId="0">
      <selection activeCell="D1" sqref="D1:D1048576"/>
    </sheetView>
  </sheetViews>
  <sheetFormatPr defaultRowHeight="13.8" x14ac:dyDescent="0.25"/>
  <sheetData>
    <row r="1" spans="1:15" x14ac:dyDescent="0.25">
      <c r="A1" t="s">
        <v>48</v>
      </c>
      <c r="B1" t="s">
        <v>31</v>
      </c>
      <c r="D1" t="s">
        <v>49</v>
      </c>
      <c r="E1" t="s">
        <v>50</v>
      </c>
      <c r="F1" t="s">
        <v>101</v>
      </c>
      <c r="G1" t="s">
        <v>102</v>
      </c>
      <c r="H1" t="s">
        <v>103</v>
      </c>
      <c r="I1" t="s">
        <v>104</v>
      </c>
      <c r="J1" t="s">
        <v>106</v>
      </c>
      <c r="K1" t="s">
        <v>108</v>
      </c>
      <c r="L1" t="s">
        <v>110</v>
      </c>
      <c r="M1" t="s">
        <v>112</v>
      </c>
      <c r="N1" t="s">
        <v>113</v>
      </c>
      <c r="O1" t="s">
        <v>128</v>
      </c>
    </row>
    <row r="2" spans="1:15" x14ac:dyDescent="0.25">
      <c r="B2" t="s">
        <v>36</v>
      </c>
      <c r="D2">
        <v>154.02000000000001</v>
      </c>
      <c r="E2">
        <v>13.62</v>
      </c>
      <c r="F2">
        <v>1.0652310003644161</v>
      </c>
      <c r="G2">
        <v>11</v>
      </c>
      <c r="H2">
        <v>0.44423583150121465</v>
      </c>
      <c r="I2">
        <v>6835</v>
      </c>
      <c r="J2">
        <v>43352</v>
      </c>
      <c r="K2">
        <v>8265</v>
      </c>
      <c r="L2">
        <v>0.56699999999999995</v>
      </c>
      <c r="M2">
        <v>4.49</v>
      </c>
      <c r="N2">
        <v>2.04</v>
      </c>
      <c r="O2">
        <f>E2/0.002355</f>
        <v>5783.4394904458595</v>
      </c>
    </row>
    <row r="3" spans="1:15" x14ac:dyDescent="0.25">
      <c r="B3" t="s">
        <v>37</v>
      </c>
      <c r="D3">
        <v>230.19</v>
      </c>
      <c r="E3">
        <v>19.18</v>
      </c>
      <c r="F3">
        <v>1.0620988034731274</v>
      </c>
      <c r="G3">
        <v>12</v>
      </c>
      <c r="H3">
        <v>0.42742000129612123</v>
      </c>
      <c r="I3">
        <v>6601</v>
      </c>
      <c r="J3">
        <v>20662</v>
      </c>
      <c r="K3">
        <v>11233</v>
      </c>
      <c r="L3">
        <v>0.57699999999999996</v>
      </c>
      <c r="M3">
        <v>4.53</v>
      </c>
      <c r="N3">
        <v>1.73</v>
      </c>
      <c r="O3">
        <f t="shared" ref="O3:O55" si="0">E3/0.002355</f>
        <v>8144.3736730360934</v>
      </c>
    </row>
    <row r="4" spans="1:15" x14ac:dyDescent="0.25">
      <c r="B4" t="s">
        <v>16</v>
      </c>
      <c r="D4">
        <v>129.66</v>
      </c>
      <c r="E4">
        <v>25.58</v>
      </c>
      <c r="F4">
        <v>0.99586612168299693</v>
      </c>
      <c r="G4">
        <v>12</v>
      </c>
      <c r="H4">
        <v>0.40076600936617041</v>
      </c>
      <c r="I4">
        <v>6867</v>
      </c>
      <c r="J4">
        <v>24917</v>
      </c>
      <c r="K4">
        <v>10820</v>
      </c>
      <c r="L4">
        <v>0.65500000000000003</v>
      </c>
      <c r="M4">
        <v>6.33</v>
      </c>
      <c r="N4">
        <v>1.99</v>
      </c>
      <c r="O4">
        <f t="shared" si="0"/>
        <v>10861.995753715499</v>
      </c>
    </row>
    <row r="5" spans="1:15" x14ac:dyDescent="0.25">
      <c r="B5" t="s">
        <v>38</v>
      </c>
      <c r="D5">
        <v>179.59</v>
      </c>
      <c r="E5">
        <v>19.559999999999999</v>
      </c>
      <c r="F5">
        <v>1.0574370880882413</v>
      </c>
      <c r="G5">
        <v>13</v>
      </c>
      <c r="H5">
        <v>0.41226431430785015</v>
      </c>
      <c r="I5">
        <v>6427</v>
      </c>
      <c r="J5">
        <v>25227</v>
      </c>
      <c r="K5">
        <v>12622</v>
      </c>
      <c r="L5">
        <v>0.64600000000000002</v>
      </c>
      <c r="M5">
        <v>4.53</v>
      </c>
      <c r="N5">
        <v>1.92</v>
      </c>
      <c r="O5">
        <f t="shared" si="0"/>
        <v>8305.7324840764322</v>
      </c>
    </row>
    <row r="6" spans="1:15" x14ac:dyDescent="0.25">
      <c r="B6" t="s">
        <v>12</v>
      </c>
      <c r="D6">
        <v>145.10999999999999</v>
      </c>
      <c r="E6">
        <v>22.07</v>
      </c>
      <c r="F6">
        <v>1.0604969703669966</v>
      </c>
      <c r="G6">
        <v>13</v>
      </c>
      <c r="H6">
        <v>0.41345727442219082</v>
      </c>
      <c r="I6">
        <v>7574</v>
      </c>
      <c r="J6">
        <v>24958</v>
      </c>
      <c r="K6">
        <v>12404</v>
      </c>
      <c r="L6">
        <v>0.65100000000000002</v>
      </c>
      <c r="M6">
        <v>4.9800000000000004</v>
      </c>
      <c r="N6">
        <v>1.19</v>
      </c>
      <c r="O6">
        <f t="shared" si="0"/>
        <v>9371.5498938428882</v>
      </c>
    </row>
    <row r="7" spans="1:15" x14ac:dyDescent="0.25">
      <c r="B7" t="s">
        <v>32</v>
      </c>
      <c r="D7">
        <v>184.07999999999998</v>
      </c>
      <c r="E7">
        <v>29.96</v>
      </c>
      <c r="F7">
        <v>1.073460403483991</v>
      </c>
      <c r="G7">
        <v>12</v>
      </c>
      <c r="H7">
        <v>0.43199224549363785</v>
      </c>
      <c r="I7">
        <v>6571</v>
      </c>
      <c r="J7">
        <v>25024</v>
      </c>
      <c r="K7">
        <v>9891</v>
      </c>
      <c r="L7">
        <v>0.57699999999999996</v>
      </c>
      <c r="M7">
        <v>4.96</v>
      </c>
      <c r="N7">
        <v>1.52</v>
      </c>
      <c r="O7">
        <f t="shared" si="0"/>
        <v>12721.868365180468</v>
      </c>
    </row>
    <row r="8" spans="1:15" x14ac:dyDescent="0.25">
      <c r="B8" t="s">
        <v>33</v>
      </c>
      <c r="D8">
        <v>124.27</v>
      </c>
      <c r="E8">
        <v>27.36</v>
      </c>
      <c r="F8">
        <v>1.0446329393022127</v>
      </c>
      <c r="G8">
        <v>13</v>
      </c>
      <c r="H8">
        <v>0.40727234487625852</v>
      </c>
      <c r="I8">
        <v>5895</v>
      </c>
      <c r="J8">
        <v>171000</v>
      </c>
      <c r="K8">
        <v>9670</v>
      </c>
      <c r="L8">
        <v>0.54700000000000004</v>
      </c>
      <c r="M8">
        <v>3.46</v>
      </c>
      <c r="N8">
        <v>0.73499999999999999</v>
      </c>
      <c r="O8">
        <f t="shared" si="0"/>
        <v>11617.834394904459</v>
      </c>
    </row>
    <row r="9" spans="1:15" x14ac:dyDescent="0.25">
      <c r="B9" t="s">
        <v>34</v>
      </c>
      <c r="D9">
        <v>140.47999999999999</v>
      </c>
      <c r="E9">
        <v>22.31</v>
      </c>
      <c r="F9">
        <v>1.0455819736233831</v>
      </c>
      <c r="G9">
        <v>12</v>
      </c>
      <c r="H9">
        <v>0.42077313999404642</v>
      </c>
      <c r="I9">
        <v>5926</v>
      </c>
      <c r="J9">
        <v>213000</v>
      </c>
      <c r="K9">
        <v>6732</v>
      </c>
      <c r="L9">
        <v>0.59699999999999998</v>
      </c>
      <c r="M9">
        <v>3.72</v>
      </c>
      <c r="N9">
        <v>1.23</v>
      </c>
      <c r="O9">
        <f t="shared" si="0"/>
        <v>9473.460721868365</v>
      </c>
    </row>
    <row r="10" spans="1:15" x14ac:dyDescent="0.25">
      <c r="B10" t="s">
        <v>35</v>
      </c>
      <c r="D10">
        <v>149.94</v>
      </c>
      <c r="E10">
        <v>25.17</v>
      </c>
      <c r="F10">
        <v>1.0549488389932837</v>
      </c>
      <c r="G10">
        <v>13</v>
      </c>
      <c r="H10">
        <v>0.41129421753470369</v>
      </c>
      <c r="I10">
        <v>5660</v>
      </c>
      <c r="J10">
        <v>192000</v>
      </c>
      <c r="K10">
        <v>11309</v>
      </c>
      <c r="L10">
        <v>0.65800000000000003</v>
      </c>
      <c r="M10">
        <v>5.05</v>
      </c>
      <c r="N10">
        <v>0.89200000000000002</v>
      </c>
      <c r="O10">
        <f t="shared" si="0"/>
        <v>10687.898089171977</v>
      </c>
    </row>
    <row r="11" spans="1:15" x14ac:dyDescent="0.25">
      <c r="B11" t="s">
        <v>39</v>
      </c>
      <c r="D11">
        <v>140.63</v>
      </c>
      <c r="E11">
        <v>25.26</v>
      </c>
      <c r="F11">
        <v>1.0348864935565985</v>
      </c>
      <c r="G11">
        <v>13</v>
      </c>
      <c r="H11">
        <v>0.40347248593664187</v>
      </c>
      <c r="I11">
        <v>6984</v>
      </c>
      <c r="J11">
        <v>142000</v>
      </c>
      <c r="K11">
        <v>10742</v>
      </c>
      <c r="L11">
        <v>0.66800000000000004</v>
      </c>
      <c r="M11">
        <v>3.79</v>
      </c>
      <c r="N11">
        <v>0.749</v>
      </c>
      <c r="O11">
        <f t="shared" si="0"/>
        <v>10726.114649681529</v>
      </c>
    </row>
    <row r="12" spans="1:15" x14ac:dyDescent="0.25">
      <c r="B12" t="s">
        <v>40</v>
      </c>
      <c r="D12">
        <v>144.55000000000001</v>
      </c>
      <c r="E12">
        <v>16.38</v>
      </c>
      <c r="F12">
        <v>1.047077513034568</v>
      </c>
      <c r="G12">
        <v>12</v>
      </c>
      <c r="H12">
        <v>0.42137498932762696</v>
      </c>
      <c r="I12">
        <v>7376</v>
      </c>
      <c r="J12">
        <v>168000</v>
      </c>
      <c r="K12">
        <v>11288</v>
      </c>
      <c r="L12">
        <v>0.49299999999999999</v>
      </c>
      <c r="M12">
        <v>3.19</v>
      </c>
      <c r="N12">
        <v>1.1399999999999999</v>
      </c>
      <c r="O12">
        <f t="shared" si="0"/>
        <v>6955.4140127388537</v>
      </c>
    </row>
    <row r="13" spans="1:15" x14ac:dyDescent="0.25">
      <c r="B13" t="s">
        <v>41</v>
      </c>
      <c r="D13">
        <v>145.91</v>
      </c>
      <c r="E13">
        <v>18.04</v>
      </c>
      <c r="F13">
        <v>1.0396296871388218</v>
      </c>
      <c r="G13">
        <v>13</v>
      </c>
      <c r="H13">
        <v>0.40532172072501116</v>
      </c>
      <c r="I13">
        <v>5442</v>
      </c>
      <c r="J13">
        <v>179000</v>
      </c>
      <c r="K13">
        <v>11757</v>
      </c>
      <c r="L13">
        <v>0.56599999999999995</v>
      </c>
      <c r="M13">
        <v>3.66</v>
      </c>
      <c r="N13">
        <v>1.1499999999999999</v>
      </c>
      <c r="O13">
        <f t="shared" si="0"/>
        <v>7660.297239915074</v>
      </c>
    </row>
    <row r="14" spans="1:15" x14ac:dyDescent="0.25">
      <c r="B14" t="s">
        <v>42</v>
      </c>
      <c r="D14">
        <v>173.9</v>
      </c>
      <c r="E14">
        <v>25.2</v>
      </c>
      <c r="F14">
        <v>1.0393719552978646</v>
      </c>
      <c r="G14">
        <v>14</v>
      </c>
      <c r="H14">
        <v>0.39384212826077258</v>
      </c>
      <c r="I14">
        <v>2400</v>
      </c>
      <c r="J14">
        <v>139000</v>
      </c>
      <c r="K14">
        <v>119000</v>
      </c>
      <c r="L14">
        <v>0.376</v>
      </c>
      <c r="M14">
        <v>2</v>
      </c>
      <c r="N14">
        <v>0.72899999999999998</v>
      </c>
      <c r="O14">
        <f t="shared" si="0"/>
        <v>10700.636942675159</v>
      </c>
    </row>
    <row r="15" spans="1:15" x14ac:dyDescent="0.25">
      <c r="B15" t="s">
        <v>43</v>
      </c>
      <c r="D15">
        <v>184.8</v>
      </c>
      <c r="E15">
        <v>17.12</v>
      </c>
      <c r="F15">
        <v>1.0661438376732137</v>
      </c>
      <c r="G15">
        <v>13</v>
      </c>
      <c r="H15">
        <v>0.41565882561063444</v>
      </c>
      <c r="I15">
        <v>6505</v>
      </c>
      <c r="J15">
        <v>109000</v>
      </c>
      <c r="K15">
        <v>140000</v>
      </c>
      <c r="L15">
        <v>0.83199999999999996</v>
      </c>
      <c r="M15">
        <v>3.12</v>
      </c>
      <c r="N15">
        <v>1.1299999999999999</v>
      </c>
      <c r="O15">
        <f t="shared" si="0"/>
        <v>7269.6390658174105</v>
      </c>
    </row>
    <row r="16" spans="1:15" x14ac:dyDescent="0.25">
      <c r="B16" t="s">
        <v>44</v>
      </c>
      <c r="D16">
        <v>151.19999999999999</v>
      </c>
      <c r="E16">
        <v>13.66</v>
      </c>
      <c r="F16">
        <v>1.0360587350924912</v>
      </c>
      <c r="G16">
        <v>14</v>
      </c>
      <c r="H16">
        <v>0.39258667231891309</v>
      </c>
      <c r="I16">
        <v>7699</v>
      </c>
      <c r="J16">
        <v>140000</v>
      </c>
      <c r="K16">
        <v>93000</v>
      </c>
      <c r="L16">
        <v>0.68899999999999995</v>
      </c>
      <c r="M16">
        <v>3.42</v>
      </c>
      <c r="N16">
        <v>0.79900000000000004</v>
      </c>
      <c r="O16">
        <f t="shared" si="0"/>
        <v>5800.4246284501069</v>
      </c>
    </row>
    <row r="17" spans="2:20" x14ac:dyDescent="0.25">
      <c r="B17" t="s">
        <v>45</v>
      </c>
      <c r="D17">
        <v>138.80000000000001</v>
      </c>
      <c r="E17">
        <v>20.7</v>
      </c>
      <c r="F17">
        <v>1.0392217857929431</v>
      </c>
      <c r="G17">
        <v>13</v>
      </c>
      <c r="H17">
        <v>0.40516269171935376</v>
      </c>
      <c r="I17">
        <v>5024</v>
      </c>
      <c r="J17">
        <v>138000</v>
      </c>
      <c r="K17">
        <v>100000</v>
      </c>
      <c r="L17">
        <v>0.52800000000000002</v>
      </c>
      <c r="M17">
        <v>2.9</v>
      </c>
      <c r="N17">
        <v>0.91</v>
      </c>
      <c r="O17">
        <f t="shared" si="0"/>
        <v>8789.8089171974516</v>
      </c>
    </row>
    <row r="18" spans="2:20" x14ac:dyDescent="0.25">
      <c r="B18" t="s">
        <v>46</v>
      </c>
      <c r="D18">
        <v>152.1</v>
      </c>
      <c r="E18">
        <v>39.1</v>
      </c>
      <c r="F18">
        <v>1.0294322167016443</v>
      </c>
      <c r="G18">
        <v>14</v>
      </c>
      <c r="H18">
        <v>0.39007573088672637</v>
      </c>
      <c r="I18">
        <v>6179</v>
      </c>
      <c r="J18">
        <v>154000</v>
      </c>
      <c r="K18">
        <v>111000</v>
      </c>
      <c r="L18">
        <v>0.59399999999999997</v>
      </c>
      <c r="M18">
        <v>2.75</v>
      </c>
      <c r="N18">
        <v>0.41599999999999998</v>
      </c>
      <c r="O18">
        <f t="shared" si="0"/>
        <v>16602.972399150745</v>
      </c>
    </row>
    <row r="19" spans="2:20" x14ac:dyDescent="0.25">
      <c r="B19" t="s">
        <v>47</v>
      </c>
      <c r="D19">
        <v>163.4</v>
      </c>
      <c r="E19">
        <v>27.6</v>
      </c>
      <c r="F19">
        <v>1.0672279963864102</v>
      </c>
      <c r="G19">
        <v>13</v>
      </c>
      <c r="H19">
        <v>0.41608150791819837</v>
      </c>
      <c r="I19">
        <v>2823</v>
      </c>
      <c r="J19">
        <v>160000</v>
      </c>
      <c r="K19">
        <v>123000</v>
      </c>
      <c r="L19">
        <v>0.42499999999999999</v>
      </c>
      <c r="M19">
        <v>2.37</v>
      </c>
      <c r="N19">
        <v>1.31</v>
      </c>
      <c r="O19">
        <f t="shared" si="0"/>
        <v>11719.745222929938</v>
      </c>
      <c r="T19" t="s">
        <v>119</v>
      </c>
    </row>
    <row r="20" spans="2:20" x14ac:dyDescent="0.25">
      <c r="B20" t="s">
        <v>51</v>
      </c>
      <c r="D20">
        <v>238.45000000000002</v>
      </c>
      <c r="E20">
        <v>24.53</v>
      </c>
      <c r="F20">
        <v>1.0764988152725488</v>
      </c>
      <c r="G20">
        <v>14</v>
      </c>
      <c r="H20">
        <v>0.40791035616853721</v>
      </c>
      <c r="I20">
        <v>5966</v>
      </c>
      <c r="J20">
        <v>18776</v>
      </c>
      <c r="K20">
        <v>11429</v>
      </c>
      <c r="L20">
        <v>0.46700000000000003</v>
      </c>
      <c r="M20">
        <v>4.57</v>
      </c>
      <c r="N20">
        <v>0.92900000000000005</v>
      </c>
      <c r="O20">
        <f t="shared" si="0"/>
        <v>10416.135881104035</v>
      </c>
    </row>
    <row r="21" spans="2:20" x14ac:dyDescent="0.25">
      <c r="B21" t="s">
        <v>29</v>
      </c>
      <c r="D21">
        <v>166.57000000000002</v>
      </c>
      <c r="E21">
        <v>21.74</v>
      </c>
      <c r="F21">
        <v>1.0400456365573953</v>
      </c>
      <c r="G21">
        <v>13</v>
      </c>
      <c r="H21">
        <v>0.40548388744279196</v>
      </c>
      <c r="I21">
        <v>6481</v>
      </c>
      <c r="J21">
        <v>22886</v>
      </c>
      <c r="K21">
        <v>9873</v>
      </c>
      <c r="L21">
        <v>0.498</v>
      </c>
      <c r="M21">
        <v>6.13</v>
      </c>
      <c r="N21">
        <v>0.95299999999999996</v>
      </c>
      <c r="O21">
        <f t="shared" si="0"/>
        <v>9231.4225053078553</v>
      </c>
    </row>
    <row r="22" spans="2:20" x14ac:dyDescent="0.25">
      <c r="B22" t="s">
        <v>52</v>
      </c>
      <c r="D22">
        <v>164.44</v>
      </c>
      <c r="E22">
        <v>21.79</v>
      </c>
      <c r="F22">
        <v>1.072673650157101</v>
      </c>
      <c r="G22">
        <v>11</v>
      </c>
      <c r="H22">
        <v>0.4473396575427912</v>
      </c>
      <c r="I22">
        <v>6767</v>
      </c>
      <c r="J22">
        <v>21564</v>
      </c>
      <c r="K22">
        <v>8968</v>
      </c>
      <c r="L22">
        <v>0.51700000000000002</v>
      </c>
      <c r="M22">
        <v>5.97</v>
      </c>
      <c r="N22">
        <v>1.1499999999999999</v>
      </c>
      <c r="O22">
        <f t="shared" si="0"/>
        <v>9252.653927813164</v>
      </c>
    </row>
    <row r="23" spans="2:20" x14ac:dyDescent="0.25">
      <c r="B23" t="s">
        <v>13</v>
      </c>
      <c r="D23">
        <v>104.77000000000001</v>
      </c>
      <c r="E23">
        <v>16.91</v>
      </c>
      <c r="F23">
        <v>1.0623318599505334</v>
      </c>
      <c r="G23">
        <v>13</v>
      </c>
      <c r="H23">
        <v>0.41417264510902291</v>
      </c>
      <c r="I23">
        <v>6573</v>
      </c>
      <c r="J23">
        <v>23846</v>
      </c>
      <c r="K23">
        <v>9338</v>
      </c>
      <c r="L23">
        <v>0.48199999999999998</v>
      </c>
      <c r="M23">
        <v>5.35</v>
      </c>
      <c r="N23">
        <v>1.97</v>
      </c>
      <c r="O23">
        <f t="shared" si="0"/>
        <v>7180.4670912951169</v>
      </c>
    </row>
    <row r="24" spans="2:20" x14ac:dyDescent="0.25">
      <c r="B24" t="s">
        <v>23</v>
      </c>
      <c r="D24">
        <v>182.86</v>
      </c>
      <c r="E24">
        <v>26.24</v>
      </c>
      <c r="F24">
        <v>1.0752028826992324</v>
      </c>
      <c r="G24">
        <v>12</v>
      </c>
      <c r="H24">
        <v>0.43269347071487102</v>
      </c>
      <c r="I24">
        <v>7803</v>
      </c>
      <c r="J24">
        <v>24764</v>
      </c>
      <c r="K24">
        <v>9359</v>
      </c>
      <c r="L24">
        <v>0.498</v>
      </c>
      <c r="M24">
        <v>6.11</v>
      </c>
      <c r="N24">
        <v>0.95799999999999996</v>
      </c>
      <c r="O24">
        <f t="shared" si="0"/>
        <v>11142.250530785563</v>
      </c>
    </row>
    <row r="25" spans="2:20" x14ac:dyDescent="0.25">
      <c r="B25" t="s">
        <v>18</v>
      </c>
      <c r="D25">
        <v>102.89</v>
      </c>
      <c r="E25">
        <v>28.53</v>
      </c>
      <c r="F25">
        <v>1.0843425182866515</v>
      </c>
      <c r="G25">
        <v>13</v>
      </c>
      <c r="H25">
        <v>0.42275396788332575</v>
      </c>
      <c r="I25">
        <v>6693</v>
      </c>
      <c r="J25">
        <v>23113</v>
      </c>
      <c r="K25">
        <v>10348</v>
      </c>
      <c r="L25">
        <v>0.505</v>
      </c>
      <c r="M25">
        <v>5.99</v>
      </c>
      <c r="N25">
        <v>0.94</v>
      </c>
      <c r="O25">
        <f t="shared" si="0"/>
        <v>12114.649681528663</v>
      </c>
    </row>
    <row r="26" spans="2:20" x14ac:dyDescent="0.25">
      <c r="B26" t="s">
        <v>53</v>
      </c>
      <c r="D26">
        <v>177.48000000000002</v>
      </c>
      <c r="E26">
        <v>26.37</v>
      </c>
      <c r="F26">
        <v>1.0737521596463175</v>
      </c>
      <c r="G26">
        <v>14</v>
      </c>
      <c r="H26">
        <v>0.40686958467963907</v>
      </c>
      <c r="I26">
        <v>6741</v>
      </c>
      <c r="J26">
        <v>202999.99999999997</v>
      </c>
      <c r="K26">
        <v>11566</v>
      </c>
      <c r="L26">
        <v>0.5</v>
      </c>
      <c r="M26">
        <v>4.88</v>
      </c>
      <c r="N26">
        <v>0.76800000000000002</v>
      </c>
      <c r="O26">
        <f t="shared" si="0"/>
        <v>11197.452229299364</v>
      </c>
    </row>
    <row r="27" spans="2:20" x14ac:dyDescent="0.25">
      <c r="B27" t="s">
        <v>54</v>
      </c>
      <c r="D27">
        <v>73.73</v>
      </c>
      <c r="E27">
        <v>29.55</v>
      </c>
      <c r="F27">
        <v>1.0738324251977676</v>
      </c>
      <c r="G27">
        <v>13</v>
      </c>
      <c r="H27">
        <v>0.41865638480305567</v>
      </c>
      <c r="I27">
        <v>7151</v>
      </c>
      <c r="J27">
        <v>202999.99999999997</v>
      </c>
      <c r="K27">
        <v>9961</v>
      </c>
      <c r="L27">
        <v>0.498</v>
      </c>
      <c r="M27">
        <v>4.53</v>
      </c>
      <c r="N27">
        <v>0.78</v>
      </c>
      <c r="O27">
        <f t="shared" si="0"/>
        <v>12547.770700636944</v>
      </c>
    </row>
    <row r="28" spans="2:20" x14ac:dyDescent="0.25">
      <c r="B28" t="s">
        <v>55</v>
      </c>
      <c r="D28">
        <v>41.56</v>
      </c>
      <c r="E28">
        <v>23.91</v>
      </c>
      <c r="F28">
        <v>1.0662035283869487</v>
      </c>
      <c r="G28">
        <v>15</v>
      </c>
      <c r="H28">
        <v>0.39371630849124972</v>
      </c>
      <c r="I28">
        <v>6437</v>
      </c>
      <c r="J28">
        <v>180000</v>
      </c>
      <c r="K28">
        <v>9374</v>
      </c>
      <c r="L28">
        <v>0.497</v>
      </c>
      <c r="M28">
        <v>4.71</v>
      </c>
      <c r="N28">
        <v>0.93300000000000005</v>
      </c>
      <c r="O28">
        <f t="shared" si="0"/>
        <v>10152.866242038217</v>
      </c>
    </row>
    <row r="29" spans="2:20" x14ac:dyDescent="0.25">
      <c r="B29" t="s">
        <v>56</v>
      </c>
      <c r="D29">
        <v>45.02</v>
      </c>
      <c r="E29">
        <v>24.14</v>
      </c>
      <c r="F29">
        <v>1.0348864935565985</v>
      </c>
      <c r="G29">
        <v>14</v>
      </c>
      <c r="H29">
        <v>0.39214248282642344</v>
      </c>
      <c r="I29">
        <v>5950</v>
      </c>
      <c r="J29">
        <v>165000</v>
      </c>
      <c r="K29">
        <v>10213</v>
      </c>
      <c r="L29">
        <v>0.58299999999999996</v>
      </c>
      <c r="M29">
        <v>5.25</v>
      </c>
      <c r="N29">
        <v>0.77200000000000002</v>
      </c>
      <c r="O29">
        <f t="shared" si="0"/>
        <v>10250.530785562634</v>
      </c>
    </row>
    <row r="30" spans="2:20" x14ac:dyDescent="0.25">
      <c r="B30" t="s">
        <v>57</v>
      </c>
      <c r="D30">
        <v>118.21</v>
      </c>
      <c r="E30">
        <v>22.08</v>
      </c>
      <c r="F30">
        <v>1.0750874505196069</v>
      </c>
      <c r="G30">
        <v>13</v>
      </c>
      <c r="H30">
        <v>0.41914568308810307</v>
      </c>
      <c r="I30">
        <v>6386</v>
      </c>
      <c r="J30">
        <v>177000</v>
      </c>
      <c r="K30">
        <v>11030</v>
      </c>
      <c r="L30">
        <v>0.505</v>
      </c>
      <c r="M30">
        <v>4.6399999999999997</v>
      </c>
      <c r="N30">
        <v>1.86</v>
      </c>
      <c r="O30">
        <f t="shared" si="0"/>
        <v>9375.7961783439496</v>
      </c>
    </row>
    <row r="31" spans="2:20" x14ac:dyDescent="0.25">
      <c r="B31" t="s">
        <v>58</v>
      </c>
      <c r="D31">
        <v>46.34</v>
      </c>
      <c r="E31">
        <v>26.26</v>
      </c>
      <c r="F31">
        <v>1.0369516875275127</v>
      </c>
      <c r="G31">
        <v>13</v>
      </c>
      <c r="H31">
        <v>0.40427764568176761</v>
      </c>
      <c r="I31">
        <v>6322</v>
      </c>
      <c r="J31">
        <v>190000</v>
      </c>
      <c r="K31">
        <v>12248</v>
      </c>
      <c r="L31">
        <v>0.46300000000000002</v>
      </c>
      <c r="M31">
        <v>5.29</v>
      </c>
      <c r="N31">
        <v>0.95299999999999996</v>
      </c>
      <c r="O31">
        <f t="shared" si="0"/>
        <v>11150.743099787687</v>
      </c>
    </row>
    <row r="32" spans="2:20" x14ac:dyDescent="0.25">
      <c r="B32" t="s">
        <v>59</v>
      </c>
      <c r="D32">
        <v>152</v>
      </c>
      <c r="E32">
        <v>21.7</v>
      </c>
      <c r="F32">
        <v>1.077050555141152</v>
      </c>
      <c r="G32">
        <v>14</v>
      </c>
      <c r="H32">
        <v>0.40811942319501354</v>
      </c>
      <c r="I32">
        <v>8243</v>
      </c>
      <c r="J32">
        <v>148000</v>
      </c>
      <c r="K32">
        <v>106000</v>
      </c>
      <c r="L32">
        <v>0.746</v>
      </c>
      <c r="M32">
        <v>2.87</v>
      </c>
      <c r="N32">
        <v>0.63600000000000001</v>
      </c>
      <c r="O32">
        <f t="shared" si="0"/>
        <v>9214.4373673036098</v>
      </c>
    </row>
    <row r="33" spans="2:15" x14ac:dyDescent="0.25">
      <c r="B33" t="s">
        <v>60</v>
      </c>
      <c r="D33">
        <v>57.900000000000006</v>
      </c>
      <c r="E33">
        <v>20.29</v>
      </c>
      <c r="F33">
        <v>1.0734847509584224</v>
      </c>
      <c r="G33">
        <v>15</v>
      </c>
      <c r="H33">
        <v>0.39640504098539264</v>
      </c>
      <c r="I33">
        <v>4890</v>
      </c>
      <c r="J33">
        <v>179000</v>
      </c>
      <c r="K33">
        <v>126000</v>
      </c>
      <c r="L33">
        <v>0.54</v>
      </c>
      <c r="M33">
        <v>4.49</v>
      </c>
      <c r="N33">
        <v>0.77500000000000002</v>
      </c>
      <c r="O33">
        <f t="shared" si="0"/>
        <v>8615.7112526539277</v>
      </c>
    </row>
    <row r="34" spans="2:15" x14ac:dyDescent="0.25">
      <c r="B34" t="s">
        <v>61</v>
      </c>
      <c r="D34">
        <v>66.100000000000009</v>
      </c>
      <c r="E34">
        <v>27.8</v>
      </c>
      <c r="F34">
        <v>1.0757632015948242</v>
      </c>
      <c r="G34">
        <v>13</v>
      </c>
      <c r="H34">
        <v>0.41940913900127796</v>
      </c>
      <c r="I34">
        <v>6351</v>
      </c>
      <c r="J34">
        <v>156000</v>
      </c>
      <c r="K34">
        <v>95000</v>
      </c>
      <c r="L34">
        <v>0.621</v>
      </c>
      <c r="M34">
        <v>4.09</v>
      </c>
      <c r="N34">
        <v>0.54800000000000004</v>
      </c>
      <c r="O34">
        <f t="shared" si="0"/>
        <v>11804.670912951169</v>
      </c>
    </row>
    <row r="35" spans="2:15" x14ac:dyDescent="0.25">
      <c r="B35" t="s">
        <v>62</v>
      </c>
      <c r="D35">
        <v>41.199999999999996</v>
      </c>
      <c r="E35">
        <v>19.12</v>
      </c>
      <c r="F35">
        <v>1.0664480548607109</v>
      </c>
      <c r="G35">
        <v>14</v>
      </c>
      <c r="H35">
        <v>0.40410189005488023</v>
      </c>
      <c r="I35">
        <v>5828</v>
      </c>
      <c r="J35">
        <v>132000</v>
      </c>
      <c r="K35">
        <v>109000</v>
      </c>
      <c r="L35">
        <v>0.52800000000000002</v>
      </c>
      <c r="M35">
        <v>2.23</v>
      </c>
      <c r="N35">
        <v>0.86399999999999999</v>
      </c>
      <c r="O35">
        <f t="shared" si="0"/>
        <v>8118.8959660297251</v>
      </c>
    </row>
    <row r="36" spans="2:15" x14ac:dyDescent="0.25">
      <c r="B36" t="s">
        <v>63</v>
      </c>
      <c r="D36">
        <v>77.400000000000006</v>
      </c>
      <c r="E36">
        <v>22.1</v>
      </c>
      <c r="F36">
        <v>1.068580639712831</v>
      </c>
      <c r="G36">
        <v>13</v>
      </c>
      <c r="H36">
        <v>0.41660886465625085</v>
      </c>
      <c r="I36">
        <v>9306</v>
      </c>
      <c r="J36">
        <v>153000</v>
      </c>
      <c r="K36">
        <v>114000</v>
      </c>
      <c r="L36">
        <v>0.73</v>
      </c>
      <c r="M36">
        <v>1.8</v>
      </c>
      <c r="N36">
        <v>1.3</v>
      </c>
      <c r="O36">
        <f t="shared" si="0"/>
        <v>9384.2887473460723</v>
      </c>
    </row>
    <row r="37" spans="2:15" x14ac:dyDescent="0.25">
      <c r="B37" t="s">
        <v>64</v>
      </c>
      <c r="D37">
        <v>149.9</v>
      </c>
      <c r="E37">
        <v>23.14</v>
      </c>
      <c r="F37">
        <v>1.0648428133338261</v>
      </c>
      <c r="G37">
        <v>14</v>
      </c>
      <c r="H37">
        <v>0.40349362682813217</v>
      </c>
      <c r="I37">
        <v>10385</v>
      </c>
      <c r="J37">
        <v>120000</v>
      </c>
      <c r="K37">
        <v>116000</v>
      </c>
      <c r="L37">
        <v>0.83599999999999997</v>
      </c>
      <c r="M37">
        <v>2.13</v>
      </c>
      <c r="N37">
        <v>1.1200000000000001</v>
      </c>
      <c r="O37">
        <f t="shared" si="0"/>
        <v>9825.9023354564761</v>
      </c>
    </row>
    <row r="38" spans="2:15" x14ac:dyDescent="0.25">
      <c r="B38" t="s">
        <v>65</v>
      </c>
      <c r="D38">
        <v>231.69</v>
      </c>
      <c r="E38">
        <v>30.62</v>
      </c>
      <c r="F38">
        <v>1.0535076152072151</v>
      </c>
      <c r="G38">
        <v>13</v>
      </c>
      <c r="H38">
        <v>0.41073232582254338</v>
      </c>
      <c r="I38">
        <v>6453</v>
      </c>
      <c r="J38">
        <v>19702</v>
      </c>
      <c r="K38">
        <v>8397</v>
      </c>
      <c r="L38">
        <v>0.67300000000000004</v>
      </c>
      <c r="M38">
        <v>4.59</v>
      </c>
      <c r="N38">
        <v>1.63</v>
      </c>
      <c r="O38">
        <f t="shared" si="0"/>
        <v>13002.123142250532</v>
      </c>
    </row>
    <row r="39" spans="2:15" x14ac:dyDescent="0.25">
      <c r="B39" t="s">
        <v>17</v>
      </c>
      <c r="D39">
        <v>144.52000000000001</v>
      </c>
      <c r="E39">
        <v>23.31</v>
      </c>
      <c r="F39">
        <v>1.038475509767685</v>
      </c>
      <c r="G39">
        <v>14</v>
      </c>
      <c r="H39">
        <v>0.39350244426826519</v>
      </c>
      <c r="I39">
        <v>7138</v>
      </c>
      <c r="J39">
        <v>23375</v>
      </c>
      <c r="K39">
        <v>9960</v>
      </c>
      <c r="L39">
        <v>0.64300000000000002</v>
      </c>
      <c r="M39">
        <v>5.18</v>
      </c>
      <c r="N39">
        <v>1.46</v>
      </c>
      <c r="O39">
        <f t="shared" si="0"/>
        <v>9898.0891719745214</v>
      </c>
    </row>
    <row r="40" spans="2:15" x14ac:dyDescent="0.25">
      <c r="B40" t="s">
        <v>30</v>
      </c>
      <c r="D40">
        <v>143.25</v>
      </c>
      <c r="E40">
        <v>22.04</v>
      </c>
      <c r="F40">
        <v>1.0477923971918626</v>
      </c>
      <c r="G40">
        <v>13</v>
      </c>
      <c r="H40">
        <v>0.40850412665801528</v>
      </c>
      <c r="I40">
        <v>6712</v>
      </c>
      <c r="J40">
        <v>21969</v>
      </c>
      <c r="K40">
        <v>8346</v>
      </c>
      <c r="L40">
        <v>0.66</v>
      </c>
      <c r="M40">
        <v>5.16</v>
      </c>
      <c r="N40">
        <v>0.44</v>
      </c>
      <c r="O40">
        <f t="shared" si="0"/>
        <v>9358.8110403397022</v>
      </c>
    </row>
    <row r="41" spans="2:15" x14ac:dyDescent="0.25">
      <c r="B41" t="s">
        <v>14</v>
      </c>
      <c r="D41">
        <v>154.51999999999998</v>
      </c>
      <c r="E41">
        <v>26.14</v>
      </c>
      <c r="F41">
        <v>1.0360610921424229</v>
      </c>
      <c r="G41">
        <v>13</v>
      </c>
      <c r="H41">
        <v>0.40393042814996766</v>
      </c>
      <c r="I41">
        <v>6636</v>
      </c>
      <c r="J41">
        <v>22244</v>
      </c>
      <c r="K41">
        <v>9513</v>
      </c>
      <c r="L41">
        <v>0.60499999999999998</v>
      </c>
      <c r="M41">
        <v>4.01</v>
      </c>
      <c r="N41">
        <v>1.81</v>
      </c>
      <c r="O41">
        <f t="shared" si="0"/>
        <v>11099.787685774947</v>
      </c>
    </row>
    <row r="42" spans="2:15" x14ac:dyDescent="0.25">
      <c r="B42" t="s">
        <v>25</v>
      </c>
      <c r="D42">
        <v>119.82</v>
      </c>
      <c r="E42">
        <v>24.88</v>
      </c>
      <c r="F42">
        <v>1.0535076152072151</v>
      </c>
      <c r="G42">
        <v>11</v>
      </c>
      <c r="H42">
        <v>0.43934680015351962</v>
      </c>
      <c r="I42">
        <v>7804</v>
      </c>
      <c r="J42">
        <v>23605</v>
      </c>
      <c r="K42">
        <v>8216</v>
      </c>
      <c r="L42">
        <v>0.57199999999999995</v>
      </c>
      <c r="M42">
        <v>4.58</v>
      </c>
      <c r="N42">
        <v>1.9</v>
      </c>
      <c r="O42">
        <f t="shared" si="0"/>
        <v>10564.755838641189</v>
      </c>
    </row>
    <row r="43" spans="2:15" x14ac:dyDescent="0.25">
      <c r="B43" t="s">
        <v>20</v>
      </c>
      <c r="D43">
        <v>103.38</v>
      </c>
      <c r="E43">
        <v>23.03</v>
      </c>
      <c r="F43">
        <v>1.038475509767685</v>
      </c>
      <c r="G43">
        <v>13</v>
      </c>
      <c r="H43">
        <v>0.40487174015608518</v>
      </c>
      <c r="I43">
        <v>7205</v>
      </c>
      <c r="J43">
        <v>19796</v>
      </c>
      <c r="K43">
        <v>9202</v>
      </c>
      <c r="L43">
        <v>0.56599999999999995</v>
      </c>
      <c r="M43">
        <v>4.54</v>
      </c>
      <c r="N43">
        <v>1.49</v>
      </c>
      <c r="O43">
        <f t="shared" si="0"/>
        <v>9779.193205944799</v>
      </c>
    </row>
    <row r="44" spans="2:15" x14ac:dyDescent="0.25">
      <c r="B44" t="s">
        <v>66</v>
      </c>
      <c r="D44">
        <v>167.14</v>
      </c>
      <c r="E44">
        <v>21.04</v>
      </c>
      <c r="F44">
        <v>1.0477923971918626</v>
      </c>
      <c r="G44">
        <v>12</v>
      </c>
      <c r="H44">
        <v>0.42166267987622591</v>
      </c>
      <c r="I44">
        <v>6315</v>
      </c>
      <c r="J44">
        <v>166000</v>
      </c>
      <c r="K44">
        <v>7674</v>
      </c>
      <c r="L44">
        <v>0.60799999999999998</v>
      </c>
      <c r="M44">
        <v>3.56</v>
      </c>
      <c r="N44">
        <v>1.5</v>
      </c>
      <c r="O44">
        <f t="shared" si="0"/>
        <v>8934.1825902335459</v>
      </c>
    </row>
    <row r="45" spans="2:15" x14ac:dyDescent="0.25">
      <c r="B45" t="s">
        <v>67</v>
      </c>
      <c r="D45">
        <v>132.27000000000001</v>
      </c>
      <c r="E45">
        <v>13.74</v>
      </c>
      <c r="F45">
        <v>1.0361249451691159</v>
      </c>
      <c r="G45">
        <v>13</v>
      </c>
      <c r="H45">
        <v>0.40395532260899747</v>
      </c>
      <c r="I45">
        <v>6399</v>
      </c>
      <c r="J45">
        <v>178000</v>
      </c>
      <c r="K45">
        <v>11927</v>
      </c>
      <c r="L45">
        <v>0.54200000000000004</v>
      </c>
      <c r="M45">
        <v>2.81</v>
      </c>
      <c r="N45">
        <v>1.1399999999999999</v>
      </c>
      <c r="O45">
        <f t="shared" si="0"/>
        <v>5834.3949044585988</v>
      </c>
    </row>
    <row r="46" spans="2:15" x14ac:dyDescent="0.25">
      <c r="B46" t="s">
        <v>68</v>
      </c>
      <c r="D46">
        <v>152.02000000000001</v>
      </c>
      <c r="E46">
        <v>20.239999999999998</v>
      </c>
      <c r="F46">
        <v>1.0607407803384481</v>
      </c>
      <c r="G46">
        <v>12</v>
      </c>
      <c r="H46">
        <v>0.42687349258329088</v>
      </c>
      <c r="I46">
        <v>7473</v>
      </c>
      <c r="J46">
        <v>178000</v>
      </c>
      <c r="K46">
        <v>11499</v>
      </c>
      <c r="L46">
        <v>0.626</v>
      </c>
      <c r="M46">
        <v>3.7</v>
      </c>
      <c r="N46">
        <v>1.06</v>
      </c>
      <c r="O46">
        <f t="shared" si="0"/>
        <v>8594.4798301486189</v>
      </c>
    </row>
    <row r="47" spans="2:15" x14ac:dyDescent="0.25">
      <c r="B47" t="s">
        <v>69</v>
      </c>
      <c r="D47">
        <v>152.5</v>
      </c>
      <c r="E47">
        <v>26.74</v>
      </c>
      <c r="F47">
        <v>1.0456928777373493</v>
      </c>
      <c r="G47">
        <v>15</v>
      </c>
      <c r="H47">
        <v>0.38614235338463787</v>
      </c>
      <c r="I47">
        <v>5029</v>
      </c>
      <c r="J47">
        <v>166000</v>
      </c>
      <c r="K47">
        <v>10553</v>
      </c>
      <c r="L47">
        <v>0.61599999999999999</v>
      </c>
      <c r="M47">
        <v>3.29</v>
      </c>
      <c r="N47">
        <v>1.4</v>
      </c>
      <c r="O47">
        <f t="shared" si="0"/>
        <v>11354.564755838641</v>
      </c>
    </row>
    <row r="48" spans="2:15" x14ac:dyDescent="0.25">
      <c r="B48" t="s">
        <v>70</v>
      </c>
      <c r="D48">
        <v>163.99</v>
      </c>
      <c r="E48">
        <v>27.32</v>
      </c>
      <c r="F48">
        <v>1.0407909135237976</v>
      </c>
      <c r="G48">
        <v>11</v>
      </c>
      <c r="H48">
        <v>0.43404352363945525</v>
      </c>
      <c r="I48">
        <v>7674</v>
      </c>
      <c r="J48">
        <v>162000</v>
      </c>
      <c r="K48">
        <v>11199</v>
      </c>
      <c r="L48">
        <v>0.60099999999999998</v>
      </c>
      <c r="M48">
        <v>3.19</v>
      </c>
      <c r="N48">
        <v>1.1299999999999999</v>
      </c>
      <c r="O48">
        <f t="shared" si="0"/>
        <v>11600.849256900214</v>
      </c>
    </row>
    <row r="49" spans="2:15" x14ac:dyDescent="0.25">
      <c r="B49" t="s">
        <v>71</v>
      </c>
      <c r="D49">
        <v>156.29</v>
      </c>
      <c r="E49">
        <v>32.74</v>
      </c>
      <c r="F49">
        <v>1.0449231089264515</v>
      </c>
      <c r="G49">
        <v>12</v>
      </c>
      <c r="H49">
        <v>0.42050799333471905</v>
      </c>
      <c r="I49">
        <v>7249</v>
      </c>
      <c r="J49">
        <v>132000</v>
      </c>
      <c r="K49">
        <v>9307</v>
      </c>
      <c r="L49">
        <v>0.56599999999999995</v>
      </c>
      <c r="M49">
        <v>3.08</v>
      </c>
      <c r="N49">
        <v>0.97599999999999998</v>
      </c>
      <c r="O49">
        <f t="shared" si="0"/>
        <v>13902.335456475585</v>
      </c>
    </row>
    <row r="50" spans="2:15" x14ac:dyDescent="0.25">
      <c r="B50" t="s">
        <v>72</v>
      </c>
      <c r="D50">
        <v>151.5</v>
      </c>
      <c r="E50">
        <v>20.05</v>
      </c>
      <c r="F50">
        <v>1.0483011918555478</v>
      </c>
      <c r="G50">
        <v>11</v>
      </c>
      <c r="H50">
        <v>0.43717555297240673</v>
      </c>
      <c r="I50">
        <v>6829</v>
      </c>
      <c r="J50">
        <v>14000</v>
      </c>
      <c r="K50">
        <v>122000</v>
      </c>
      <c r="L50">
        <v>0.83099999999999996</v>
      </c>
      <c r="M50">
        <v>2.5299999999999998</v>
      </c>
      <c r="N50">
        <v>0.84599999999999997</v>
      </c>
      <c r="O50">
        <f t="shared" si="0"/>
        <v>8513.8004246284509</v>
      </c>
    </row>
    <row r="51" spans="2:15" x14ac:dyDescent="0.25">
      <c r="B51" t="s">
        <v>73</v>
      </c>
      <c r="D51">
        <v>164.9</v>
      </c>
      <c r="E51">
        <v>27.8</v>
      </c>
      <c r="F51">
        <v>1.066687394490329</v>
      </c>
      <c r="G51">
        <v>12</v>
      </c>
      <c r="H51">
        <v>0.42926658616384378</v>
      </c>
      <c r="I51">
        <v>5290</v>
      </c>
      <c r="J51">
        <v>161000</v>
      </c>
      <c r="K51">
        <v>117000</v>
      </c>
      <c r="L51">
        <v>0.58099999999999996</v>
      </c>
      <c r="M51">
        <v>2</v>
      </c>
      <c r="N51">
        <v>1.1200000000000001</v>
      </c>
      <c r="O51">
        <f t="shared" si="0"/>
        <v>11804.670912951169</v>
      </c>
    </row>
    <row r="52" spans="2:15" x14ac:dyDescent="0.25">
      <c r="B52" t="s">
        <v>74</v>
      </c>
      <c r="D52">
        <v>161</v>
      </c>
      <c r="E52">
        <v>29.74</v>
      </c>
      <c r="F52">
        <v>1.0325482303104547</v>
      </c>
      <c r="G52">
        <v>13</v>
      </c>
      <c r="H52">
        <v>0.40256086433314253</v>
      </c>
      <c r="I52">
        <v>5767</v>
      </c>
      <c r="J52">
        <v>137000</v>
      </c>
      <c r="K52">
        <v>123000</v>
      </c>
      <c r="L52">
        <v>0.372</v>
      </c>
      <c r="M52">
        <v>0.49099999999999999</v>
      </c>
      <c r="N52">
        <v>0.42299999999999999</v>
      </c>
      <c r="O52">
        <f t="shared" si="0"/>
        <v>12628.450106157112</v>
      </c>
    </row>
    <row r="53" spans="2:15" x14ac:dyDescent="0.25">
      <c r="B53" t="s">
        <v>75</v>
      </c>
      <c r="D53">
        <v>177.4</v>
      </c>
      <c r="E53">
        <v>20.100000000000001</v>
      </c>
      <c r="F53">
        <v>1.0163107667713009</v>
      </c>
      <c r="G53">
        <v>11</v>
      </c>
      <c r="H53">
        <v>0.42383450949684509</v>
      </c>
      <c r="I53">
        <v>8582</v>
      </c>
      <c r="J53">
        <v>164000</v>
      </c>
      <c r="K53">
        <v>103000</v>
      </c>
      <c r="L53">
        <v>0.52100000000000002</v>
      </c>
      <c r="M53">
        <v>3.33</v>
      </c>
      <c r="N53">
        <v>0.69499999999999995</v>
      </c>
      <c r="O53">
        <f t="shared" si="0"/>
        <v>8535.0318471337596</v>
      </c>
    </row>
    <row r="54" spans="2:15" x14ac:dyDescent="0.25">
      <c r="B54" t="s">
        <v>76</v>
      </c>
      <c r="D54">
        <v>162.19999999999999</v>
      </c>
      <c r="E54">
        <v>20.22</v>
      </c>
      <c r="F54">
        <v>1.0324411261623496</v>
      </c>
      <c r="G54">
        <v>13</v>
      </c>
      <c r="H54">
        <v>0.4025191075055492</v>
      </c>
      <c r="I54">
        <v>7663</v>
      </c>
      <c r="J54">
        <v>175000</v>
      </c>
      <c r="K54">
        <v>98000</v>
      </c>
      <c r="L54">
        <v>73200</v>
      </c>
      <c r="M54">
        <v>3.5</v>
      </c>
      <c r="N54">
        <v>0.61899999999999999</v>
      </c>
      <c r="O54">
        <f t="shared" si="0"/>
        <v>8585.9872611464962</v>
      </c>
    </row>
    <row r="55" spans="2:15" x14ac:dyDescent="0.25">
      <c r="B55" t="s">
        <v>77</v>
      </c>
      <c r="D55">
        <v>164.7</v>
      </c>
      <c r="E55">
        <v>25.13</v>
      </c>
      <c r="F55">
        <v>1.0184649267107559</v>
      </c>
      <c r="G55">
        <v>11</v>
      </c>
      <c r="H55">
        <v>0.42473286396790633</v>
      </c>
      <c r="I55">
        <v>5475</v>
      </c>
      <c r="J55">
        <v>157000</v>
      </c>
      <c r="K55">
        <v>113000</v>
      </c>
      <c r="L55">
        <v>0.501</v>
      </c>
      <c r="M55">
        <v>1.86</v>
      </c>
      <c r="N55">
        <v>0.87</v>
      </c>
      <c r="O55">
        <f t="shared" si="0"/>
        <v>10670.912951167727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D5539-6BB5-40E1-B3A2-03CDD0E4BE7B}">
  <dimension ref="A2:T246"/>
  <sheetViews>
    <sheetView topLeftCell="J1" workbookViewId="0">
      <selection activeCell="Q1" sqref="Q1:Q1048576"/>
    </sheetView>
  </sheetViews>
  <sheetFormatPr defaultRowHeight="13.8" x14ac:dyDescent="0.25"/>
  <cols>
    <col min="7" max="7" width="9.109375" bestFit="1" customWidth="1"/>
    <col min="14" max="15" width="8.88671875" style="1"/>
    <col min="20" max="20" width="8.88671875" style="1"/>
  </cols>
  <sheetData>
    <row r="2" spans="1:20" x14ac:dyDescent="0.25">
      <c r="A2" t="s">
        <v>12</v>
      </c>
    </row>
    <row r="3" spans="1:20" x14ac:dyDescent="0.25">
      <c r="C3" t="s">
        <v>78</v>
      </c>
      <c r="D3" t="s">
        <v>80</v>
      </c>
      <c r="E3" t="s">
        <v>79</v>
      </c>
      <c r="F3" t="s">
        <v>97</v>
      </c>
      <c r="G3" t="s">
        <v>86</v>
      </c>
      <c r="H3" t="s">
        <v>87</v>
      </c>
      <c r="I3" t="s">
        <v>88</v>
      </c>
      <c r="J3" t="s">
        <v>89</v>
      </c>
      <c r="K3" t="s">
        <v>90</v>
      </c>
      <c r="L3" t="s">
        <v>91</v>
      </c>
      <c r="M3" t="s">
        <v>92</v>
      </c>
      <c r="N3" s="1" t="s">
        <v>93</v>
      </c>
      <c r="O3" s="1" t="s">
        <v>94</v>
      </c>
      <c r="P3" t="s">
        <v>95</v>
      </c>
      <c r="Q3" t="s">
        <v>96</v>
      </c>
      <c r="R3" t="s">
        <v>123</v>
      </c>
      <c r="S3" t="s">
        <v>124</v>
      </c>
      <c r="T3" s="1" t="s">
        <v>126</v>
      </c>
    </row>
    <row r="4" spans="1:20" x14ac:dyDescent="0.25">
      <c r="A4">
        <v>1</v>
      </c>
      <c r="B4" t="s">
        <v>81</v>
      </c>
      <c r="C4">
        <v>11.110000000000001</v>
      </c>
      <c r="D4">
        <v>124</v>
      </c>
      <c r="E4">
        <v>0.35</v>
      </c>
      <c r="F4">
        <f>C4/C7</f>
        <v>0.6206703910614525</v>
      </c>
      <c r="G4">
        <f>D4/D7</f>
        <v>0.21416234887737479</v>
      </c>
      <c r="H4">
        <f>E4/E7</f>
        <v>0.43749999999999994</v>
      </c>
      <c r="I4">
        <f>AVERAGE(F4:H4)</f>
        <v>0.42411091331294243</v>
      </c>
      <c r="K4">
        <f>LN(I4)</f>
        <v>-0.85776026995613253</v>
      </c>
      <c r="L4">
        <f>I4*K4</f>
        <v>-0.36378549149465139</v>
      </c>
      <c r="M4">
        <f>SUM(L4:L6)</f>
        <v>-1.0652310003644161</v>
      </c>
      <c r="N4" s="1">
        <f>-(M4)</f>
        <v>1.0652310003644161</v>
      </c>
      <c r="O4" s="1">
        <v>11</v>
      </c>
      <c r="P4">
        <f>LN(O4)</f>
        <v>2.3978952727983707</v>
      </c>
      <c r="Q4">
        <f>N4/P4</f>
        <v>0.44423583150121465</v>
      </c>
      <c r="R4">
        <f>LN(D7)</f>
        <v>6.3613024775729956</v>
      </c>
      <c r="S4">
        <f>O4-1</f>
        <v>10</v>
      </c>
      <c r="T4" s="1">
        <f>S4/R4</f>
        <v>1.5720051098427352</v>
      </c>
    </row>
    <row r="5" spans="1:20" x14ac:dyDescent="0.25">
      <c r="B5" t="s">
        <v>82</v>
      </c>
      <c r="C5">
        <v>3.34</v>
      </c>
      <c r="D5">
        <v>363</v>
      </c>
      <c r="E5">
        <v>0.2</v>
      </c>
      <c r="F5">
        <f>C5/C7</f>
        <v>0.18659217877094969</v>
      </c>
      <c r="G5">
        <f>D5/D7</f>
        <v>0.62694300518134716</v>
      </c>
      <c r="H5">
        <f>E5/E7</f>
        <v>0.25</v>
      </c>
      <c r="I5">
        <f t="shared" ref="I5:I6" si="0">AVERAGE(F5:H5)</f>
        <v>0.35451172798409897</v>
      </c>
      <c r="K5">
        <f t="shared" ref="K5:K6" si="1">LN(I5)</f>
        <v>-1.0370138503862487</v>
      </c>
      <c r="L5">
        <f>I5*K5</f>
        <v>-0.36763357204387292</v>
      </c>
    </row>
    <row r="6" spans="1:20" x14ac:dyDescent="0.25">
      <c r="B6" t="s">
        <v>83</v>
      </c>
      <c r="C6">
        <v>3.45</v>
      </c>
      <c r="D6">
        <v>92</v>
      </c>
      <c r="E6">
        <v>0.25</v>
      </c>
      <c r="F6">
        <f>C6/C7</f>
        <v>0.19273743016759776</v>
      </c>
      <c r="G6">
        <f>D6/D7</f>
        <v>0.15889464594127806</v>
      </c>
      <c r="H6">
        <f>E6/E7</f>
        <v>0.3125</v>
      </c>
      <c r="I6">
        <f t="shared" si="0"/>
        <v>0.2213773587029586</v>
      </c>
      <c r="K6">
        <f t="shared" si="1"/>
        <v>-1.507886528151221</v>
      </c>
      <c r="L6">
        <f>I6*K6</f>
        <v>-0.33381193682589178</v>
      </c>
    </row>
    <row r="7" spans="1:20" x14ac:dyDescent="0.25">
      <c r="C7">
        <f>SUM(C4:C6)</f>
        <v>17.900000000000002</v>
      </c>
      <c r="D7">
        <f t="shared" ref="D7:E7" si="2">SUM(D4:D6)</f>
        <v>579</v>
      </c>
      <c r="E7">
        <f t="shared" si="2"/>
        <v>0.8</v>
      </c>
    </row>
    <row r="10" spans="1:20" x14ac:dyDescent="0.25">
      <c r="A10">
        <v>2</v>
      </c>
      <c r="B10" t="s">
        <v>81</v>
      </c>
      <c r="C10">
        <v>11.67</v>
      </c>
      <c r="D10">
        <v>120</v>
      </c>
      <c r="E10">
        <v>0.32</v>
      </c>
      <c r="F10">
        <f>C10/C13</f>
        <v>0.65561797752808981</v>
      </c>
      <c r="G10">
        <f>D10/565</f>
        <v>0.21238938053097345</v>
      </c>
      <c r="H10">
        <f>E10/0.8</f>
        <v>0.39999999999999997</v>
      </c>
      <c r="I10">
        <f>AVERAGE(F10:H10)</f>
        <v>0.42266911935302104</v>
      </c>
      <c r="K10">
        <f>LN(I10)</f>
        <v>-0.86116562978421574</v>
      </c>
      <c r="L10">
        <f>I10*K10</f>
        <v>-0.36398811835798422</v>
      </c>
      <c r="M10">
        <f>SUM(L10:L12)</f>
        <v>-1.0620988034731274</v>
      </c>
      <c r="N10" s="1">
        <f>-(M10)</f>
        <v>1.0620988034731274</v>
      </c>
      <c r="O10" s="1">
        <v>12</v>
      </c>
      <c r="P10">
        <f>LN(O10)</f>
        <v>2.4849066497880004</v>
      </c>
      <c r="Q10">
        <f>N10/P10</f>
        <v>0.42742000129612123</v>
      </c>
      <c r="R10">
        <f>LN(D13)</f>
        <v>6.3368257311464413</v>
      </c>
      <c r="S10">
        <f>O10-1</f>
        <v>11</v>
      </c>
      <c r="T10" s="1">
        <f>S10/R10</f>
        <v>1.7358848841200356</v>
      </c>
    </row>
    <row r="11" spans="1:20" x14ac:dyDescent="0.25">
      <c r="B11" t="s">
        <v>82</v>
      </c>
      <c r="C11">
        <v>3.45</v>
      </c>
      <c r="D11">
        <v>357</v>
      </c>
      <c r="E11">
        <v>0.21</v>
      </c>
      <c r="F11">
        <f>C11/17.8</f>
        <v>0.19382022471910113</v>
      </c>
      <c r="G11">
        <f t="shared" ref="G11:G12" si="3">D11/565</f>
        <v>0.63185840707964602</v>
      </c>
      <c r="H11">
        <f t="shared" ref="H11:H12" si="4">E11/0.8</f>
        <v>0.26249999999999996</v>
      </c>
      <c r="I11">
        <f t="shared" ref="I11:I12" si="5">AVERAGE(F11:H11)</f>
        <v>0.36272621059958238</v>
      </c>
      <c r="K11">
        <f t="shared" ref="K11:K12" si="6">LN(I11)</f>
        <v>-1.014106970072463</v>
      </c>
      <c r="L11">
        <f t="shared" ref="L11:L12" si="7">I11*K11</f>
        <v>-0.36784317839700859</v>
      </c>
    </row>
    <row r="12" spans="1:20" x14ac:dyDescent="0.25">
      <c r="B12" t="s">
        <v>83</v>
      </c>
      <c r="C12">
        <v>2.68</v>
      </c>
      <c r="D12">
        <v>88</v>
      </c>
      <c r="E12">
        <v>0.27</v>
      </c>
      <c r="F12">
        <f>C12/17.8</f>
        <v>0.15056179775280898</v>
      </c>
      <c r="G12">
        <f t="shared" si="3"/>
        <v>0.15575221238938053</v>
      </c>
      <c r="H12">
        <f t="shared" si="4"/>
        <v>0.33750000000000002</v>
      </c>
      <c r="I12">
        <f t="shared" si="5"/>
        <v>0.2146046700473965</v>
      </c>
      <c r="K12">
        <f t="shared" si="6"/>
        <v>-1.5389576873848712</v>
      </c>
      <c r="L12">
        <f t="shared" si="7"/>
        <v>-0.33026750671813465</v>
      </c>
    </row>
    <row r="13" spans="1:20" x14ac:dyDescent="0.25">
      <c r="C13">
        <f>SUM(C10:C12)</f>
        <v>17.8</v>
      </c>
      <c r="D13">
        <f t="shared" ref="D13:E13" si="8">SUM(D10:D12)</f>
        <v>565</v>
      </c>
      <c r="E13">
        <f t="shared" si="8"/>
        <v>0.8</v>
      </c>
    </row>
    <row r="15" spans="1:20" x14ac:dyDescent="0.25">
      <c r="A15">
        <v>3</v>
      </c>
      <c r="B15" t="s">
        <v>81</v>
      </c>
      <c r="C15">
        <v>11.87</v>
      </c>
      <c r="D15">
        <v>120</v>
      </c>
      <c r="E15">
        <v>0.22</v>
      </c>
      <c r="F15">
        <f>C15/17.88</f>
        <v>0.66387024608501122</v>
      </c>
      <c r="G15">
        <f>120/533</f>
        <v>0.22514071294559099</v>
      </c>
      <c r="H15" t="s">
        <v>98</v>
      </c>
      <c r="I15">
        <f>AVERAGE(F15:H15)</f>
        <v>0.44450547951530112</v>
      </c>
      <c r="K15">
        <f>LN(I15)</f>
        <v>-0.81079289673565269</v>
      </c>
      <c r="L15">
        <f>I15*K15</f>
        <v>-0.36040188535108131</v>
      </c>
      <c r="M15">
        <f>SUM(L15:L17)</f>
        <v>-0.99586612168299693</v>
      </c>
      <c r="N15" s="1">
        <f>-(M15)</f>
        <v>0.99586612168299693</v>
      </c>
      <c r="O15" s="1">
        <v>12</v>
      </c>
      <c r="P15">
        <f>LN(O15)</f>
        <v>2.4849066497880004</v>
      </c>
      <c r="Q15">
        <f>N15/P15</f>
        <v>0.40076600936617041</v>
      </c>
      <c r="R15">
        <f>LN(D18)</f>
        <v>6.2785214241658442</v>
      </c>
      <c r="S15">
        <f>O15-1</f>
        <v>11</v>
      </c>
      <c r="T15" s="1">
        <f>S15/R15</f>
        <v>1.752004852235006</v>
      </c>
    </row>
    <row r="16" spans="1:20" x14ac:dyDescent="0.25">
      <c r="B16" t="s">
        <v>82</v>
      </c>
      <c r="C16">
        <v>1.99</v>
      </c>
      <c r="D16">
        <v>327</v>
      </c>
      <c r="E16">
        <v>0.28999999999999998</v>
      </c>
      <c r="F16">
        <f t="shared" ref="F16:F17" si="9">C16/17.88</f>
        <v>0.11129753914988814</v>
      </c>
      <c r="G16">
        <f t="shared" ref="G16:G17" si="10">120/533</f>
        <v>0.22514071294559099</v>
      </c>
      <c r="H16" t="s">
        <v>99</v>
      </c>
      <c r="I16">
        <f t="shared" ref="I16:I17" si="11">AVERAGE(F16:H16)</f>
        <v>0.16821912604773956</v>
      </c>
      <c r="K16">
        <f t="shared" ref="K16:K17" si="12">LN(I16)</f>
        <v>-1.7824878277547693</v>
      </c>
      <c r="L16">
        <f t="shared" ref="L16:L17" si="13">I16*K16</f>
        <v>-0.29984854457564103</v>
      </c>
    </row>
    <row r="17" spans="1:20" x14ac:dyDescent="0.25">
      <c r="B17" t="s">
        <v>83</v>
      </c>
      <c r="C17">
        <v>4.0199999999999996</v>
      </c>
      <c r="D17">
        <v>86</v>
      </c>
      <c r="E17">
        <v>0.4</v>
      </c>
      <c r="F17">
        <f t="shared" si="9"/>
        <v>0.22483221476510065</v>
      </c>
      <c r="G17">
        <f t="shared" si="10"/>
        <v>0.22514071294559099</v>
      </c>
      <c r="H17" t="s">
        <v>100</v>
      </c>
      <c r="I17">
        <f t="shared" si="11"/>
        <v>0.22498646385534582</v>
      </c>
      <c r="K17">
        <f t="shared" si="12"/>
        <v>-1.4917150392303484</v>
      </c>
      <c r="L17">
        <f t="shared" si="13"/>
        <v>-0.33561569175627454</v>
      </c>
    </row>
    <row r="18" spans="1:20" x14ac:dyDescent="0.25">
      <c r="C18">
        <f>SUM(C15:C17)</f>
        <v>17.88</v>
      </c>
      <c r="D18">
        <f t="shared" ref="D18:E18" si="14">SUM(D15:D17)</f>
        <v>533</v>
      </c>
      <c r="E18">
        <f t="shared" si="14"/>
        <v>0.91</v>
      </c>
    </row>
    <row r="20" spans="1:20" x14ac:dyDescent="0.25">
      <c r="A20">
        <v>4</v>
      </c>
      <c r="B20" t="s">
        <v>81</v>
      </c>
      <c r="C20">
        <v>10.806666666666665</v>
      </c>
      <c r="D20">
        <v>120</v>
      </c>
      <c r="E20">
        <v>0.33</v>
      </c>
      <c r="F20">
        <f>C20/C23</f>
        <v>0.52493523316062174</v>
      </c>
      <c r="G20">
        <f>120/571</f>
        <v>0.21015761821366025</v>
      </c>
      <c r="H20">
        <f>E20/0.79</f>
        <v>0.41772151898734178</v>
      </c>
      <c r="I20">
        <f>AVERAGE(F20:H20)</f>
        <v>0.38427145678720792</v>
      </c>
      <c r="K20">
        <f>LN(I20)</f>
        <v>-0.95640605742706419</v>
      </c>
      <c r="L20">
        <f>I20*K20</f>
        <v>-0.36751954896760802</v>
      </c>
      <c r="M20">
        <f>SUM(L20:L22)</f>
        <v>-1.0574370880882413</v>
      </c>
      <c r="N20" s="1">
        <f>-(M20)</f>
        <v>1.0574370880882413</v>
      </c>
      <c r="O20" s="1">
        <v>13</v>
      </c>
      <c r="P20">
        <f>LN(O20)</f>
        <v>2.5649493574615367</v>
      </c>
      <c r="Q20">
        <f>N20/P20</f>
        <v>0.41226431430785015</v>
      </c>
      <c r="R20">
        <f>LN(D23)</f>
        <v>6.3473892096560105</v>
      </c>
      <c r="S20">
        <f>O20-1</f>
        <v>12</v>
      </c>
      <c r="T20" s="1">
        <f>S20/R20</f>
        <v>1.8905410718701345</v>
      </c>
    </row>
    <row r="21" spans="1:20" x14ac:dyDescent="0.25">
      <c r="B21" t="s">
        <v>82</v>
      </c>
      <c r="C21">
        <v>6.2</v>
      </c>
      <c r="D21">
        <v>361</v>
      </c>
      <c r="E21">
        <v>0.2</v>
      </c>
      <c r="F21">
        <f>C21/20.58667</f>
        <v>0.30116575434492315</v>
      </c>
      <c r="G21">
        <f t="shared" ref="G21:G22" si="15">120/571</f>
        <v>0.21015761821366025</v>
      </c>
      <c r="H21">
        <f t="shared" ref="H21:H22" si="16">E21/0.79</f>
        <v>0.25316455696202533</v>
      </c>
      <c r="I21">
        <f t="shared" ref="I21:I22" si="17">AVERAGE(F21:H21)</f>
        <v>0.25482930984020291</v>
      </c>
      <c r="K21">
        <f t="shared" ref="K21:K22" si="18">LN(I21)</f>
        <v>-1.3671613311296333</v>
      </c>
      <c r="L21">
        <f t="shared" ref="L21:L22" si="19">I21*K21</f>
        <v>-0.34839277845197758</v>
      </c>
    </row>
    <row r="22" spans="1:20" x14ac:dyDescent="0.25">
      <c r="B22" t="s">
        <v>83</v>
      </c>
      <c r="C22">
        <v>3.5800000000000005</v>
      </c>
      <c r="D22">
        <v>90</v>
      </c>
      <c r="E22">
        <v>0.26</v>
      </c>
      <c r="F22">
        <f>C22/20.58667</f>
        <v>0.17389893557335889</v>
      </c>
      <c r="G22">
        <f t="shared" si="15"/>
        <v>0.21015761821366025</v>
      </c>
      <c r="H22">
        <f t="shared" si="16"/>
        <v>0.32911392405063289</v>
      </c>
      <c r="I22">
        <f t="shared" si="17"/>
        <v>0.23772349261255066</v>
      </c>
      <c r="K22">
        <f t="shared" si="18"/>
        <v>-1.4366470764640997</v>
      </c>
      <c r="L22">
        <f t="shared" si="19"/>
        <v>-0.34152476066865589</v>
      </c>
    </row>
    <row r="23" spans="1:20" x14ac:dyDescent="0.25">
      <c r="C23">
        <f>SUM(C20:C22)</f>
        <v>20.586666666666666</v>
      </c>
      <c r="D23">
        <f t="shared" ref="D23:E23" si="20">SUM(D20:D22)</f>
        <v>571</v>
      </c>
      <c r="E23">
        <f t="shared" si="20"/>
        <v>0.79</v>
      </c>
    </row>
    <row r="25" spans="1:20" x14ac:dyDescent="0.25">
      <c r="A25">
        <v>5</v>
      </c>
      <c r="B25" t="s">
        <v>81</v>
      </c>
      <c r="C25">
        <v>13.05</v>
      </c>
      <c r="D25">
        <v>120</v>
      </c>
      <c r="E25">
        <v>0.35</v>
      </c>
      <c r="F25">
        <f>C25/22.54</f>
        <v>0.57897071872227157</v>
      </c>
      <c r="G25">
        <f>D25/547</f>
        <v>0.21937842778793418</v>
      </c>
      <c r="H25">
        <f>E25/0.8</f>
        <v>0.43749999999999994</v>
      </c>
      <c r="I25">
        <f>AVERAGE(F25:H25)</f>
        <v>0.41194971550340193</v>
      </c>
      <c r="K25">
        <f>LN(I25)</f>
        <v>-0.8868539868303118</v>
      </c>
      <c r="L25">
        <f>I25*K25</f>
        <v>-0.36533924756780473</v>
      </c>
      <c r="M25">
        <f>SUM(L25:L27)</f>
        <v>-1.0604969703669966</v>
      </c>
      <c r="N25" s="1">
        <f>-(M25)</f>
        <v>1.0604969703669966</v>
      </c>
      <c r="O25" s="1">
        <v>13</v>
      </c>
      <c r="P25">
        <f>LN(O25)</f>
        <v>2.5649493574615367</v>
      </c>
      <c r="Q25">
        <f>N25/P25</f>
        <v>0.41345727442219082</v>
      </c>
      <c r="R25">
        <f>LN(D28)</f>
        <v>6.3044488024219811</v>
      </c>
      <c r="S25">
        <f>O25-1</f>
        <v>12</v>
      </c>
      <c r="T25" s="1">
        <f>S25/R25</f>
        <v>1.9034177889413517</v>
      </c>
    </row>
    <row r="26" spans="1:20" x14ac:dyDescent="0.25">
      <c r="B26" t="s">
        <v>82</v>
      </c>
      <c r="C26">
        <v>5.22</v>
      </c>
      <c r="D26">
        <v>351</v>
      </c>
      <c r="E26">
        <v>0.21</v>
      </c>
      <c r="F26">
        <f t="shared" ref="F26:F27" si="21">C26/22.54</f>
        <v>0.23158828748890861</v>
      </c>
      <c r="G26">
        <f t="shared" ref="G26:G27" si="22">D26/547</f>
        <v>0.64168190127970748</v>
      </c>
      <c r="H26">
        <f t="shared" ref="H26:H27" si="23">E26/0.8</f>
        <v>0.26249999999999996</v>
      </c>
      <c r="I26">
        <f t="shared" ref="I26:I27" si="24">AVERAGE(F26:H26)</f>
        <v>0.37859006292287201</v>
      </c>
      <c r="K26">
        <f t="shared" ref="K26:K27" si="25">LN(I26)</f>
        <v>-0.9713012874534519</v>
      </c>
      <c r="L26">
        <f t="shared" ref="L26:L27" si="26">I26*K26</f>
        <v>-0.36772501553406894</v>
      </c>
    </row>
    <row r="27" spans="1:20" x14ac:dyDescent="0.25">
      <c r="B27" t="s">
        <v>83</v>
      </c>
      <c r="C27">
        <v>4.2699999999999996</v>
      </c>
      <c r="D27">
        <v>76</v>
      </c>
      <c r="E27">
        <v>0.24</v>
      </c>
      <c r="F27">
        <f t="shared" si="21"/>
        <v>0.18944099378881987</v>
      </c>
      <c r="G27">
        <f t="shared" si="22"/>
        <v>0.13893967093235832</v>
      </c>
      <c r="H27">
        <f t="shared" si="23"/>
        <v>0.3</v>
      </c>
      <c r="I27">
        <f t="shared" si="24"/>
        <v>0.2094602215737261</v>
      </c>
      <c r="K27">
        <f t="shared" si="25"/>
        <v>-1.5632214308045731</v>
      </c>
      <c r="L27">
        <f t="shared" si="26"/>
        <v>-0.32743270726512302</v>
      </c>
    </row>
    <row r="28" spans="1:20" x14ac:dyDescent="0.25">
      <c r="C28">
        <f>SUM(C25:C27)</f>
        <v>22.54</v>
      </c>
      <c r="D28">
        <f t="shared" ref="D28:E28" si="27">SUM(D25:D27)</f>
        <v>547</v>
      </c>
      <c r="E28">
        <f t="shared" si="27"/>
        <v>0.79999999999999993</v>
      </c>
    </row>
    <row r="31" spans="1:20" x14ac:dyDescent="0.25">
      <c r="A31">
        <v>6</v>
      </c>
      <c r="B31" t="s">
        <v>81</v>
      </c>
      <c r="C31">
        <v>11.72</v>
      </c>
      <c r="D31">
        <v>120</v>
      </c>
      <c r="E31">
        <v>0.3</v>
      </c>
      <c r="F31">
        <f>C31/18.79</f>
        <v>0.62373602980308684</v>
      </c>
      <c r="G31">
        <f>120/557</f>
        <v>0.21543985637342908</v>
      </c>
      <c r="H31">
        <f>0.3/0.72</f>
        <v>0.41666666666666669</v>
      </c>
      <c r="I31">
        <f>AVERAGE(F31:H31)</f>
        <v>0.4186141842810609</v>
      </c>
      <c r="K31">
        <f>LN(I31)</f>
        <v>-0.87080558449639922</v>
      </c>
      <c r="L31">
        <f>I31*K31</f>
        <v>-0.36453156942135262</v>
      </c>
      <c r="M31">
        <f>SUM(L31:L33)</f>
        <v>-1.073460403483991</v>
      </c>
      <c r="N31" s="1">
        <f>-(M31)</f>
        <v>1.073460403483991</v>
      </c>
      <c r="O31" s="1">
        <v>12</v>
      </c>
      <c r="P31">
        <f>LN(O31)</f>
        <v>2.4849066497880004</v>
      </c>
      <c r="Q31">
        <f>N31/P31</f>
        <v>0.43199224549363785</v>
      </c>
      <c r="R31">
        <f>LN(D34)</f>
        <v>6.3225652399272843</v>
      </c>
      <c r="S31">
        <v>11</v>
      </c>
      <c r="T31" s="1">
        <f>S31/R31</f>
        <v>1.7398001574636992</v>
      </c>
    </row>
    <row r="32" spans="1:20" x14ac:dyDescent="0.25">
      <c r="B32" t="s">
        <v>82</v>
      </c>
      <c r="C32">
        <v>3.93</v>
      </c>
      <c r="D32">
        <v>351</v>
      </c>
      <c r="E32">
        <v>0.2</v>
      </c>
      <c r="F32">
        <f t="shared" ref="F32:F33" si="28">C32/18.79</f>
        <v>0.20915380521554019</v>
      </c>
      <c r="G32">
        <f t="shared" ref="G32:G33" si="29">120/557</f>
        <v>0.21543985637342908</v>
      </c>
      <c r="H32">
        <f t="shared" ref="H32:H33" si="30">0.3/0.72</f>
        <v>0.41666666666666669</v>
      </c>
      <c r="I32">
        <f t="shared" ref="I32:I33" si="31">AVERAGE(F32:H32)</f>
        <v>0.28042010941854528</v>
      </c>
      <c r="K32">
        <f t="shared" ref="K32:K33" si="32">LN(I32)</f>
        <v>-1.2714664094940016</v>
      </c>
      <c r="L32">
        <f t="shared" ref="L32:L33" si="33">I32*K32</f>
        <v>-0.35654474967231281</v>
      </c>
    </row>
    <row r="33" spans="1:20" x14ac:dyDescent="0.25">
      <c r="B33" t="s">
        <v>83</v>
      </c>
      <c r="C33">
        <v>3.14</v>
      </c>
      <c r="D33">
        <v>86</v>
      </c>
      <c r="E33">
        <v>0.22</v>
      </c>
      <c r="F33">
        <f t="shared" si="28"/>
        <v>0.16711016498137307</v>
      </c>
      <c r="G33">
        <f t="shared" si="29"/>
        <v>0.21543985637342908</v>
      </c>
      <c r="H33">
        <f t="shared" si="30"/>
        <v>0.41666666666666669</v>
      </c>
      <c r="I33">
        <f t="shared" si="31"/>
        <v>0.26640556267382293</v>
      </c>
      <c r="K33">
        <f t="shared" si="32"/>
        <v>-1.3227354596261625</v>
      </c>
      <c r="L33">
        <f t="shared" si="33"/>
        <v>-0.35238408439032559</v>
      </c>
    </row>
    <row r="34" spans="1:20" x14ac:dyDescent="0.25">
      <c r="C34">
        <f>SUM(C31:C33)</f>
        <v>18.79</v>
      </c>
      <c r="D34">
        <f t="shared" ref="D34:E34" si="34">SUM(D31:D33)</f>
        <v>557</v>
      </c>
      <c r="E34">
        <f t="shared" si="34"/>
        <v>0.72</v>
      </c>
      <c r="M34">
        <f>SUM(L35:L37)</f>
        <v>-1.0446329393022127</v>
      </c>
    </row>
    <row r="35" spans="1:20" x14ac:dyDescent="0.25">
      <c r="A35">
        <v>7</v>
      </c>
      <c r="B35" t="s">
        <v>81</v>
      </c>
      <c r="C35">
        <v>34.07</v>
      </c>
      <c r="D35">
        <v>121</v>
      </c>
      <c r="E35">
        <v>0.36</v>
      </c>
      <c r="F35">
        <f>C35/44.19</f>
        <v>0.77098891151844318</v>
      </c>
      <c r="G35">
        <f>D35/559</f>
        <v>0.21645796064400716</v>
      </c>
      <c r="H35">
        <f>E35/0.79</f>
        <v>0.45569620253164556</v>
      </c>
      <c r="I35">
        <f>AVERAGE(F35:H35)</f>
        <v>0.48104769156469862</v>
      </c>
      <c r="K35">
        <f>LN(I35)</f>
        <v>-0.73178886292933842</v>
      </c>
      <c r="L35">
        <f>I35*K35</f>
        <v>-0.35202534322491391</v>
      </c>
      <c r="N35" s="1">
        <f>-(M34)</f>
        <v>1.0446329393022127</v>
      </c>
      <c r="O35" s="1">
        <v>13</v>
      </c>
      <c r="P35">
        <f>LN(O35)</f>
        <v>2.5649493574615367</v>
      </c>
      <c r="Q35">
        <f>N35/P35</f>
        <v>0.40727234487625852</v>
      </c>
      <c r="R35">
        <f>LN(D38)</f>
        <v>6.3261494731550991</v>
      </c>
      <c r="S35">
        <v>12</v>
      </c>
      <c r="T35" s="1">
        <f>S35/R35</f>
        <v>1.8968884707706928</v>
      </c>
    </row>
    <row r="36" spans="1:20" x14ac:dyDescent="0.25">
      <c r="B36" t="s">
        <v>82</v>
      </c>
      <c r="C36">
        <v>1.86</v>
      </c>
      <c r="D36">
        <v>351</v>
      </c>
      <c r="E36">
        <v>0.19</v>
      </c>
      <c r="F36">
        <f t="shared" ref="F36:F37" si="35">C36/44.19</f>
        <v>4.2090970807875092E-2</v>
      </c>
      <c r="G36">
        <f t="shared" ref="G36:G37" si="36">D36/559</f>
        <v>0.62790697674418605</v>
      </c>
      <c r="H36">
        <f t="shared" ref="H36:H37" si="37">E36/0.79</f>
        <v>0.24050632911392406</v>
      </c>
      <c r="I36">
        <f t="shared" ref="I36:I37" si="38">AVERAGE(F36:H36)</f>
        <v>0.30350142555532839</v>
      </c>
      <c r="K36">
        <f t="shared" ref="K36:K37" si="39">LN(I36)</f>
        <v>-1.1923689714414625</v>
      </c>
      <c r="L36">
        <f t="shared" ref="L36:L37" si="40">I36*K36</f>
        <v>-0.36188568262042448</v>
      </c>
    </row>
    <row r="37" spans="1:20" x14ac:dyDescent="0.25">
      <c r="B37" t="s">
        <v>83</v>
      </c>
      <c r="C37">
        <v>8.26</v>
      </c>
      <c r="D37">
        <v>87</v>
      </c>
      <c r="E37">
        <v>0.24</v>
      </c>
      <c r="F37">
        <f t="shared" si="35"/>
        <v>0.18692011767368183</v>
      </c>
      <c r="G37">
        <f t="shared" si="36"/>
        <v>0.15563506261180679</v>
      </c>
      <c r="H37">
        <f t="shared" si="37"/>
        <v>0.30379746835443033</v>
      </c>
      <c r="I37">
        <f t="shared" si="38"/>
        <v>0.21545088287997297</v>
      </c>
      <c r="K37">
        <f t="shared" si="39"/>
        <v>-1.5350223170870851</v>
      </c>
      <c r="L37">
        <f t="shared" si="40"/>
        <v>-0.33072191345687429</v>
      </c>
    </row>
    <row r="38" spans="1:20" x14ac:dyDescent="0.25">
      <c r="C38">
        <f>SUM(C35:C37)</f>
        <v>44.19</v>
      </c>
      <c r="D38">
        <f t="shared" ref="D38:E38" si="41">SUM(D35:D37)</f>
        <v>559</v>
      </c>
      <c r="E38">
        <f t="shared" si="41"/>
        <v>0.79</v>
      </c>
    </row>
    <row r="39" spans="1:20" x14ac:dyDescent="0.25">
      <c r="A39">
        <v>8</v>
      </c>
      <c r="B39" t="s">
        <v>81</v>
      </c>
      <c r="C39">
        <v>27.45</v>
      </c>
      <c r="D39">
        <v>120</v>
      </c>
      <c r="E39">
        <v>0.33</v>
      </c>
      <c r="F39">
        <f>C39/36.27</f>
        <v>0.7568238213399503</v>
      </c>
      <c r="G39">
        <f>D39/557</f>
        <v>0.21543985637342908</v>
      </c>
      <c r="H39">
        <f>E39/0.76</f>
        <v>0.43421052631578949</v>
      </c>
      <c r="I39">
        <f>AVERAGE(F39:H39)</f>
        <v>0.46882473467638963</v>
      </c>
      <c r="K39">
        <f>LN(I39)</f>
        <v>-0.75752628042946424</v>
      </c>
      <c r="L39">
        <f>K39*I39</f>
        <v>-0.35514705743273589</v>
      </c>
      <c r="M39">
        <f>SUM(L39:L41)</f>
        <v>-1.0455819736233831</v>
      </c>
      <c r="N39" s="1">
        <f>-(M39)</f>
        <v>1.0455819736233831</v>
      </c>
      <c r="O39" s="1">
        <v>12</v>
      </c>
      <c r="P39">
        <f>LN(O39)</f>
        <v>2.4849066497880004</v>
      </c>
      <c r="Q39">
        <f>N39/P39</f>
        <v>0.42077313999404642</v>
      </c>
      <c r="R39">
        <f>LN(D42)</f>
        <v>6.3225652399272843</v>
      </c>
      <c r="S39">
        <v>11</v>
      </c>
      <c r="T39" s="1">
        <f>S39/R39</f>
        <v>1.7398001574636992</v>
      </c>
    </row>
    <row r="40" spans="1:20" x14ac:dyDescent="0.25">
      <c r="B40" t="s">
        <v>82</v>
      </c>
      <c r="C40">
        <v>2.58</v>
      </c>
      <c r="D40">
        <v>351</v>
      </c>
      <c r="E40">
        <v>0.21</v>
      </c>
      <c r="F40">
        <f t="shared" ref="F40:F41" si="42">C40/36.27</f>
        <v>7.1133167907361447E-2</v>
      </c>
      <c r="G40">
        <f t="shared" ref="G40:G41" si="43">D40/557</f>
        <v>0.63016157989228005</v>
      </c>
      <c r="H40">
        <f t="shared" ref="H40:H41" si="44">E40/0.76</f>
        <v>0.27631578947368418</v>
      </c>
      <c r="I40">
        <f t="shared" ref="I40:I41" si="45">AVERAGE(F40:H40)</f>
        <v>0.32587017909110855</v>
      </c>
      <c r="K40">
        <f t="shared" ref="K40:K41" si="46">LN(I40)</f>
        <v>-1.1212562005744289</v>
      </c>
      <c r="L40">
        <f t="shared" ref="L40:L41" si="47">K40*I40</f>
        <v>-0.36538395888820507</v>
      </c>
    </row>
    <row r="41" spans="1:20" x14ac:dyDescent="0.25">
      <c r="B41" t="s">
        <v>83</v>
      </c>
      <c r="C41">
        <v>6.24</v>
      </c>
      <c r="D41">
        <v>86</v>
      </c>
      <c r="E41">
        <v>0.22</v>
      </c>
      <c r="F41">
        <f t="shared" si="42"/>
        <v>0.17204301075268816</v>
      </c>
      <c r="G41">
        <f t="shared" si="43"/>
        <v>0.15439856373429084</v>
      </c>
      <c r="H41">
        <f t="shared" si="44"/>
        <v>0.28947368421052633</v>
      </c>
      <c r="I41">
        <f t="shared" si="45"/>
        <v>0.20530508623250177</v>
      </c>
      <c r="K41">
        <f t="shared" si="46"/>
        <v>-1.5832581806294459</v>
      </c>
      <c r="L41">
        <f t="shared" si="47"/>
        <v>-0.32505095730244227</v>
      </c>
    </row>
    <row r="42" spans="1:20" x14ac:dyDescent="0.25">
      <c r="C42">
        <f>SUM(C39:C41)</f>
        <v>36.270000000000003</v>
      </c>
      <c r="D42">
        <f t="shared" ref="D42:E42" si="48">SUM(D39:D41)</f>
        <v>557</v>
      </c>
      <c r="E42">
        <f t="shared" si="48"/>
        <v>0.76</v>
      </c>
    </row>
    <row r="43" spans="1:20" x14ac:dyDescent="0.25">
      <c r="A43">
        <v>9</v>
      </c>
      <c r="B43" t="s">
        <v>81</v>
      </c>
      <c r="C43">
        <v>24.58</v>
      </c>
      <c r="D43">
        <v>119</v>
      </c>
      <c r="E43">
        <v>0.32</v>
      </c>
      <c r="F43">
        <f>C43/34.36</f>
        <v>0.7153667054714784</v>
      </c>
      <c r="G43">
        <f>D43/547</f>
        <v>0.21755027422303475</v>
      </c>
      <c r="H43">
        <f>E43/0.73</f>
        <v>0.43835616438356168</v>
      </c>
      <c r="I43">
        <f>AVERAGE(F43:H43)</f>
        <v>0.4570910480260249</v>
      </c>
      <c r="K43">
        <f>LN(I43)</f>
        <v>-0.78287267811530958</v>
      </c>
      <c r="L43">
        <f>I43*K43</f>
        <v>-0.35784409291066771</v>
      </c>
      <c r="M43">
        <f>SUM(L43:L45)</f>
        <v>-1.0549488389932837</v>
      </c>
      <c r="N43" s="1">
        <f>-(M43)</f>
        <v>1.0549488389932837</v>
      </c>
      <c r="O43" s="1">
        <v>13</v>
      </c>
      <c r="P43">
        <f>LN(O43)</f>
        <v>2.5649493574615367</v>
      </c>
      <c r="Q43">
        <f>N43/P43</f>
        <v>0.41129421753470369</v>
      </c>
      <c r="R43">
        <f>LN(D46)</f>
        <v>6.3044488024219811</v>
      </c>
      <c r="S43">
        <v>12</v>
      </c>
      <c r="T43" s="1">
        <f>S43/R43</f>
        <v>1.9034177889413517</v>
      </c>
    </row>
    <row r="44" spans="1:20" x14ac:dyDescent="0.25">
      <c r="B44" t="s">
        <v>82</v>
      </c>
      <c r="C44">
        <v>2.56</v>
      </c>
      <c r="D44">
        <v>351</v>
      </c>
      <c r="E44">
        <v>0.19</v>
      </c>
      <c r="F44">
        <f t="shared" ref="F44:F45" si="49">C44/34.36</f>
        <v>7.4505238649592548E-2</v>
      </c>
      <c r="G44">
        <f t="shared" ref="G44:G45" si="50">D44/547</f>
        <v>0.64168190127970748</v>
      </c>
      <c r="H44">
        <f t="shared" ref="H44:H45" si="51">E44/0.73</f>
        <v>0.26027397260273971</v>
      </c>
      <c r="I44">
        <f t="shared" ref="I44:I45" si="52">AVERAGE(F44:H44)</f>
        <v>0.32548703751067992</v>
      </c>
      <c r="K44">
        <f t="shared" ref="K44:K45" si="53">LN(I44)</f>
        <v>-1.122432641442366</v>
      </c>
      <c r="L44">
        <f t="shared" ref="L44:L45" si="54">I44*K44</f>
        <v>-0.3653372752683629</v>
      </c>
    </row>
    <row r="45" spans="1:20" x14ac:dyDescent="0.25">
      <c r="B45" t="s">
        <v>83</v>
      </c>
      <c r="C45">
        <v>7.22</v>
      </c>
      <c r="D45">
        <v>77</v>
      </c>
      <c r="E45">
        <v>0.22</v>
      </c>
      <c r="F45">
        <f t="shared" si="49"/>
        <v>0.21012805587892899</v>
      </c>
      <c r="G45">
        <f t="shared" si="50"/>
        <v>0.14076782449725778</v>
      </c>
      <c r="H45">
        <f t="shared" si="51"/>
        <v>0.30136986301369861</v>
      </c>
      <c r="I45">
        <f t="shared" si="52"/>
        <v>0.21742191446329515</v>
      </c>
      <c r="K45">
        <f t="shared" si="53"/>
        <v>-1.5259155068762007</v>
      </c>
      <c r="L45">
        <f t="shared" si="54"/>
        <v>-0.33176747081425295</v>
      </c>
    </row>
    <row r="46" spans="1:20" x14ac:dyDescent="0.25">
      <c r="C46">
        <f>SUM(C43:C45)</f>
        <v>34.36</v>
      </c>
      <c r="D46">
        <f t="shared" ref="D46:E46" si="55">SUM(D43:D45)</f>
        <v>547</v>
      </c>
      <c r="E46">
        <f t="shared" si="55"/>
        <v>0.73</v>
      </c>
    </row>
    <row r="47" spans="1:20" x14ac:dyDescent="0.25">
      <c r="A47">
        <v>10</v>
      </c>
      <c r="B47" t="s">
        <v>81</v>
      </c>
      <c r="C47">
        <v>35.03</v>
      </c>
      <c r="D47">
        <v>118</v>
      </c>
      <c r="E47">
        <v>0.35</v>
      </c>
      <c r="F47">
        <f>C47/42.48</f>
        <v>0.82462335216572513</v>
      </c>
      <c r="G47">
        <f>D47/546</f>
        <v>0.21611721611721613</v>
      </c>
      <c r="H47">
        <f>E47/0.83</f>
        <v>0.42168674698795178</v>
      </c>
      <c r="I47">
        <f>AVERAGE(F47:H47)</f>
        <v>0.48747577175696427</v>
      </c>
      <c r="K47">
        <f>LN(I47)</f>
        <v>-0.71851468873934277</v>
      </c>
      <c r="L47">
        <f>I47*K47</f>
        <v>-0.35025850241192608</v>
      </c>
      <c r="M47">
        <f>SUM(L47:L49)</f>
        <v>-1.0348864935565985</v>
      </c>
      <c r="N47" s="1">
        <f>-(M47)</f>
        <v>1.0348864935565985</v>
      </c>
      <c r="O47" s="1">
        <v>13</v>
      </c>
      <c r="P47">
        <f>LN(O47)</f>
        <v>2.5649493574615367</v>
      </c>
      <c r="Q47">
        <f>N47/P47</f>
        <v>0.40347248593664187</v>
      </c>
      <c r="R47">
        <f>LN(D50)</f>
        <v>6.3026189757449051</v>
      </c>
      <c r="S47">
        <v>12</v>
      </c>
      <c r="T47" s="1">
        <f>S47/R47</f>
        <v>1.903970404395535</v>
      </c>
    </row>
    <row r="48" spans="1:20" x14ac:dyDescent="0.25">
      <c r="B48" t="s">
        <v>82</v>
      </c>
      <c r="C48">
        <v>2.76</v>
      </c>
      <c r="D48">
        <v>341</v>
      </c>
      <c r="E48">
        <v>0.21</v>
      </c>
      <c r="F48">
        <f t="shared" ref="F48:F49" si="56">C48/42.48</f>
        <v>6.4971751412429377E-2</v>
      </c>
      <c r="G48">
        <f t="shared" ref="G48:G49" si="57">D48/546</f>
        <v>0.62454212454212454</v>
      </c>
      <c r="H48">
        <f t="shared" ref="H48:H49" si="58">E48/0.83</f>
        <v>0.25301204819277107</v>
      </c>
      <c r="I48">
        <f t="shared" ref="I48:I49" si="59">AVERAGE(F48:H48)</f>
        <v>0.31417530804910831</v>
      </c>
      <c r="K48">
        <f t="shared" ref="K48:K49" si="60">LN(I48)</f>
        <v>-1.1578041429797519</v>
      </c>
      <c r="L48">
        <f t="shared" ref="L48:L49" si="61">I48*K48</f>
        <v>-0.36375347328119739</v>
      </c>
    </row>
    <row r="49" spans="1:20" x14ac:dyDescent="0.25">
      <c r="B49" t="s">
        <v>83</v>
      </c>
      <c r="C49">
        <v>4.6900000000000004</v>
      </c>
      <c r="D49">
        <v>87</v>
      </c>
      <c r="E49">
        <v>0.27</v>
      </c>
      <c r="F49">
        <f t="shared" si="56"/>
        <v>0.11040489642184559</v>
      </c>
      <c r="G49">
        <f t="shared" si="57"/>
        <v>0.15934065934065933</v>
      </c>
      <c r="H49">
        <f t="shared" si="58"/>
        <v>0.32530120481927716</v>
      </c>
      <c r="I49">
        <f t="shared" si="59"/>
        <v>0.19834892019392736</v>
      </c>
      <c r="K49">
        <f t="shared" si="60"/>
        <v>-1.6177275759795082</v>
      </c>
      <c r="L49">
        <f t="shared" si="61"/>
        <v>-0.32087451786347504</v>
      </c>
    </row>
    <row r="50" spans="1:20" x14ac:dyDescent="0.25">
      <c r="C50">
        <f>SUM(C47:C49)</f>
        <v>42.48</v>
      </c>
      <c r="D50">
        <f t="shared" ref="D50:E50" si="62">SUM(D47:D49)</f>
        <v>546</v>
      </c>
      <c r="E50">
        <f t="shared" si="62"/>
        <v>0.83</v>
      </c>
    </row>
    <row r="51" spans="1:20" x14ac:dyDescent="0.25">
      <c r="A51">
        <v>11</v>
      </c>
      <c r="B51" t="s">
        <v>81</v>
      </c>
      <c r="C51">
        <v>33.42</v>
      </c>
      <c r="D51">
        <v>120</v>
      </c>
      <c r="E51">
        <v>0.35</v>
      </c>
      <c r="F51">
        <f>C51/44.49</f>
        <v>0.75118004045853004</v>
      </c>
      <c r="G51">
        <f>D51/559</f>
        <v>0.21466905187835419</v>
      </c>
      <c r="H51">
        <f>E51/0.75</f>
        <v>0.46666666666666662</v>
      </c>
      <c r="I51">
        <f>AVERAGE(F51:H51)</f>
        <v>0.47750525300118363</v>
      </c>
      <c r="K51">
        <f>LN(I51)</f>
        <v>-0.73918011807226403</v>
      </c>
      <c r="L51">
        <f>I51*K51</f>
        <v>-0.35296238929354123</v>
      </c>
      <c r="M51">
        <f>SUM(L51:L54)</f>
        <v>-1.047077513034568</v>
      </c>
      <c r="N51" s="1">
        <f>-(M51)</f>
        <v>1.047077513034568</v>
      </c>
      <c r="O51" s="1">
        <v>12</v>
      </c>
      <c r="P51">
        <f>LN(O51)</f>
        <v>2.4849066497880004</v>
      </c>
      <c r="Q51">
        <f>N51/P51</f>
        <v>0.42137498932762696</v>
      </c>
      <c r="R51">
        <f>LN(D54)</f>
        <v>6.3261494731550991</v>
      </c>
      <c r="S51">
        <v>11</v>
      </c>
      <c r="T51" s="1">
        <f>S51/R51</f>
        <v>1.7388144315398018</v>
      </c>
    </row>
    <row r="52" spans="1:20" x14ac:dyDescent="0.25">
      <c r="B52" t="s">
        <v>82</v>
      </c>
      <c r="C52">
        <v>2.04</v>
      </c>
      <c r="D52">
        <v>351</v>
      </c>
      <c r="E52">
        <v>0.18</v>
      </c>
      <c r="F52">
        <f t="shared" ref="F52:F53" si="63">C52/44.49</f>
        <v>4.5853000674308829E-2</v>
      </c>
      <c r="G52">
        <f t="shared" ref="G52:G53" si="64">D52/559</f>
        <v>0.62790697674418605</v>
      </c>
      <c r="H52">
        <f t="shared" ref="H52:H53" si="65">E52/0.75</f>
        <v>0.24</v>
      </c>
      <c r="I52">
        <f t="shared" ref="I52:I53" si="66">AVERAGE(F52:H52)</f>
        <v>0.30458665913949828</v>
      </c>
      <c r="K52">
        <f t="shared" ref="K52:K53" si="67">LN(I52)</f>
        <v>-1.1887996374464254</v>
      </c>
      <c r="L52">
        <f t="shared" ref="L52:L53" si="68">I52*K52</f>
        <v>-0.36209250995605352</v>
      </c>
    </row>
    <row r="53" spans="1:20" x14ac:dyDescent="0.25">
      <c r="B53" t="s">
        <v>83</v>
      </c>
      <c r="C53">
        <v>9.0299999999999994</v>
      </c>
      <c r="D53">
        <v>88</v>
      </c>
      <c r="E53">
        <v>0.22</v>
      </c>
      <c r="F53">
        <f t="shared" si="63"/>
        <v>0.20296695886716112</v>
      </c>
      <c r="G53">
        <f t="shared" si="64"/>
        <v>0.15742397137745975</v>
      </c>
      <c r="H53">
        <f t="shared" si="65"/>
        <v>0.29333333333333333</v>
      </c>
      <c r="I53">
        <f t="shared" si="66"/>
        <v>0.21790808785931806</v>
      </c>
      <c r="K53">
        <f t="shared" si="67"/>
        <v>-1.5236819204220078</v>
      </c>
      <c r="L53">
        <f t="shared" si="68"/>
        <v>-0.33202261378497333</v>
      </c>
    </row>
    <row r="54" spans="1:20" x14ac:dyDescent="0.25">
      <c r="C54">
        <f>SUM(C51:C53)</f>
        <v>44.49</v>
      </c>
      <c r="D54">
        <f t="shared" ref="D54:E54" si="69">SUM(D51:D53)</f>
        <v>559</v>
      </c>
      <c r="E54">
        <f t="shared" si="69"/>
        <v>0.75</v>
      </c>
    </row>
    <row r="56" spans="1:20" x14ac:dyDescent="0.25">
      <c r="A56">
        <v>12</v>
      </c>
      <c r="B56" t="s">
        <v>81</v>
      </c>
      <c r="C56">
        <v>27.3</v>
      </c>
      <c r="D56">
        <v>124</v>
      </c>
      <c r="E56">
        <v>0.34</v>
      </c>
      <c r="F56">
        <f>C56/36.21</f>
        <v>0.75393537696768853</v>
      </c>
      <c r="G56">
        <f>D56/576</f>
        <v>0.21527777777777779</v>
      </c>
      <c r="H56">
        <f>E56/0.79</f>
        <v>0.43037974683544306</v>
      </c>
      <c r="I56">
        <f>AVERAGE(F56:H56)</f>
        <v>0.46653096719363646</v>
      </c>
      <c r="K56">
        <f>LN(I56)</f>
        <v>-0.76243087891799655</v>
      </c>
      <c r="L56">
        <f>I56*K56</f>
        <v>-0.35569761535990724</v>
      </c>
      <c r="M56">
        <f>SUM(L56:L58)</f>
        <v>-1.0396296871388218</v>
      </c>
      <c r="N56" s="1">
        <f>-(M56)</f>
        <v>1.0396296871388218</v>
      </c>
      <c r="O56" s="1">
        <v>13</v>
      </c>
      <c r="P56">
        <f>LN(O56)</f>
        <v>2.5649493574615367</v>
      </c>
      <c r="Q56">
        <f>N56/P56</f>
        <v>0.40532172072501116</v>
      </c>
      <c r="R56">
        <f>LN(D59)</f>
        <v>6.3561076606958915</v>
      </c>
      <c r="S56">
        <v>12</v>
      </c>
      <c r="T56" s="1">
        <f>S56/R56</f>
        <v>1.8879478826647491</v>
      </c>
    </row>
    <row r="57" spans="1:20" x14ac:dyDescent="0.25">
      <c r="B57" t="s">
        <v>82</v>
      </c>
      <c r="C57">
        <v>3.78</v>
      </c>
      <c r="D57">
        <v>369</v>
      </c>
      <c r="E57">
        <v>0.22</v>
      </c>
      <c r="F57">
        <f t="shared" ref="F57:F58" si="70">C57/36.21</f>
        <v>0.10439105219552609</v>
      </c>
      <c r="G57">
        <f t="shared" ref="G57:G58" si="71">D57/576</f>
        <v>0.640625</v>
      </c>
      <c r="H57">
        <f t="shared" ref="H57:H58" si="72">E57/0.79</f>
        <v>0.27848101265822783</v>
      </c>
      <c r="I57">
        <f t="shared" ref="I57:I58" si="73">AVERAGE(F57:H57)</f>
        <v>0.34116568828458466</v>
      </c>
      <c r="K57">
        <f t="shared" ref="K57:K58" si="74">LN(I57)</f>
        <v>-1.075387030307041</v>
      </c>
      <c r="L57">
        <f t="shared" ref="L57:L58" si="75">I57*K57</f>
        <v>-0.36688515636701713</v>
      </c>
    </row>
    <row r="58" spans="1:20" x14ac:dyDescent="0.25">
      <c r="B58" t="s">
        <v>83</v>
      </c>
      <c r="C58">
        <v>5.13</v>
      </c>
      <c r="D58">
        <v>83</v>
      </c>
      <c r="E58">
        <v>0.23</v>
      </c>
      <c r="F58">
        <f t="shared" si="70"/>
        <v>0.14167357083678542</v>
      </c>
      <c r="G58">
        <f t="shared" si="71"/>
        <v>0.14409722222222221</v>
      </c>
      <c r="H58">
        <f t="shared" si="72"/>
        <v>0.29113924050632911</v>
      </c>
      <c r="I58">
        <f t="shared" si="73"/>
        <v>0.19230334452177891</v>
      </c>
      <c r="K58">
        <f t="shared" si="74"/>
        <v>-1.648681234329707</v>
      </c>
      <c r="L58">
        <f t="shared" si="75"/>
        <v>-0.31704691541189739</v>
      </c>
    </row>
    <row r="59" spans="1:20" x14ac:dyDescent="0.25">
      <c r="C59">
        <f>SUM(C55:C58)</f>
        <v>36.21</v>
      </c>
      <c r="D59">
        <f t="shared" ref="D59:E59" si="76">SUM(D55:D58)</f>
        <v>576</v>
      </c>
      <c r="E59">
        <f t="shared" si="76"/>
        <v>0.79</v>
      </c>
    </row>
    <row r="60" spans="1:20" x14ac:dyDescent="0.25">
      <c r="A60">
        <v>13</v>
      </c>
      <c r="B60" t="s">
        <v>81</v>
      </c>
      <c r="C60">
        <v>44.49</v>
      </c>
      <c r="D60">
        <v>126</v>
      </c>
      <c r="E60">
        <v>0.37</v>
      </c>
      <c r="F60">
        <f>C60/56.53</f>
        <v>0.78701574385282158</v>
      </c>
      <c r="G60">
        <f>D60/566</f>
        <v>0.22261484098939929</v>
      </c>
      <c r="H60">
        <f>E60/0.82</f>
        <v>0.45121951219512196</v>
      </c>
      <c r="I60">
        <f>AVERAGE(F60:H60)</f>
        <v>0.48695003234578094</v>
      </c>
      <c r="K60">
        <f>LN(I60)</f>
        <v>-0.7195937641496698</v>
      </c>
      <c r="L60">
        <f>I60*K60</f>
        <v>-0.35040620672850398</v>
      </c>
      <c r="M60">
        <f>SUM(L60:L62)</f>
        <v>-1.0393719552978646</v>
      </c>
      <c r="N60" s="1">
        <f>-(M60)</f>
        <v>1.0393719552978646</v>
      </c>
      <c r="O60" s="1">
        <v>14</v>
      </c>
      <c r="P60">
        <f>LN(O60)</f>
        <v>2.6390573296152584</v>
      </c>
      <c r="Q60">
        <f>N60/P60</f>
        <v>0.39384212826077258</v>
      </c>
      <c r="R60">
        <f>LN(D63)</f>
        <v>6.3385940782031831</v>
      </c>
      <c r="S60">
        <v>13</v>
      </c>
      <c r="T60" s="1">
        <f>S60/R60</f>
        <v>2.0509279880697364</v>
      </c>
    </row>
    <row r="61" spans="1:20" x14ac:dyDescent="0.25">
      <c r="B61" t="s">
        <v>82</v>
      </c>
      <c r="C61">
        <v>3.02</v>
      </c>
      <c r="D61">
        <v>352</v>
      </c>
      <c r="E61">
        <v>0.18</v>
      </c>
      <c r="F61">
        <f t="shared" ref="F61:F62" si="77">C61/56.53</f>
        <v>5.3422961259508225E-2</v>
      </c>
      <c r="G61">
        <f t="shared" ref="G61:G62" si="78">D61/566</f>
        <v>0.62190812720848054</v>
      </c>
      <c r="H61">
        <f t="shared" ref="H61:H62" si="79">E61/0.82</f>
        <v>0.21951219512195122</v>
      </c>
      <c r="I61">
        <f t="shared" ref="I61:I62" si="80">AVERAGE(F61:H61)</f>
        <v>0.29828109452997997</v>
      </c>
      <c r="K61">
        <f t="shared" ref="K61:K62" si="81">LN(I61)</f>
        <v>-1.2097189668417052</v>
      </c>
      <c r="L61">
        <f t="shared" ref="L61:L62" si="82">I61*K61</f>
        <v>-0.36083629750322038</v>
      </c>
    </row>
    <row r="62" spans="1:20" x14ac:dyDescent="0.25">
      <c r="B62" t="s">
        <v>83</v>
      </c>
      <c r="C62">
        <v>9.02</v>
      </c>
      <c r="D62">
        <v>88</v>
      </c>
      <c r="E62">
        <v>0.26</v>
      </c>
      <c r="F62">
        <f t="shared" si="77"/>
        <v>0.15956129488767026</v>
      </c>
      <c r="G62">
        <f t="shared" si="78"/>
        <v>0.15547703180212014</v>
      </c>
      <c r="H62">
        <f t="shared" si="79"/>
        <v>0.31707317073170732</v>
      </c>
      <c r="I62">
        <f t="shared" si="80"/>
        <v>0.21070383247383254</v>
      </c>
      <c r="K62">
        <f t="shared" si="81"/>
        <v>-1.5573017690928381</v>
      </c>
      <c r="L62">
        <f t="shared" si="82"/>
        <v>-0.32812945106614039</v>
      </c>
    </row>
    <row r="63" spans="1:20" x14ac:dyDescent="0.25">
      <c r="C63">
        <f>SUM(C60:C62)</f>
        <v>56.53</v>
      </c>
      <c r="D63">
        <f t="shared" ref="D63:E63" si="83">SUM(D60:D62)</f>
        <v>566</v>
      </c>
      <c r="E63">
        <f t="shared" si="83"/>
        <v>0.81</v>
      </c>
    </row>
    <row r="64" spans="1:20" x14ac:dyDescent="0.25">
      <c r="A64">
        <v>14</v>
      </c>
      <c r="B64" t="s">
        <v>81</v>
      </c>
      <c r="C64">
        <v>33.200000000000003</v>
      </c>
      <c r="D64">
        <v>123</v>
      </c>
      <c r="E64">
        <v>0.32</v>
      </c>
      <c r="F64">
        <f>C64/46.2</f>
        <v>0.7186147186147186</v>
      </c>
      <c r="G64">
        <f>D64/566</f>
        <v>0.21731448763250882</v>
      </c>
      <c r="H64">
        <f>E64/0.77</f>
        <v>0.41558441558441556</v>
      </c>
      <c r="I64">
        <f>AVERAGE(F64:H64)</f>
        <v>0.45050454061054768</v>
      </c>
      <c r="K64">
        <f>LN(I64)</f>
        <v>-0.79738712293781699</v>
      </c>
      <c r="L64">
        <f>I64*K64</f>
        <v>-0.35922651950786755</v>
      </c>
      <c r="M64">
        <f>SUM(L64:L66)</f>
        <v>-1.0661438376732137</v>
      </c>
      <c r="N64" s="1">
        <f>-(M64)</f>
        <v>1.0661438376732137</v>
      </c>
      <c r="O64" s="1">
        <v>13</v>
      </c>
      <c r="P64">
        <f>LN(O64)</f>
        <v>2.5649493574615367</v>
      </c>
      <c r="Q64">
        <f>N64/P64</f>
        <v>0.41565882561063444</v>
      </c>
      <c r="R64">
        <f>LN(D67)</f>
        <v>6.3385940782031831</v>
      </c>
      <c r="S64">
        <v>12</v>
      </c>
      <c r="T64" s="1">
        <f>S64/R64</f>
        <v>1.8931642966797568</v>
      </c>
    </row>
    <row r="65" spans="1:20" x14ac:dyDescent="0.25">
      <c r="B65" t="s">
        <v>82</v>
      </c>
      <c r="C65">
        <v>2.1</v>
      </c>
      <c r="D65">
        <v>357</v>
      </c>
      <c r="E65">
        <v>0.18</v>
      </c>
      <c r="F65">
        <f t="shared" ref="F65:F66" si="84">C65/46.2</f>
        <v>4.5454545454545456E-2</v>
      </c>
      <c r="G65">
        <f t="shared" ref="G65:G66" si="85">D65/566</f>
        <v>0.63074204946996471</v>
      </c>
      <c r="H65">
        <f t="shared" ref="H65:H66" si="86">E65/0.77</f>
        <v>0.23376623376623376</v>
      </c>
      <c r="I65">
        <f t="shared" ref="I65:I66" si="87">AVERAGE(F65:H65)</f>
        <v>0.30332094289691464</v>
      </c>
      <c r="K65">
        <f t="shared" ref="K65:K66" si="88">LN(I65)</f>
        <v>-1.1929638165662257</v>
      </c>
      <c r="L65">
        <f t="shared" ref="L65:L66" si="89">I65*K65</f>
        <v>-0.36185090968276951</v>
      </c>
    </row>
    <row r="66" spans="1:20" x14ac:dyDescent="0.25">
      <c r="B66" t="s">
        <v>83</v>
      </c>
      <c r="C66">
        <v>10.9</v>
      </c>
      <c r="D66">
        <v>86</v>
      </c>
      <c r="E66">
        <v>0.27</v>
      </c>
      <c r="F66">
        <f t="shared" si="84"/>
        <v>0.23593073593073594</v>
      </c>
      <c r="G66">
        <f t="shared" si="85"/>
        <v>0.1519434628975265</v>
      </c>
      <c r="H66">
        <f t="shared" si="86"/>
        <v>0.35064935064935066</v>
      </c>
      <c r="I66">
        <f t="shared" si="87"/>
        <v>0.24617451649253771</v>
      </c>
      <c r="K66">
        <f t="shared" si="88"/>
        <v>-1.4017145779304774</v>
      </c>
      <c r="L66">
        <f t="shared" si="89"/>
        <v>-0.34506640848257686</v>
      </c>
    </row>
    <row r="67" spans="1:20" x14ac:dyDescent="0.25">
      <c r="C67">
        <f>SUM(C64:C66)</f>
        <v>46.2</v>
      </c>
      <c r="D67">
        <f t="shared" ref="D67:E67" si="90">SUM(D64:D66)</f>
        <v>566</v>
      </c>
      <c r="E67">
        <f t="shared" si="90"/>
        <v>0.77</v>
      </c>
    </row>
    <row r="68" spans="1:20" x14ac:dyDescent="0.25">
      <c r="A68">
        <v>15</v>
      </c>
      <c r="B68" t="s">
        <v>81</v>
      </c>
      <c r="C68">
        <v>26.98</v>
      </c>
      <c r="D68">
        <v>118</v>
      </c>
      <c r="E68">
        <v>0.35</v>
      </c>
      <c r="F68">
        <f>C68/33.3</f>
        <v>0.81021021021021034</v>
      </c>
      <c r="G68">
        <f>D68/526</f>
        <v>0.22433460076045628</v>
      </c>
      <c r="H68">
        <f>E68/0.82</f>
        <v>0.42682926829268292</v>
      </c>
      <c r="I68">
        <f>AVERAGE(F68:H68)</f>
        <v>0.48712469308778311</v>
      </c>
      <c r="K68">
        <f>LN(I68)</f>
        <v>-0.71923514537163646</v>
      </c>
      <c r="L68">
        <f>I68*K68</f>
        <v>-0.35035719944710547</v>
      </c>
      <c r="M68">
        <f>SUM(L68:L70)</f>
        <v>-1.0360587350924912</v>
      </c>
      <c r="N68" s="1">
        <f>-(M68)</f>
        <v>1.0360587350924912</v>
      </c>
      <c r="O68" s="1">
        <v>14</v>
      </c>
      <c r="P68">
        <f>LN(O68)</f>
        <v>2.6390573296152584</v>
      </c>
      <c r="Q68">
        <f>N68/P68</f>
        <v>0.39258667231891309</v>
      </c>
      <c r="R68">
        <f>LN(D71)</f>
        <v>6.2653012127377101</v>
      </c>
      <c r="S68">
        <v>13</v>
      </c>
      <c r="T68" s="1">
        <f>S68/R68</f>
        <v>2.0749201927547025</v>
      </c>
    </row>
    <row r="69" spans="1:20" x14ac:dyDescent="0.25">
      <c r="B69" t="s">
        <v>82</v>
      </c>
      <c r="C69">
        <v>1.94</v>
      </c>
      <c r="D69">
        <v>321</v>
      </c>
      <c r="E69">
        <v>0.22</v>
      </c>
      <c r="F69">
        <f t="shared" ref="F69:F70" si="91">C69/33.3</f>
        <v>5.8258258258258262E-2</v>
      </c>
      <c r="G69">
        <f t="shared" ref="G69:G70" si="92">D69/526</f>
        <v>0.61026615969581754</v>
      </c>
      <c r="H69">
        <f t="shared" ref="H69:H70" si="93">E69/0.82</f>
        <v>0.26829268292682928</v>
      </c>
      <c r="I69">
        <f t="shared" ref="I69:I70" si="94">AVERAGE(F69:H69)</f>
        <v>0.31227236696030169</v>
      </c>
      <c r="K69">
        <f t="shared" ref="K69:K70" si="95">LN(I69)</f>
        <v>-1.1638795009636409</v>
      </c>
      <c r="L69">
        <f t="shared" ref="L69:L70" si="96">I69*K69</f>
        <v>-0.36344740662249087</v>
      </c>
    </row>
    <row r="70" spans="1:20" x14ac:dyDescent="0.25">
      <c r="B70" t="s">
        <v>83</v>
      </c>
      <c r="C70">
        <v>4.38</v>
      </c>
      <c r="D70">
        <v>87</v>
      </c>
      <c r="E70">
        <v>0.25</v>
      </c>
      <c r="F70">
        <f t="shared" si="91"/>
        <v>0.13153153153153155</v>
      </c>
      <c r="G70">
        <f t="shared" si="92"/>
        <v>0.16539923954372623</v>
      </c>
      <c r="H70">
        <f t="shared" si="93"/>
        <v>0.3048780487804878</v>
      </c>
      <c r="I70">
        <f t="shared" si="94"/>
        <v>0.20060293995191522</v>
      </c>
      <c r="K70">
        <f t="shared" si="95"/>
        <v>-1.6064277477694975</v>
      </c>
      <c r="L70">
        <f t="shared" si="96"/>
        <v>-0.32225412902289491</v>
      </c>
    </row>
    <row r="71" spans="1:20" x14ac:dyDescent="0.25">
      <c r="C71">
        <f>SUM(C68:C70)</f>
        <v>33.300000000000004</v>
      </c>
      <c r="D71">
        <f t="shared" ref="D71:E71" si="97">SUM(D68:D70)</f>
        <v>526</v>
      </c>
      <c r="E71">
        <f t="shared" si="97"/>
        <v>0.82</v>
      </c>
    </row>
    <row r="72" spans="1:20" x14ac:dyDescent="0.25">
      <c r="A72">
        <v>16</v>
      </c>
      <c r="B72" t="s">
        <v>81</v>
      </c>
      <c r="C72">
        <v>32.11</v>
      </c>
      <c r="D72">
        <v>109</v>
      </c>
      <c r="E72">
        <v>0.37</v>
      </c>
      <c r="F72">
        <f>C72/39.26</f>
        <v>0.81788079470198682</v>
      </c>
      <c r="G72">
        <f>D72/539</f>
        <v>0.20222634508348794</v>
      </c>
      <c r="H72">
        <f>E72/0.86</f>
        <v>0.43023255813953487</v>
      </c>
      <c r="I72">
        <f>SUM(AVERAGE(F72:H72))</f>
        <v>0.4834465659750033</v>
      </c>
      <c r="K72">
        <f>LN(I72)</f>
        <v>-0.72681448524255465</v>
      </c>
      <c r="L72">
        <f>I72*K72</f>
        <v>-0.35137596699140278</v>
      </c>
      <c r="M72">
        <f>SUM(L72:L74)</f>
        <v>-1.0392217857929431</v>
      </c>
      <c r="N72" s="1">
        <f>-(M72)</f>
        <v>1.0392217857929431</v>
      </c>
      <c r="O72" s="1">
        <v>13</v>
      </c>
      <c r="P72">
        <f>LN(O72)</f>
        <v>2.5649493574615367</v>
      </c>
      <c r="Q72">
        <f>N72/P72</f>
        <v>0.40516269171935376</v>
      </c>
      <c r="R72">
        <f>LN(D75)</f>
        <v>6.2897155709089976</v>
      </c>
      <c r="S72">
        <v>12</v>
      </c>
      <c r="T72" s="1">
        <f>S72/R72</f>
        <v>1.9078764158274562</v>
      </c>
    </row>
    <row r="73" spans="1:20" x14ac:dyDescent="0.25">
      <c r="B73" t="s">
        <v>82</v>
      </c>
      <c r="C73">
        <v>1.84</v>
      </c>
      <c r="D73">
        <v>342</v>
      </c>
      <c r="E73">
        <v>0.22</v>
      </c>
      <c r="F73">
        <f t="shared" ref="F73:F74" si="98">C73/39.26</f>
        <v>4.6867040244523692E-2</v>
      </c>
      <c r="G73">
        <f t="shared" ref="G73:G74" si="99">D73/539</f>
        <v>0.63450834879406304</v>
      </c>
      <c r="H73">
        <f t="shared" ref="H73:H74" si="100">E73/0.86</f>
        <v>0.2558139534883721</v>
      </c>
      <c r="I73">
        <f t="shared" ref="I73:I74" si="101">SUM(AVERAGE(F73:H73))</f>
        <v>0.31239644750898626</v>
      </c>
      <c r="K73">
        <f t="shared" ref="K73:K74" si="102">LN(I73)</f>
        <v>-1.1634822326914227</v>
      </c>
      <c r="L73">
        <f t="shared" ref="L73:L74" si="103">I73*K73</f>
        <v>-0.36346771623262419</v>
      </c>
    </row>
    <row r="74" spans="1:20" x14ac:dyDescent="0.25">
      <c r="B74" t="s">
        <v>83</v>
      </c>
      <c r="C74">
        <v>5.31</v>
      </c>
      <c r="D74">
        <v>88</v>
      </c>
      <c r="E74">
        <v>0.27</v>
      </c>
      <c r="F74">
        <f t="shared" si="98"/>
        <v>0.13525216505348955</v>
      </c>
      <c r="G74">
        <f t="shared" si="99"/>
        <v>0.16326530612244897</v>
      </c>
      <c r="H74">
        <f t="shared" si="100"/>
        <v>0.31395348837209303</v>
      </c>
      <c r="I74">
        <f t="shared" si="101"/>
        <v>0.20415698651601052</v>
      </c>
      <c r="K74">
        <f t="shared" si="102"/>
        <v>-1.5888660393382013</v>
      </c>
      <c r="L74">
        <f t="shared" si="103"/>
        <v>-0.32437810256891619</v>
      </c>
    </row>
    <row r="75" spans="1:20" x14ac:dyDescent="0.25">
      <c r="C75">
        <f>SUM(C72:C74)</f>
        <v>39.260000000000005</v>
      </c>
      <c r="D75">
        <f t="shared" ref="D75:E75" si="104">SUM(D72:D74)</f>
        <v>539</v>
      </c>
      <c r="E75">
        <f t="shared" si="104"/>
        <v>0.86</v>
      </c>
    </row>
    <row r="76" spans="1:20" x14ac:dyDescent="0.25">
      <c r="A76">
        <v>17</v>
      </c>
      <c r="B76" t="s">
        <v>81</v>
      </c>
      <c r="C76">
        <v>36.450000000000003</v>
      </c>
      <c r="D76">
        <v>117</v>
      </c>
      <c r="E76">
        <v>0.26</v>
      </c>
      <c r="F76">
        <f>C76/44.48</f>
        <v>0.81946942446043181</v>
      </c>
      <c r="G76">
        <f>D76/556</f>
        <v>0.21043165467625899</v>
      </c>
      <c r="H76">
        <f>E76/0.83</f>
        <v>0.31325301204819278</v>
      </c>
      <c r="I76">
        <f>AVERAGE(F76:H76)</f>
        <v>0.44771803039496111</v>
      </c>
      <c r="K76">
        <f>LN(I76)</f>
        <v>-0.80359164116005899</v>
      </c>
      <c r="L76">
        <f>I76*K76</f>
        <v>-0.35978246682203596</v>
      </c>
      <c r="M76">
        <f>SUM(L76:L78)</f>
        <v>-1.0294322167016443</v>
      </c>
      <c r="N76" s="1">
        <f>-(M76)</f>
        <v>1.0294322167016443</v>
      </c>
      <c r="O76" s="1">
        <v>14</v>
      </c>
      <c r="P76">
        <f>LN(O76)</f>
        <v>2.6390573296152584</v>
      </c>
      <c r="Q76">
        <f>N76/P76</f>
        <v>0.39007573088672637</v>
      </c>
      <c r="R76">
        <f>LN(D79)</f>
        <v>6.3207682942505823</v>
      </c>
      <c r="S76">
        <v>13</v>
      </c>
      <c r="T76" s="1">
        <f>S76/R76</f>
        <v>2.0567119999992558</v>
      </c>
    </row>
    <row r="77" spans="1:20" x14ac:dyDescent="0.25">
      <c r="B77" t="s">
        <v>82</v>
      </c>
      <c r="C77">
        <v>3.96</v>
      </c>
      <c r="D77">
        <v>352</v>
      </c>
      <c r="E77">
        <v>0.35</v>
      </c>
      <c r="F77">
        <f t="shared" ref="F77:F78" si="105">C77/44.48</f>
        <v>8.9028776978417268E-2</v>
      </c>
      <c r="G77">
        <f t="shared" ref="G77:G78" si="106">D77/556</f>
        <v>0.63309352517985606</v>
      </c>
      <c r="H77">
        <f t="shared" ref="H77:H78" si="107">E77/0.83</f>
        <v>0.42168674698795178</v>
      </c>
      <c r="I77">
        <f t="shared" ref="I77:I78" si="108">AVERAGE(F77:H77)</f>
        <v>0.3812696830487417</v>
      </c>
      <c r="K77">
        <f t="shared" ref="K77:K78" si="109">LN(I77)</f>
        <v>-0.96424832472434718</v>
      </c>
      <c r="L77">
        <f t="shared" ref="L77:L78" si="110">I77*K77</f>
        <v>-0.36763865314793204</v>
      </c>
    </row>
    <row r="78" spans="1:20" x14ac:dyDescent="0.25">
      <c r="B78" t="s">
        <v>83</v>
      </c>
      <c r="C78">
        <v>4.07</v>
      </c>
      <c r="D78">
        <v>87</v>
      </c>
      <c r="E78">
        <v>0.22</v>
      </c>
      <c r="F78">
        <f t="shared" si="105"/>
        <v>9.1501798561151093E-2</v>
      </c>
      <c r="G78">
        <f t="shared" si="106"/>
        <v>0.15647482014388489</v>
      </c>
      <c r="H78">
        <f t="shared" si="107"/>
        <v>0.26506024096385544</v>
      </c>
      <c r="I78">
        <f t="shared" si="108"/>
        <v>0.17101228655629716</v>
      </c>
      <c r="K78">
        <f t="shared" si="109"/>
        <v>-1.7660198738542354</v>
      </c>
      <c r="L78">
        <f t="shared" si="110"/>
        <v>-0.30201109673167625</v>
      </c>
    </row>
    <row r="79" spans="1:20" x14ac:dyDescent="0.25">
      <c r="C79">
        <f>SUM(C76:C78)</f>
        <v>44.480000000000004</v>
      </c>
      <c r="D79">
        <f t="shared" ref="D79:E79" si="111">SUM(D76:D78)</f>
        <v>556</v>
      </c>
      <c r="E79">
        <f t="shared" si="111"/>
        <v>0.83</v>
      </c>
    </row>
    <row r="80" spans="1:20" x14ac:dyDescent="0.25">
      <c r="A80">
        <v>18</v>
      </c>
      <c r="B80" t="s">
        <v>81</v>
      </c>
      <c r="C80">
        <v>29.58</v>
      </c>
      <c r="D80">
        <v>119</v>
      </c>
      <c r="E80">
        <v>0.22</v>
      </c>
      <c r="F80">
        <f>C80/35.85</f>
        <v>0.82510460251046014</v>
      </c>
      <c r="G80">
        <f>D80/510</f>
        <v>0.23333333333333334</v>
      </c>
      <c r="H80">
        <f>E80/0.92</f>
        <v>0.23913043478260868</v>
      </c>
      <c r="I80">
        <f>AVERAGE(F80:H80)</f>
        <v>0.43252279020880069</v>
      </c>
      <c r="K80">
        <f>LN(I80)</f>
        <v>-0.838120259874095</v>
      </c>
      <c r="L80">
        <f>I80*K80</f>
        <v>-0.3625061133312687</v>
      </c>
      <c r="M80">
        <f>SUM(L80:L83)</f>
        <v>-1.0672279963864102</v>
      </c>
      <c r="N80" s="1">
        <f>-(M80)</f>
        <v>1.0672279963864102</v>
      </c>
      <c r="O80" s="1">
        <v>13</v>
      </c>
      <c r="P80">
        <f>LN(O80)</f>
        <v>2.5649493574615367</v>
      </c>
      <c r="Q80">
        <f>N80/P80</f>
        <v>0.41608150791819837</v>
      </c>
      <c r="R80">
        <f>LN(D83)</f>
        <v>6.2344107257183712</v>
      </c>
      <c r="S80">
        <v>12</v>
      </c>
      <c r="T80" s="1">
        <f>S80/R80</f>
        <v>1.9248010001165392</v>
      </c>
    </row>
    <row r="81" spans="1:20" x14ac:dyDescent="0.25">
      <c r="B81" t="s">
        <v>82</v>
      </c>
      <c r="C81">
        <v>1.94</v>
      </c>
      <c r="D81">
        <v>322</v>
      </c>
      <c r="E81">
        <v>0.3</v>
      </c>
      <c r="F81">
        <f t="shared" ref="F81:F82" si="112">C81/35.85</f>
        <v>5.4114365411436535E-2</v>
      </c>
      <c r="G81">
        <f t="shared" ref="G81:G82" si="113">D81/510</f>
        <v>0.63137254901960782</v>
      </c>
      <c r="H81">
        <f t="shared" ref="H81:H82" si="114">E81/0.92</f>
        <v>0.32608695652173908</v>
      </c>
      <c r="I81">
        <f t="shared" ref="I81:I82" si="115">AVERAGE(F81:H81)</f>
        <v>0.33719129031759448</v>
      </c>
      <c r="K81">
        <f t="shared" ref="K81:K82" si="116">LN(I81)</f>
        <v>-1.0871048826138985</v>
      </c>
      <c r="L81">
        <f t="shared" ref="L81:L82" si="117">I81*K81</f>
        <v>-0.36656229807913754</v>
      </c>
    </row>
    <row r="82" spans="1:20" x14ac:dyDescent="0.25">
      <c r="B82" t="s">
        <v>83</v>
      </c>
      <c r="C82">
        <v>4.33</v>
      </c>
      <c r="D82">
        <v>69</v>
      </c>
      <c r="E82">
        <v>0.4</v>
      </c>
      <c r="F82">
        <f t="shared" si="112"/>
        <v>0.1207810320781032</v>
      </c>
      <c r="G82">
        <f t="shared" si="113"/>
        <v>0.13529411764705881</v>
      </c>
      <c r="H82">
        <f t="shared" si="114"/>
        <v>0.43478260869565216</v>
      </c>
      <c r="I82">
        <f t="shared" si="115"/>
        <v>0.23028591947360474</v>
      </c>
      <c r="K82">
        <f t="shared" si="116"/>
        <v>-1.468433613956861</v>
      </c>
      <c r="L82">
        <f t="shared" si="117"/>
        <v>-0.33815958497600407</v>
      </c>
    </row>
    <row r="83" spans="1:20" x14ac:dyDescent="0.25">
      <c r="C83">
        <f>SUM(C80:C82)</f>
        <v>35.85</v>
      </c>
      <c r="D83">
        <f t="shared" ref="D83:E83" si="118">SUM(D80:D82)</f>
        <v>510</v>
      </c>
      <c r="E83">
        <f t="shared" si="118"/>
        <v>0.92</v>
      </c>
    </row>
    <row r="85" spans="1:20" x14ac:dyDescent="0.25">
      <c r="A85" t="s">
        <v>13</v>
      </c>
    </row>
    <row r="86" spans="1:20" x14ac:dyDescent="0.25">
      <c r="A86">
        <v>1</v>
      </c>
      <c r="B86" t="s">
        <v>81</v>
      </c>
      <c r="C86">
        <v>26.7</v>
      </c>
      <c r="D86">
        <v>121</v>
      </c>
      <c r="E86">
        <v>0.2</v>
      </c>
      <c r="F86">
        <f>C86/34.1</f>
        <v>0.78299120234604103</v>
      </c>
      <c r="G86">
        <f>D86/553</f>
        <v>0.21880650994575046</v>
      </c>
      <c r="H86">
        <f>E86/0.9</f>
        <v>0.22222222222222224</v>
      </c>
      <c r="I86">
        <f>AVERAGE(F86:H86)</f>
        <v>0.40800664483800464</v>
      </c>
      <c r="K86">
        <f>LN(I86)</f>
        <v>-0.89647181834293832</v>
      </c>
      <c r="L86">
        <f>I86*K86</f>
        <v>-0.36576645879392744</v>
      </c>
      <c r="M86">
        <f>SUM(L86:L88)</f>
        <v>-1.0764988152725488</v>
      </c>
      <c r="N86" s="1">
        <f>-(M86)</f>
        <v>1.0764988152725488</v>
      </c>
      <c r="O86" s="1">
        <v>14</v>
      </c>
      <c r="P86">
        <f>LN(O86)</f>
        <v>2.6390573296152584</v>
      </c>
      <c r="Q86">
        <f>N86/P86</f>
        <v>0.40791035616853721</v>
      </c>
      <c r="R86">
        <f>LN(D89)</f>
        <v>6.315358001522335</v>
      </c>
      <c r="S86">
        <v>13</v>
      </c>
      <c r="T86" s="1">
        <f>S86/R86</f>
        <v>2.0584739609165963</v>
      </c>
    </row>
    <row r="87" spans="1:20" x14ac:dyDescent="0.25">
      <c r="B87" t="s">
        <v>82</v>
      </c>
      <c r="C87">
        <v>3.18</v>
      </c>
      <c r="D87">
        <v>345</v>
      </c>
      <c r="E87">
        <v>0.3</v>
      </c>
      <c r="F87">
        <f t="shared" ref="F87:F88" si="119">C87/34.1</f>
        <v>9.325513196480939E-2</v>
      </c>
      <c r="G87">
        <f t="shared" ref="G87:G88" si="120">D87/553</f>
        <v>0.6238698010849909</v>
      </c>
      <c r="H87">
        <f t="shared" ref="H87:H88" si="121">E87/0.9</f>
        <v>0.33333333333333331</v>
      </c>
      <c r="I87">
        <f t="shared" ref="I87:I88" si="122">AVERAGE(F87:H87)</f>
        <v>0.35015275546104457</v>
      </c>
      <c r="K87">
        <f t="shared" ref="K87:K88" si="123">LN(I87)</f>
        <v>-1.0493857755383205</v>
      </c>
      <c r="L87">
        <f t="shared" ref="L87:L88" si="124">I87*K87</f>
        <v>-0.36744532084636816</v>
      </c>
    </row>
    <row r="88" spans="1:20" x14ac:dyDescent="0.25">
      <c r="B88" t="s">
        <v>83</v>
      </c>
      <c r="C88">
        <v>4.22</v>
      </c>
      <c r="D88">
        <v>87</v>
      </c>
      <c r="E88">
        <v>0.4</v>
      </c>
      <c r="F88">
        <f t="shared" si="119"/>
        <v>0.12375366568914954</v>
      </c>
      <c r="G88">
        <f t="shared" si="120"/>
        <v>0.15732368896925858</v>
      </c>
      <c r="H88">
        <f t="shared" si="121"/>
        <v>0.44444444444444448</v>
      </c>
      <c r="I88">
        <f t="shared" si="122"/>
        <v>0.24184059970095087</v>
      </c>
      <c r="K88">
        <f t="shared" si="123"/>
        <v>-1.4194764487714069</v>
      </c>
      <c r="L88">
        <f t="shared" si="124"/>
        <v>-0.3432870356322531</v>
      </c>
    </row>
    <row r="89" spans="1:20" x14ac:dyDescent="0.25">
      <c r="C89">
        <f>SUM(C86:C88)</f>
        <v>34.1</v>
      </c>
      <c r="D89">
        <f t="shared" ref="D89:E89" si="125">SUM(D86:D88)</f>
        <v>553</v>
      </c>
      <c r="E89">
        <f t="shared" si="125"/>
        <v>0.9</v>
      </c>
    </row>
    <row r="91" spans="1:20" x14ac:dyDescent="0.25">
      <c r="A91">
        <v>2</v>
      </c>
      <c r="B91" t="s">
        <v>81</v>
      </c>
      <c r="C91">
        <v>21.15</v>
      </c>
      <c r="D91">
        <v>126</v>
      </c>
      <c r="E91">
        <v>0.23</v>
      </c>
      <c r="F91">
        <f>C91/C94</f>
        <v>0.77217962760131442</v>
      </c>
      <c r="G91">
        <f>D91/538</f>
        <v>0.2342007434944238</v>
      </c>
      <c r="H91">
        <f>0.23/0.89</f>
        <v>0.25842696629213485</v>
      </c>
      <c r="I91">
        <f>AVERAGE(F91:H91)</f>
        <v>0.42160244579595768</v>
      </c>
      <c r="K91">
        <f>LN(I91)</f>
        <v>-0.86369248054800296</v>
      </c>
      <c r="L91">
        <f>I91*K91</f>
        <v>-0.36413486221461566</v>
      </c>
      <c r="M91">
        <f>SUM(L91:L93)</f>
        <v>-1.0400456365573953</v>
      </c>
      <c r="N91" s="1">
        <f>-(M91)</f>
        <v>1.0400456365573953</v>
      </c>
      <c r="O91" s="1">
        <v>13</v>
      </c>
      <c r="P91">
        <f>LN(O91)</f>
        <v>2.5649493574615367</v>
      </c>
      <c r="Q91">
        <f>N91/P91</f>
        <v>0.40548388744279196</v>
      </c>
      <c r="R91">
        <f>LN(D94)</f>
        <v>6.2878585601617845</v>
      </c>
      <c r="S91">
        <v>12</v>
      </c>
      <c r="T91" s="1">
        <f>S91/R91</f>
        <v>1.9084398742727515</v>
      </c>
    </row>
    <row r="92" spans="1:20" x14ac:dyDescent="0.25">
      <c r="B92" t="s">
        <v>82</v>
      </c>
      <c r="C92">
        <v>2.34</v>
      </c>
      <c r="D92">
        <v>331</v>
      </c>
      <c r="E92">
        <v>0.28999999999999998</v>
      </c>
      <c r="F92">
        <f>C92/27.39</f>
        <v>8.5432639649507106E-2</v>
      </c>
      <c r="G92">
        <f t="shared" ref="G92:G93" si="126">D92/538</f>
        <v>0.61524163568773238</v>
      </c>
      <c r="H92">
        <f t="shared" ref="H92:H93" si="127">0.23/0.89</f>
        <v>0.25842696629213485</v>
      </c>
      <c r="I92">
        <f t="shared" ref="I92:I93" si="128">AVERAGE(F92:H92)</f>
        <v>0.31970041387645809</v>
      </c>
      <c r="K92">
        <f t="shared" ref="K92:K93" si="129">LN(I92)</f>
        <v>-1.1403709283395813</v>
      </c>
      <c r="L92">
        <f t="shared" ref="L92:L93" si="130">I92*K92</f>
        <v>-0.36457705776284488</v>
      </c>
    </row>
    <row r="93" spans="1:20" x14ac:dyDescent="0.25">
      <c r="B93" t="s">
        <v>83</v>
      </c>
      <c r="C93">
        <v>3.9</v>
      </c>
      <c r="D93">
        <v>81</v>
      </c>
      <c r="E93">
        <v>0.37</v>
      </c>
      <c r="F93">
        <f t="shared" ref="F93" si="131">C93/27.39</f>
        <v>0.14238773274917851</v>
      </c>
      <c r="G93">
        <f t="shared" si="126"/>
        <v>0.15055762081784388</v>
      </c>
      <c r="H93">
        <f t="shared" si="127"/>
        <v>0.25842696629213485</v>
      </c>
      <c r="I93">
        <f t="shared" si="128"/>
        <v>0.18379077328638574</v>
      </c>
      <c r="K93">
        <f t="shared" si="129"/>
        <v>-1.693957270068229</v>
      </c>
      <c r="L93">
        <f t="shared" si="130"/>
        <v>-0.3113337165799348</v>
      </c>
    </row>
    <row r="94" spans="1:20" x14ac:dyDescent="0.25">
      <c r="C94">
        <f>SUM(C91:C93)</f>
        <v>27.389999999999997</v>
      </c>
      <c r="D94">
        <f t="shared" ref="D94:E94" si="132">SUM(D91:D93)</f>
        <v>538</v>
      </c>
      <c r="E94">
        <f t="shared" si="132"/>
        <v>0.89</v>
      </c>
    </row>
    <row r="96" spans="1:20" x14ac:dyDescent="0.25">
      <c r="A96">
        <v>3</v>
      </c>
      <c r="B96" t="s">
        <v>84</v>
      </c>
      <c r="C96">
        <v>19.850000000000001</v>
      </c>
      <c r="D96">
        <v>120</v>
      </c>
      <c r="E96">
        <v>0.2</v>
      </c>
      <c r="F96">
        <f>C96/C99</f>
        <v>0.81285831285831289</v>
      </c>
      <c r="G96">
        <f>D96/550</f>
        <v>0.21818181818181817</v>
      </c>
      <c r="H96">
        <f>E96/0.9</f>
        <v>0.22222222222222224</v>
      </c>
      <c r="I96">
        <f>AVERAGE(F96:H96)</f>
        <v>0.4177541177541178</v>
      </c>
      <c r="K96">
        <f>LN(I96)</f>
        <v>-0.87286225457348343</v>
      </c>
      <c r="L96">
        <f>I96*K96</f>
        <v>-0.36464180108021577</v>
      </c>
      <c r="M96">
        <f>SUM(L96:L98)</f>
        <v>-1.072673650157101</v>
      </c>
      <c r="N96" s="1">
        <f>-(M96)</f>
        <v>1.072673650157101</v>
      </c>
      <c r="O96" s="1">
        <v>11</v>
      </c>
      <c r="P96">
        <f>LN(O96)</f>
        <v>2.3978952727983707</v>
      </c>
      <c r="Q96">
        <f>N96/P96</f>
        <v>0.4473396575427912</v>
      </c>
      <c r="R96">
        <f>LN(D99)</f>
        <v>6.3099182782265162</v>
      </c>
      <c r="S96">
        <v>10</v>
      </c>
      <c r="T96" s="1">
        <f>S96/R96</f>
        <v>1.5848065789547165</v>
      </c>
    </row>
    <row r="97" spans="1:20" x14ac:dyDescent="0.25">
      <c r="B97" t="s">
        <v>82</v>
      </c>
      <c r="C97">
        <v>1.99</v>
      </c>
      <c r="D97">
        <v>343</v>
      </c>
      <c r="E97">
        <v>0.3</v>
      </c>
      <c r="F97">
        <f>C97/24.42</f>
        <v>8.1490581490581485E-2</v>
      </c>
      <c r="G97">
        <f t="shared" ref="G97:G98" si="133">D97/550</f>
        <v>0.62363636363636366</v>
      </c>
      <c r="H97">
        <f t="shared" ref="H97:H98" si="134">E97/0.9</f>
        <v>0.33333333333333331</v>
      </c>
      <c r="I97">
        <f t="shared" ref="I97:I98" si="135">AVERAGE(F97:H97)</f>
        <v>0.3461534261534262</v>
      </c>
      <c r="K97">
        <f t="shared" ref="K97:K98" si="136">LN(I97)</f>
        <v>-1.0608731740205453</v>
      </c>
      <c r="L97">
        <f t="shared" ref="L97:L98" si="137">I97*K97</f>
        <v>-0.36722488390147168</v>
      </c>
    </row>
    <row r="98" spans="1:20" x14ac:dyDescent="0.25">
      <c r="B98" t="s">
        <v>83</v>
      </c>
      <c r="C98">
        <v>2.58</v>
      </c>
      <c r="D98">
        <v>87</v>
      </c>
      <c r="E98">
        <v>0.4</v>
      </c>
      <c r="F98">
        <f>C98/24.42</f>
        <v>0.10565110565110565</v>
      </c>
      <c r="G98">
        <f t="shared" si="133"/>
        <v>0.15818181818181817</v>
      </c>
      <c r="H98">
        <f t="shared" si="134"/>
        <v>0.44444444444444448</v>
      </c>
      <c r="I98">
        <f t="shared" si="135"/>
        <v>0.2360924560924561</v>
      </c>
      <c r="K98">
        <f t="shared" si="136"/>
        <v>-1.4435317875720277</v>
      </c>
      <c r="L98">
        <f t="shared" si="137"/>
        <v>-0.34080696517541365</v>
      </c>
    </row>
    <row r="99" spans="1:20" x14ac:dyDescent="0.25">
      <c r="C99">
        <f>SUM(C96:C98)</f>
        <v>24.42</v>
      </c>
      <c r="D99">
        <f t="shared" ref="D99:E99" si="138">SUM(D96:D98)</f>
        <v>550</v>
      </c>
      <c r="E99">
        <f t="shared" si="138"/>
        <v>0.9</v>
      </c>
    </row>
    <row r="101" spans="1:20" x14ac:dyDescent="0.25">
      <c r="A101">
        <v>4</v>
      </c>
      <c r="B101" t="s">
        <v>84</v>
      </c>
      <c r="C101">
        <v>18.013333333333332</v>
      </c>
      <c r="D101">
        <v>119</v>
      </c>
      <c r="E101">
        <v>0.22</v>
      </c>
      <c r="F101">
        <f>C101/22.05</f>
        <v>0.81693121693121684</v>
      </c>
      <c r="G101">
        <f>D101/440.32</f>
        <v>0.27025799418604651</v>
      </c>
      <c r="H101">
        <f>E101/0.94</f>
        <v>0.23404255319148937</v>
      </c>
      <c r="I101">
        <f>AVERAGE(F101:H101)</f>
        <v>0.44041058810291761</v>
      </c>
      <c r="K101">
        <f>LN(I101)</f>
        <v>-0.8200478324087257</v>
      </c>
      <c r="L101">
        <f>I101*K101</f>
        <v>-0.3611577481436497</v>
      </c>
      <c r="M101">
        <f>SUM(L101:L103)</f>
        <v>-1.0623318599505334</v>
      </c>
      <c r="N101" s="1">
        <f>-(M101)</f>
        <v>1.0623318599505334</v>
      </c>
      <c r="O101" s="1">
        <v>13</v>
      </c>
      <c r="P101">
        <f>LN(O101)</f>
        <v>2.5649493574615367</v>
      </c>
      <c r="Q101">
        <f>N101/P101</f>
        <v>0.41417264510902291</v>
      </c>
      <c r="R101">
        <f>LN(D104)</f>
        <v>6.2285110035911835</v>
      </c>
      <c r="S101">
        <f>12</f>
        <v>12</v>
      </c>
      <c r="T101" s="1">
        <f>S101/R101</f>
        <v>1.9266241952661141</v>
      </c>
    </row>
    <row r="102" spans="1:20" x14ac:dyDescent="0.25">
      <c r="B102" t="s">
        <v>82</v>
      </c>
      <c r="C102">
        <v>3.8199999999999994</v>
      </c>
      <c r="D102">
        <v>321</v>
      </c>
      <c r="E102">
        <v>0.32</v>
      </c>
      <c r="F102">
        <f t="shared" ref="F102:F103" si="139">C102/22.05</f>
        <v>0.17324263038548748</v>
      </c>
      <c r="G102">
        <f t="shared" ref="G102:G103" si="140">D102/440.32</f>
        <v>0.72901526162790697</v>
      </c>
      <c r="H102">
        <f t="shared" ref="H102:H103" si="141">E102/0.94</f>
        <v>0.34042553191489366</v>
      </c>
      <c r="I102">
        <f t="shared" ref="I102:I103" si="142">AVERAGE(F102:H102)</f>
        <v>0.41422780797609599</v>
      </c>
      <c r="K102">
        <f t="shared" ref="K102:K103" si="143">LN(I102)</f>
        <v>-0.88133919568296282</v>
      </c>
      <c r="L102">
        <f t="shared" ref="L102:L103" si="144">I102*K102</f>
        <v>-0.3650752031111692</v>
      </c>
    </row>
    <row r="103" spans="1:20" x14ac:dyDescent="0.25">
      <c r="B103" t="s">
        <v>83</v>
      </c>
      <c r="C103">
        <v>2.21</v>
      </c>
      <c r="D103">
        <v>67</v>
      </c>
      <c r="E103">
        <v>0.4</v>
      </c>
      <c r="F103">
        <f t="shared" si="139"/>
        <v>0.10022675736961451</v>
      </c>
      <c r="G103">
        <f t="shared" si="140"/>
        <v>0.15216206395348839</v>
      </c>
      <c r="H103">
        <f t="shared" si="141"/>
        <v>0.42553191489361708</v>
      </c>
      <c r="I103">
        <f t="shared" si="142"/>
        <v>0.22597357873890667</v>
      </c>
      <c r="K103">
        <f t="shared" si="143"/>
        <v>-1.4873371947790779</v>
      </c>
      <c r="L103">
        <f t="shared" si="144"/>
        <v>-0.33609890869571452</v>
      </c>
    </row>
    <row r="104" spans="1:20" x14ac:dyDescent="0.25">
      <c r="C104">
        <f>SUM(C101:C103)</f>
        <v>24.043333333333333</v>
      </c>
      <c r="D104">
        <f t="shared" ref="D104:E104" si="145">SUM(D101:D103)</f>
        <v>507</v>
      </c>
      <c r="E104">
        <f t="shared" si="145"/>
        <v>0.94000000000000006</v>
      </c>
    </row>
    <row r="106" spans="1:20" x14ac:dyDescent="0.25">
      <c r="A106">
        <v>5</v>
      </c>
      <c r="B106" t="s">
        <v>84</v>
      </c>
      <c r="C106">
        <v>12.826666666666666</v>
      </c>
      <c r="D106">
        <v>120</v>
      </c>
      <c r="E106">
        <v>0.23</v>
      </c>
      <c r="F106">
        <f>C106/19.22</f>
        <v>0.66736038848421786</v>
      </c>
      <c r="G106">
        <f>D106/531</f>
        <v>0.22598870056497175</v>
      </c>
      <c r="H106">
        <f>E106/0.91</f>
        <v>0.25274725274725274</v>
      </c>
      <c r="I106">
        <f>AVERAGE(F106:H106)</f>
        <v>0.38203211393214742</v>
      </c>
      <c r="K106">
        <f>LN(I106)</f>
        <v>-0.96225060602386581</v>
      </c>
      <c r="L106">
        <f>I106*K106</f>
        <v>-0.36761063315178738</v>
      </c>
      <c r="M106">
        <f>SUM(L106:L108)</f>
        <v>-1.0752028826992324</v>
      </c>
      <c r="N106" s="1">
        <f>-(M106)</f>
        <v>1.0752028826992324</v>
      </c>
      <c r="O106" s="1">
        <v>12</v>
      </c>
      <c r="P106">
        <f>LN(O106)</f>
        <v>2.4849066497880004</v>
      </c>
      <c r="Q106">
        <f>N106/P106</f>
        <v>0.43269347071487102</v>
      </c>
      <c r="R106">
        <f>LN(D109)</f>
        <v>6.2747620212419388</v>
      </c>
      <c r="S106">
        <v>11</v>
      </c>
      <c r="T106" s="1">
        <f>S106/R106</f>
        <v>1.7530545322295448</v>
      </c>
    </row>
    <row r="107" spans="1:20" x14ac:dyDescent="0.25">
      <c r="B107" t="s">
        <v>82</v>
      </c>
      <c r="C107">
        <v>3.5866666666666664</v>
      </c>
      <c r="D107">
        <v>331</v>
      </c>
      <c r="E107">
        <v>0.31</v>
      </c>
      <c r="F107">
        <f t="shared" ref="F107:F108" si="146">C107/19.22</f>
        <v>0.18661116892126256</v>
      </c>
      <c r="G107">
        <f t="shared" ref="G107:G108" si="147">D107/531</f>
        <v>0.62335216572504704</v>
      </c>
      <c r="H107">
        <f t="shared" ref="H107:H108" si="148">E107/0.91</f>
        <v>0.34065934065934067</v>
      </c>
      <c r="I107">
        <f t="shared" ref="I107:I108" si="149">AVERAGE(F107:H107)</f>
        <v>0.38354089176855011</v>
      </c>
      <c r="K107">
        <f t="shared" ref="K107:K108" si="150">LN(I107)</f>
        <v>-0.95830903604026285</v>
      </c>
      <c r="L107">
        <f t="shared" ref="L107:L108" si="151">I107*K107</f>
        <v>-0.36755070227274206</v>
      </c>
    </row>
    <row r="108" spans="1:20" x14ac:dyDescent="0.25">
      <c r="B108" t="s">
        <v>83</v>
      </c>
      <c r="C108">
        <v>2.8039999999999998</v>
      </c>
      <c r="D108">
        <v>80</v>
      </c>
      <c r="E108">
        <v>0.37</v>
      </c>
      <c r="F108">
        <f t="shared" si="146"/>
        <v>0.14588969823100936</v>
      </c>
      <c r="G108">
        <f t="shared" si="147"/>
        <v>0.15065913370998116</v>
      </c>
      <c r="H108">
        <f t="shared" si="148"/>
        <v>0.40659340659340659</v>
      </c>
      <c r="I108">
        <f t="shared" si="149"/>
        <v>0.23438074617813234</v>
      </c>
      <c r="K108">
        <f t="shared" si="150"/>
        <v>-1.4508083655313011</v>
      </c>
      <c r="L108">
        <f t="shared" si="151"/>
        <v>-0.34004154727470293</v>
      </c>
    </row>
    <row r="109" spans="1:20" x14ac:dyDescent="0.25">
      <c r="C109">
        <f>SUM(C106:C108)</f>
        <v>19.217333333333332</v>
      </c>
      <c r="D109">
        <f t="shared" ref="D109:E109" si="152">SUM(D106:D108)</f>
        <v>531</v>
      </c>
      <c r="E109">
        <f t="shared" si="152"/>
        <v>0.91</v>
      </c>
    </row>
    <row r="111" spans="1:20" x14ac:dyDescent="0.25">
      <c r="A111">
        <v>6</v>
      </c>
      <c r="B111" t="s">
        <v>84</v>
      </c>
      <c r="C111">
        <v>11.23</v>
      </c>
      <c r="D111">
        <v>119</v>
      </c>
      <c r="E111">
        <v>0.22</v>
      </c>
      <c r="F111">
        <f>C111/19.07</f>
        <v>0.58888306240167809</v>
      </c>
      <c r="G111">
        <f>D111/518</f>
        <v>0.22972972972972974</v>
      </c>
      <c r="H111">
        <f>E111/0.94</f>
        <v>0.23404255319148937</v>
      </c>
      <c r="I111">
        <f>AVERAGE(F111:H111)</f>
        <v>0.35088511510763237</v>
      </c>
      <c r="K111">
        <f>LN(I111)</f>
        <v>-1.0472964164786873</v>
      </c>
      <c r="L111">
        <f>I111*K111</f>
        <v>-0.3674807236479351</v>
      </c>
      <c r="M111">
        <f>SUM(L111:L113)</f>
        <v>-1.0843425182866515</v>
      </c>
      <c r="N111" s="1">
        <f>-(M111)</f>
        <v>1.0843425182866515</v>
      </c>
      <c r="O111" s="1">
        <v>13</v>
      </c>
      <c r="P111">
        <f>LN(O111)</f>
        <v>2.5649493574615367</v>
      </c>
      <c r="Q111">
        <f>N111/P111</f>
        <v>0.42275396788332575</v>
      </c>
      <c r="R111">
        <f>LN(D114)</f>
        <v>6.2499752422594828</v>
      </c>
      <c r="S111">
        <v>12</v>
      </c>
      <c r="T111" s="1">
        <f>S111/R111</f>
        <v>1.9200076056080144</v>
      </c>
    </row>
    <row r="112" spans="1:20" x14ac:dyDescent="0.25">
      <c r="B112" t="s">
        <v>82</v>
      </c>
      <c r="C112">
        <v>3.84</v>
      </c>
      <c r="D112">
        <v>310</v>
      </c>
      <c r="E112">
        <v>0.35</v>
      </c>
      <c r="F112">
        <f t="shared" ref="F112:F113" si="153">C112/19.07</f>
        <v>0.20136339800734138</v>
      </c>
      <c r="G112">
        <f t="shared" ref="G112:G113" si="154">D112/518</f>
        <v>0.59845559845559848</v>
      </c>
      <c r="H112">
        <f t="shared" ref="H112:H113" si="155">E112/0.94</f>
        <v>0.37234042553191488</v>
      </c>
      <c r="I112">
        <f t="shared" ref="I112:I113" si="156">AVERAGE(F112:H112)</f>
        <v>0.39071980733161826</v>
      </c>
      <c r="K112">
        <f t="shared" ref="K112:K113" si="157">LN(I112)</f>
        <v>-0.93976458117105144</v>
      </c>
      <c r="L112">
        <f t="shared" ref="L112:L114" si="158">I112*K112</f>
        <v>-0.36718463609223218</v>
      </c>
    </row>
    <row r="113" spans="1:20" x14ac:dyDescent="0.25">
      <c r="B113" t="s">
        <v>83</v>
      </c>
      <c r="C113">
        <v>4</v>
      </c>
      <c r="D113">
        <v>89</v>
      </c>
      <c r="E113">
        <v>0.37</v>
      </c>
      <c r="F113">
        <f t="shared" si="153"/>
        <v>0.20975353959098059</v>
      </c>
      <c r="G113">
        <f t="shared" si="154"/>
        <v>0.1718146718146718</v>
      </c>
      <c r="H113">
        <f t="shared" si="155"/>
        <v>0.39361702127659576</v>
      </c>
      <c r="I113">
        <f t="shared" si="156"/>
        <v>0.25839507756074936</v>
      </c>
      <c r="K113">
        <f t="shared" si="157"/>
        <v>-1.3532655569426404</v>
      </c>
      <c r="L113">
        <f t="shared" si="158"/>
        <v>-0.34967715854648423</v>
      </c>
    </row>
    <row r="114" spans="1:20" x14ac:dyDescent="0.25">
      <c r="C114">
        <f>SUM(C111:C113)</f>
        <v>19.07</v>
      </c>
      <c r="D114">
        <f t="shared" ref="D114:E114" si="159">SUM(D111:D113)</f>
        <v>518</v>
      </c>
      <c r="E114">
        <f t="shared" si="159"/>
        <v>0.94</v>
      </c>
      <c r="L114">
        <f t="shared" si="158"/>
        <v>0</v>
      </c>
    </row>
    <row r="116" spans="1:20" x14ac:dyDescent="0.25">
      <c r="A116">
        <v>7</v>
      </c>
      <c r="B116" t="s">
        <v>84</v>
      </c>
      <c r="C116">
        <v>28.48</v>
      </c>
      <c r="D116">
        <v>120</v>
      </c>
      <c r="E116">
        <v>0.2</v>
      </c>
      <c r="F116">
        <f>C116/35</f>
        <v>0.81371428571428572</v>
      </c>
      <c r="G116">
        <f>D116/536</f>
        <v>0.22388059701492538</v>
      </c>
      <c r="H116">
        <f>E116/0.9</f>
        <v>0.22222222222222224</v>
      </c>
      <c r="I116">
        <f>AVERAGE(F116:H116)</f>
        <v>0.41993903498381119</v>
      </c>
      <c r="K116">
        <f>LN(I116)</f>
        <v>-0.86764573304115022</v>
      </c>
      <c r="L116">
        <f>I116*K116</f>
        <v>-0.36435831184112211</v>
      </c>
      <c r="M116">
        <f>SUM(L116:L118)</f>
        <v>-1.0737521596463175</v>
      </c>
      <c r="N116" s="1">
        <f>-(M116)</f>
        <v>1.0737521596463175</v>
      </c>
      <c r="O116" s="1">
        <v>14</v>
      </c>
      <c r="P116">
        <f>LN(O116)</f>
        <v>2.6390573296152584</v>
      </c>
      <c r="Q116">
        <f>N116/P116</f>
        <v>0.40686958467963907</v>
      </c>
      <c r="R116">
        <f>LN(D119)</f>
        <v>6.2841341610708019</v>
      </c>
      <c r="S116">
        <v>13</v>
      </c>
      <c r="T116" s="1">
        <f>S116/R116</f>
        <v>2.0687018556244237</v>
      </c>
    </row>
    <row r="117" spans="1:20" x14ac:dyDescent="0.25">
      <c r="B117" t="s">
        <v>82</v>
      </c>
      <c r="C117">
        <v>2.4</v>
      </c>
      <c r="D117">
        <v>331</v>
      </c>
      <c r="E117">
        <v>0.3</v>
      </c>
      <c r="F117">
        <f t="shared" ref="F117:F118" si="160">C117/35</f>
        <v>6.8571428571428575E-2</v>
      </c>
      <c r="G117">
        <f t="shared" ref="G117:G118" si="161">D117/536</f>
        <v>0.6175373134328358</v>
      </c>
      <c r="H117">
        <f t="shared" ref="H117:H118" si="162">E117/0.9</f>
        <v>0.33333333333333331</v>
      </c>
      <c r="I117">
        <f t="shared" ref="I117:I118" si="163">AVERAGE(F117:H117)</f>
        <v>0.33981402511253256</v>
      </c>
      <c r="K117">
        <f t="shared" ref="K117:K118" si="164">LN(I117)</f>
        <v>-1.079356795985918</v>
      </c>
      <c r="L117">
        <f t="shared" ref="L117:L118" si="165">I117*K117</f>
        <v>-0.36678057737654146</v>
      </c>
    </row>
    <row r="118" spans="1:20" x14ac:dyDescent="0.25">
      <c r="B118" t="s">
        <v>83</v>
      </c>
      <c r="C118">
        <v>4.12</v>
      </c>
      <c r="D118">
        <v>85</v>
      </c>
      <c r="E118">
        <v>0.4</v>
      </c>
      <c r="F118">
        <f t="shared" si="160"/>
        <v>0.11771428571428572</v>
      </c>
      <c r="G118">
        <f t="shared" si="161"/>
        <v>0.15858208955223882</v>
      </c>
      <c r="H118">
        <f t="shared" si="162"/>
        <v>0.44444444444444448</v>
      </c>
      <c r="I118">
        <f t="shared" si="163"/>
        <v>0.24024693990365634</v>
      </c>
      <c r="K118">
        <f t="shared" si="164"/>
        <v>-1.4260879683464376</v>
      </c>
      <c r="L118">
        <f t="shared" si="165"/>
        <v>-0.34261327042865397</v>
      </c>
    </row>
    <row r="119" spans="1:20" x14ac:dyDescent="0.25">
      <c r="C119">
        <f>SUM(C116:C118)</f>
        <v>35</v>
      </c>
      <c r="D119">
        <f t="shared" ref="D119:E119" si="166">SUM(D116:D118)</f>
        <v>536</v>
      </c>
      <c r="E119">
        <f t="shared" si="166"/>
        <v>0.9</v>
      </c>
    </row>
    <row r="121" spans="1:20" x14ac:dyDescent="0.25">
      <c r="A121">
        <v>8</v>
      </c>
      <c r="B121" t="s">
        <v>84</v>
      </c>
      <c r="C121">
        <v>31.43</v>
      </c>
      <c r="D121">
        <v>120</v>
      </c>
      <c r="E121">
        <v>0.22</v>
      </c>
      <c r="F121">
        <f>C121/46.8</f>
        <v>0.67158119658119664</v>
      </c>
      <c r="G121">
        <f>D121/510</f>
        <v>0.23529411764705882</v>
      </c>
      <c r="H121">
        <f>E121/0.93</f>
        <v>0.23655913978494622</v>
      </c>
      <c r="I121">
        <f>AVERAGE(F121:H121)</f>
        <v>0.38114481800440059</v>
      </c>
      <c r="K121">
        <f>LN(I121)</f>
        <v>-0.96457587632596298</v>
      </c>
      <c r="L121">
        <f>I121*K121</f>
        <v>-0.36764309683369439</v>
      </c>
      <c r="M121">
        <f>SUM(L121:L124)</f>
        <v>-1.0738324251977676</v>
      </c>
      <c r="N121" s="1">
        <f>-(M121)</f>
        <v>1.0738324251977676</v>
      </c>
      <c r="O121" s="1">
        <v>13</v>
      </c>
      <c r="P121">
        <f>LN(O121)</f>
        <v>2.5649493574615367</v>
      </c>
      <c r="Q121">
        <f>N121/P121</f>
        <v>0.41865638480305567</v>
      </c>
      <c r="R121">
        <f>LN(D124)</f>
        <v>6.2344107257183712</v>
      </c>
      <c r="S121">
        <v>12</v>
      </c>
      <c r="T121" s="1">
        <f>S121/R121</f>
        <v>1.9248010001165392</v>
      </c>
    </row>
    <row r="122" spans="1:20" x14ac:dyDescent="0.25">
      <c r="B122" t="s">
        <v>82</v>
      </c>
      <c r="C122">
        <v>8.8000000000000007</v>
      </c>
      <c r="D122">
        <v>321</v>
      </c>
      <c r="E122">
        <v>0.32</v>
      </c>
      <c r="F122">
        <f t="shared" ref="F122:F123" si="167">C122/46.8</f>
        <v>0.18803418803418806</v>
      </c>
      <c r="G122">
        <f t="shared" ref="G122:G123" si="168">D122/510</f>
        <v>0.62941176470588234</v>
      </c>
      <c r="H122">
        <f t="shared" ref="H122:H123" si="169">E122/0.93</f>
        <v>0.34408602150537632</v>
      </c>
      <c r="I122">
        <f t="shared" ref="I122:I123" si="170">AVERAGE(F122:H122)</f>
        <v>0.38717732474848221</v>
      </c>
      <c r="K122">
        <f t="shared" ref="K122:K123" si="171">LN(I122)</f>
        <v>-0.948872487411066</v>
      </c>
      <c r="L122">
        <f t="shared" ref="L122:L123" si="172">I122*K122</f>
        <v>-0.36738191120325442</v>
      </c>
    </row>
    <row r="123" spans="1:20" x14ac:dyDescent="0.25">
      <c r="B123" t="s">
        <v>83</v>
      </c>
      <c r="C123">
        <v>6.57</v>
      </c>
      <c r="D123">
        <v>69</v>
      </c>
      <c r="E123">
        <v>0.39</v>
      </c>
      <c r="F123">
        <f t="shared" si="167"/>
        <v>0.14038461538461539</v>
      </c>
      <c r="G123">
        <f t="shared" si="168"/>
        <v>0.13529411764705881</v>
      </c>
      <c r="H123">
        <f t="shared" si="169"/>
        <v>0.41935483870967744</v>
      </c>
      <c r="I123">
        <f t="shared" si="170"/>
        <v>0.2316778572471172</v>
      </c>
      <c r="K123">
        <f t="shared" si="171"/>
        <v>-1.4624074185882721</v>
      </c>
      <c r="L123">
        <f t="shared" si="172"/>
        <v>-0.33880741716081886</v>
      </c>
    </row>
    <row r="124" spans="1:20" x14ac:dyDescent="0.25">
      <c r="C124">
        <f>SUM(C121:C123)</f>
        <v>46.800000000000004</v>
      </c>
      <c r="D124">
        <f t="shared" ref="D124:E124" si="173">SUM(D121:D123)</f>
        <v>510</v>
      </c>
      <c r="E124">
        <f t="shared" si="173"/>
        <v>0.93</v>
      </c>
    </row>
    <row r="126" spans="1:20" x14ac:dyDescent="0.25">
      <c r="A126">
        <v>9</v>
      </c>
      <c r="B126" t="s">
        <v>84</v>
      </c>
      <c r="C126">
        <v>21.71</v>
      </c>
      <c r="D126">
        <v>119</v>
      </c>
      <c r="E126">
        <v>0.2</v>
      </c>
      <c r="F126">
        <f>C126/28.23</f>
        <v>0.76904002833864682</v>
      </c>
      <c r="G126">
        <f>D126/516</f>
        <v>0.23062015503875968</v>
      </c>
      <c r="H126">
        <f>E126/0.89</f>
        <v>0.22471910112359553</v>
      </c>
      <c r="I126">
        <f>AVERAGE(H126)</f>
        <v>0.22471910112359553</v>
      </c>
      <c r="K126">
        <f>LN(I126)</f>
        <v>-1.4929040961781488</v>
      </c>
      <c r="L126">
        <f>I126*K126</f>
        <v>-0.33548406655688739</v>
      </c>
      <c r="M126">
        <f>SUM(L126:L128)</f>
        <v>-1.0662035283869487</v>
      </c>
      <c r="N126" s="1">
        <f>-(M126)</f>
        <v>1.0662035283869487</v>
      </c>
      <c r="O126" s="1">
        <v>15</v>
      </c>
      <c r="P126">
        <f>LN(O126)</f>
        <v>2.7080502011022101</v>
      </c>
      <c r="Q126">
        <f>N126/P126</f>
        <v>0.39371630849124972</v>
      </c>
      <c r="R126">
        <f>LN(D129)</f>
        <v>6.2461067654815627</v>
      </c>
      <c r="S126">
        <v>14</v>
      </c>
      <c r="T126" s="1">
        <f>S126/R126</f>
        <v>2.2413962049719505</v>
      </c>
    </row>
    <row r="127" spans="1:20" x14ac:dyDescent="0.25">
      <c r="B127" t="s">
        <v>82</v>
      </c>
      <c r="C127">
        <v>2.17</v>
      </c>
      <c r="D127">
        <v>320</v>
      </c>
      <c r="E127">
        <v>0.31</v>
      </c>
      <c r="F127">
        <f t="shared" ref="F127:F128" si="174">C127/28.23</f>
        <v>7.6868579525327663E-2</v>
      </c>
      <c r="G127">
        <f t="shared" ref="G127:G128" si="175">D127/516</f>
        <v>0.62015503875968991</v>
      </c>
      <c r="H127">
        <f t="shared" ref="H127:H129" si="176">E127/0.89</f>
        <v>0.34831460674157305</v>
      </c>
      <c r="I127">
        <f t="shared" ref="I127:I128" si="177">AVERAGE(H127)</f>
        <v>0.34831460674157305</v>
      </c>
      <c r="K127">
        <f t="shared" ref="K127:K128" si="178">LN(I127)</f>
        <v>-1.0546491652469936</v>
      </c>
      <c r="L127">
        <f t="shared" ref="L127:L128" si="179">I127*K127</f>
        <v>-0.36734970924333488</v>
      </c>
    </row>
    <row r="128" spans="1:20" x14ac:dyDescent="0.25">
      <c r="B128" t="s">
        <v>83</v>
      </c>
      <c r="C128">
        <v>4.3499999999999996</v>
      </c>
      <c r="D128">
        <v>77</v>
      </c>
      <c r="E128">
        <v>0.38</v>
      </c>
      <c r="F128">
        <f t="shared" si="174"/>
        <v>0.15409139213602549</v>
      </c>
      <c r="G128">
        <f t="shared" si="175"/>
        <v>0.14922480620155038</v>
      </c>
      <c r="H128">
        <f t="shared" si="176"/>
        <v>0.42696629213483145</v>
      </c>
      <c r="I128">
        <f t="shared" si="177"/>
        <v>0.42696629213483145</v>
      </c>
      <c r="K128">
        <f t="shared" si="178"/>
        <v>-0.85105021000575409</v>
      </c>
      <c r="L128">
        <f t="shared" si="179"/>
        <v>-0.36336975258672644</v>
      </c>
    </row>
    <row r="129" spans="1:20" x14ac:dyDescent="0.25">
      <c r="C129">
        <f>SUM(C126:C128)</f>
        <v>28.230000000000004</v>
      </c>
      <c r="D129">
        <f t="shared" ref="D129:E129" si="180">SUM(D126:D128)</f>
        <v>516</v>
      </c>
      <c r="E129">
        <f t="shared" si="180"/>
        <v>0.89</v>
      </c>
      <c r="H129">
        <f t="shared" si="176"/>
        <v>1</v>
      </c>
    </row>
    <row r="131" spans="1:20" x14ac:dyDescent="0.25">
      <c r="A131">
        <v>10</v>
      </c>
      <c r="B131" t="s">
        <v>84</v>
      </c>
      <c r="C131">
        <v>35.03</v>
      </c>
      <c r="D131">
        <v>118</v>
      </c>
      <c r="E131">
        <v>0.35</v>
      </c>
      <c r="F131">
        <f>C131/42.48</f>
        <v>0.82462335216572513</v>
      </c>
      <c r="G131">
        <f>118/546</f>
        <v>0.21611721611721613</v>
      </c>
      <c r="H131">
        <f>E131/0.83</f>
        <v>0.42168674698795178</v>
      </c>
      <c r="I131">
        <f>AVERAGE(F131:H131)</f>
        <v>0.48747577175696427</v>
      </c>
      <c r="K131">
        <f>LN(I131)</f>
        <v>-0.71851468873934277</v>
      </c>
      <c r="L131">
        <f>I131*K131</f>
        <v>-0.35025850241192608</v>
      </c>
      <c r="M131">
        <f>SUM(L131:L133)</f>
        <v>-1.0348864935565985</v>
      </c>
      <c r="N131" s="1">
        <f>-(M131)</f>
        <v>1.0348864935565985</v>
      </c>
      <c r="O131" s="1">
        <v>14</v>
      </c>
      <c r="P131">
        <f>LN(O131)</f>
        <v>2.6390573296152584</v>
      </c>
      <c r="Q131">
        <f>N131/P131</f>
        <v>0.39214248282642344</v>
      </c>
      <c r="R131">
        <f>LN(D134)</f>
        <v>6.3026189757449051</v>
      </c>
      <c r="S131">
        <v>13</v>
      </c>
      <c r="T131" s="1">
        <f>S131/R131</f>
        <v>2.0626346047618296</v>
      </c>
    </row>
    <row r="132" spans="1:20" x14ac:dyDescent="0.25">
      <c r="B132" t="s">
        <v>82</v>
      </c>
      <c r="C132">
        <v>2.76</v>
      </c>
      <c r="D132">
        <v>341</v>
      </c>
      <c r="E132">
        <v>0.21</v>
      </c>
      <c r="F132">
        <f t="shared" ref="F132:F133" si="181">C132/42.48</f>
        <v>6.4971751412429377E-2</v>
      </c>
      <c r="G132">
        <f>D132/546</f>
        <v>0.62454212454212454</v>
      </c>
      <c r="H132">
        <f t="shared" ref="H132:H133" si="182">E132/0.83</f>
        <v>0.25301204819277107</v>
      </c>
      <c r="I132">
        <f t="shared" ref="I132:I133" si="183">AVERAGE(F132:H132)</f>
        <v>0.31417530804910831</v>
      </c>
      <c r="K132">
        <f t="shared" ref="K132:K133" si="184">LN(I132)</f>
        <v>-1.1578041429797519</v>
      </c>
      <c r="L132">
        <f t="shared" ref="L132:L133" si="185">I132*K132</f>
        <v>-0.36375347328119739</v>
      </c>
    </row>
    <row r="133" spans="1:20" x14ac:dyDescent="0.25">
      <c r="B133" t="s">
        <v>85</v>
      </c>
      <c r="C133">
        <v>4.6900000000000004</v>
      </c>
      <c r="D133">
        <v>87</v>
      </c>
      <c r="E133">
        <v>0.27</v>
      </c>
      <c r="F133">
        <f t="shared" si="181"/>
        <v>0.11040489642184559</v>
      </c>
      <c r="G133">
        <f>D133/546</f>
        <v>0.15934065934065933</v>
      </c>
      <c r="H133">
        <f t="shared" si="182"/>
        <v>0.32530120481927716</v>
      </c>
      <c r="I133">
        <f t="shared" si="183"/>
        <v>0.19834892019392736</v>
      </c>
      <c r="K133">
        <f t="shared" si="184"/>
        <v>-1.6177275759795082</v>
      </c>
      <c r="L133">
        <f t="shared" si="185"/>
        <v>-0.32087451786347504</v>
      </c>
    </row>
    <row r="134" spans="1:20" x14ac:dyDescent="0.25">
      <c r="C134">
        <f>SUM(C131:C133)</f>
        <v>42.48</v>
      </c>
      <c r="D134">
        <f t="shared" ref="D134:E134" si="186">SUM(D131:D133)</f>
        <v>546</v>
      </c>
      <c r="E134">
        <f t="shared" si="186"/>
        <v>0.83</v>
      </c>
    </row>
    <row r="135" spans="1:20" x14ac:dyDescent="0.25">
      <c r="A135">
        <v>11</v>
      </c>
      <c r="B135" t="s">
        <v>81</v>
      </c>
      <c r="C135">
        <v>28.48</v>
      </c>
      <c r="D135">
        <v>120</v>
      </c>
      <c r="E135">
        <v>0.2</v>
      </c>
      <c r="F135">
        <f>C135/35.3</f>
        <v>0.80679886685552415</v>
      </c>
      <c r="G135">
        <f>D135/536</f>
        <v>0.22388059701492538</v>
      </c>
      <c r="H135">
        <f>E135/0.9</f>
        <v>0.22222222222222224</v>
      </c>
      <c r="I135">
        <f>AVERAGE(F135:H135)</f>
        <v>0.41763389536422396</v>
      </c>
      <c r="K135">
        <f>LN(I135)</f>
        <v>-0.87315007864765237</v>
      </c>
      <c r="L135">
        <f>I135*K135</f>
        <v>-0.36465706858319757</v>
      </c>
      <c r="M135">
        <f>SUM(L135:L137)</f>
        <v>-1.0750874505196069</v>
      </c>
      <c r="N135" s="1">
        <f>-(M135)</f>
        <v>1.0750874505196069</v>
      </c>
      <c r="O135" s="1">
        <v>13</v>
      </c>
      <c r="P135">
        <f>LN(O135)</f>
        <v>2.5649493574615367</v>
      </c>
      <c r="Q135">
        <f>N135/P135</f>
        <v>0.41914568308810307</v>
      </c>
      <c r="R135">
        <f>LN(D138)</f>
        <v>6.2841341610708019</v>
      </c>
      <c r="S135">
        <f>12</f>
        <v>12</v>
      </c>
      <c r="T135" s="1">
        <f>S135/R135</f>
        <v>1.9095709436533144</v>
      </c>
    </row>
    <row r="136" spans="1:20" x14ac:dyDescent="0.25">
      <c r="B136" t="s">
        <v>82</v>
      </c>
      <c r="C136">
        <v>2.4</v>
      </c>
      <c r="D136">
        <v>331</v>
      </c>
      <c r="E136">
        <v>0.3</v>
      </c>
      <c r="F136">
        <f t="shared" ref="F136:F137" si="187">C136/35.3</f>
        <v>6.79886685552408E-2</v>
      </c>
      <c r="G136">
        <f t="shared" ref="G136:G137" si="188">D136/536</f>
        <v>0.6175373134328358</v>
      </c>
      <c r="H136">
        <f t="shared" ref="H136:H137" si="189">E136/0.9</f>
        <v>0.33333333333333331</v>
      </c>
      <c r="I136">
        <f t="shared" ref="I136:I137" si="190">AVERAGE(F136:H136)</f>
        <v>0.33961977177380326</v>
      </c>
      <c r="K136">
        <f t="shared" ref="K136:K137" si="191">LN(I136)</f>
        <v>-1.0799286054687915</v>
      </c>
      <c r="L136">
        <f t="shared" ref="L136:L137" si="192">I136*K136</f>
        <v>-0.36676510652131261</v>
      </c>
    </row>
    <row r="137" spans="1:20" x14ac:dyDescent="0.25">
      <c r="B137" t="s">
        <v>83</v>
      </c>
      <c r="C137">
        <v>4.42</v>
      </c>
      <c r="D137">
        <v>85</v>
      </c>
      <c r="E137">
        <v>0.4</v>
      </c>
      <c r="F137">
        <f t="shared" si="187"/>
        <v>0.12521246458923513</v>
      </c>
      <c r="G137">
        <f t="shared" si="188"/>
        <v>0.15858208955223882</v>
      </c>
      <c r="H137">
        <f t="shared" si="189"/>
        <v>0.44444444444444448</v>
      </c>
      <c r="I137">
        <f t="shared" si="190"/>
        <v>0.24274633286197278</v>
      </c>
      <c r="K137">
        <f t="shared" si="191"/>
        <v>-1.4157382785696175</v>
      </c>
      <c r="L137">
        <f t="shared" si="192"/>
        <v>-0.34366527541509673</v>
      </c>
    </row>
    <row r="138" spans="1:20" x14ac:dyDescent="0.25">
      <c r="C138">
        <f>SUM(C135:C137)</f>
        <v>35.299999999999997</v>
      </c>
      <c r="D138">
        <f t="shared" ref="D138:E138" si="193">SUM(D135:D137)</f>
        <v>536</v>
      </c>
      <c r="E138">
        <f t="shared" si="193"/>
        <v>0.9</v>
      </c>
    </row>
    <row r="139" spans="1:20" x14ac:dyDescent="0.25">
      <c r="A139">
        <v>12</v>
      </c>
      <c r="B139" t="s">
        <v>81</v>
      </c>
      <c r="C139">
        <v>31.43</v>
      </c>
      <c r="D139">
        <v>120</v>
      </c>
      <c r="E139">
        <v>0.22</v>
      </c>
      <c r="F139">
        <f>C139/46.8</f>
        <v>0.67158119658119664</v>
      </c>
      <c r="G139">
        <f>D139/510</f>
        <v>0.23529411764705882</v>
      </c>
      <c r="H139">
        <f>0.22/0.93</f>
        <v>0.23655913978494622</v>
      </c>
      <c r="I139">
        <f>AVERAGE(F139:H139)</f>
        <v>0.38114481800440059</v>
      </c>
      <c r="K139">
        <f>LN(I139)</f>
        <v>-0.96457587632596298</v>
      </c>
      <c r="L139">
        <f>I139*K139</f>
        <v>-0.36764309683369439</v>
      </c>
      <c r="M139">
        <f>SUM(L139:L141)</f>
        <v>-1.0369516875275127</v>
      </c>
      <c r="N139" s="1">
        <f>-(M139)</f>
        <v>1.0369516875275127</v>
      </c>
      <c r="O139" s="1">
        <v>13</v>
      </c>
      <c r="P139">
        <f>LN(O139)</f>
        <v>2.5649493574615367</v>
      </c>
      <c r="Q139">
        <f>N139/P139</f>
        <v>0.40427764568176761</v>
      </c>
      <c r="R139">
        <f>LN(D142)</f>
        <v>6.2344107257183712</v>
      </c>
      <c r="S139">
        <v>12</v>
      </c>
      <c r="T139" s="1">
        <f>S139/R139</f>
        <v>1.9248010001165392</v>
      </c>
    </row>
    <row r="140" spans="1:20" x14ac:dyDescent="0.25">
      <c r="B140" t="s">
        <v>82</v>
      </c>
      <c r="C140">
        <v>8.8000000000000007</v>
      </c>
      <c r="D140">
        <v>321</v>
      </c>
      <c r="E140">
        <v>0.32</v>
      </c>
      <c r="F140">
        <f t="shared" ref="F140:F141" si="194">C140/46.8</f>
        <v>0.18803418803418806</v>
      </c>
      <c r="G140">
        <f t="shared" ref="G140:G141" si="195">D140/510</f>
        <v>0.62941176470588234</v>
      </c>
      <c r="H140">
        <f t="shared" ref="H140:H141" si="196">0.22/0.93</f>
        <v>0.23655913978494622</v>
      </c>
      <c r="I140">
        <f t="shared" ref="I140:I141" si="197">AVERAGE(F140:H140)</f>
        <v>0.35133503084167222</v>
      </c>
      <c r="K140">
        <f t="shared" ref="K140:K141" si="198">LN(I140)</f>
        <v>-1.0460150069429484</v>
      </c>
      <c r="L140">
        <f t="shared" ref="L140:L141" si="199">I140*K140</f>
        <v>-0.36750171472515275</v>
      </c>
    </row>
    <row r="141" spans="1:20" x14ac:dyDescent="0.25">
      <c r="B141" t="s">
        <v>83</v>
      </c>
      <c r="C141">
        <v>6.57</v>
      </c>
      <c r="D141">
        <v>69</v>
      </c>
      <c r="E141">
        <v>0.39</v>
      </c>
      <c r="F141">
        <f t="shared" si="194"/>
        <v>0.14038461538461539</v>
      </c>
      <c r="G141">
        <f t="shared" si="195"/>
        <v>0.13529411764705881</v>
      </c>
      <c r="H141">
        <f t="shared" si="196"/>
        <v>0.23655913978494622</v>
      </c>
      <c r="I141">
        <f t="shared" si="197"/>
        <v>0.17074595760554015</v>
      </c>
      <c r="K141">
        <f t="shared" si="198"/>
        <v>-1.7675784551567786</v>
      </c>
      <c r="L141">
        <f t="shared" si="199"/>
        <v>-0.30180687596866546</v>
      </c>
    </row>
    <row r="142" spans="1:20" x14ac:dyDescent="0.25">
      <c r="C142">
        <f>SUM(C139:C141)</f>
        <v>46.800000000000004</v>
      </c>
      <c r="D142">
        <f t="shared" ref="D142:E142" si="200">SUM(D139:D141)</f>
        <v>510</v>
      </c>
      <c r="E142">
        <f t="shared" si="200"/>
        <v>0.93</v>
      </c>
    </row>
    <row r="143" spans="1:20" x14ac:dyDescent="0.25">
      <c r="A143">
        <v>13</v>
      </c>
      <c r="B143" t="s">
        <v>81</v>
      </c>
      <c r="C143">
        <v>21.71</v>
      </c>
      <c r="D143">
        <v>119</v>
      </c>
      <c r="E143">
        <v>0.2</v>
      </c>
      <c r="F143">
        <f>C143/28.22</f>
        <v>0.76931254429482643</v>
      </c>
      <c r="G143">
        <f>D143/516</f>
        <v>0.23062015503875968</v>
      </c>
      <c r="H143">
        <f>E143/0.89</f>
        <v>0.22471910112359553</v>
      </c>
      <c r="I143">
        <f>AVERAGE(F143:H143)</f>
        <v>0.40821726681906051</v>
      </c>
      <c r="K143">
        <f>LN(I143)</f>
        <v>-0.89595572960130088</v>
      </c>
      <c r="L143">
        <f>I143*K143</f>
        <v>-0.36574459912872026</v>
      </c>
      <c r="M143">
        <f>SUM(L143:L145)</f>
        <v>-1.077050555141152</v>
      </c>
      <c r="N143" s="1">
        <f>-(M143)</f>
        <v>1.077050555141152</v>
      </c>
      <c r="O143" s="1">
        <v>14</v>
      </c>
      <c r="P143">
        <f>LN(O143)</f>
        <v>2.6390573296152584</v>
      </c>
      <c r="Q143">
        <f>N143/P143</f>
        <v>0.40811942319501354</v>
      </c>
      <c r="R143">
        <f>LN(D146)</f>
        <v>6.2461067654815627</v>
      </c>
      <c r="S143">
        <v>13</v>
      </c>
      <c r="T143" s="1">
        <f>S143/R143</f>
        <v>2.0812964760453827</v>
      </c>
    </row>
    <row r="144" spans="1:20" x14ac:dyDescent="0.25">
      <c r="B144" t="s">
        <v>82</v>
      </c>
      <c r="C144">
        <v>2.16</v>
      </c>
      <c r="D144">
        <v>320</v>
      </c>
      <c r="E144">
        <v>0.31</v>
      </c>
      <c r="F144">
        <f t="shared" ref="F144:F145" si="201">C144/28.22</f>
        <v>7.6541459957476979E-2</v>
      </c>
      <c r="G144">
        <f t="shared" ref="G144:G145" si="202">D144/516</f>
        <v>0.62015503875968991</v>
      </c>
      <c r="H144">
        <f t="shared" ref="H144:H145" si="203">E144/0.89</f>
        <v>0.34831460674157305</v>
      </c>
      <c r="I144">
        <f t="shared" ref="I144:I145" si="204">AVERAGE(F144:H144)</f>
        <v>0.34833703515291331</v>
      </c>
      <c r="K144">
        <f t="shared" ref="K144:K145" si="205">LN(I144)</f>
        <v>-1.0545847760745601</v>
      </c>
      <c r="L144">
        <f t="shared" ref="L144:L145" si="206">I144*K144</f>
        <v>-0.36735093421521126</v>
      </c>
    </row>
    <row r="145" spans="1:20" x14ac:dyDescent="0.25">
      <c r="B145" t="s">
        <v>83</v>
      </c>
      <c r="C145">
        <v>4.3499999999999996</v>
      </c>
      <c r="D145">
        <v>77</v>
      </c>
      <c r="E145">
        <v>0.38</v>
      </c>
      <c r="F145">
        <f t="shared" si="201"/>
        <v>0.15414599574769666</v>
      </c>
      <c r="G145">
        <f t="shared" si="202"/>
        <v>0.14922480620155038</v>
      </c>
      <c r="H145">
        <f t="shared" si="203"/>
        <v>0.42696629213483145</v>
      </c>
      <c r="I145">
        <f t="shared" si="204"/>
        <v>0.24344569802802618</v>
      </c>
      <c r="K145">
        <f t="shared" si="205"/>
        <v>-1.4128613673741051</v>
      </c>
      <c r="L145">
        <f t="shared" si="206"/>
        <v>-0.34395502179722054</v>
      </c>
    </row>
    <row r="146" spans="1:20" x14ac:dyDescent="0.25">
      <c r="C146">
        <f>SUM(C143:C145)</f>
        <v>28.22</v>
      </c>
      <c r="D146">
        <f t="shared" ref="D146:E146" si="207">SUM(D143:D145)</f>
        <v>516</v>
      </c>
      <c r="E146">
        <f t="shared" si="207"/>
        <v>0.89</v>
      </c>
    </row>
    <row r="147" spans="1:20" x14ac:dyDescent="0.25">
      <c r="A147">
        <v>14</v>
      </c>
      <c r="B147" t="s">
        <v>81</v>
      </c>
      <c r="C147">
        <v>44.21</v>
      </c>
      <c r="D147">
        <v>119</v>
      </c>
      <c r="E147">
        <v>0.2</v>
      </c>
      <c r="F147">
        <f>C147/54.18</f>
        <v>0.81598375784422295</v>
      </c>
      <c r="G147">
        <f>D147/530</f>
        <v>0.22452830188679246</v>
      </c>
      <c r="H147">
        <f>E147/0.9</f>
        <v>0.22222222222222224</v>
      </c>
      <c r="I147">
        <f>AVERAGE(F147:H147)</f>
        <v>0.42091142731774589</v>
      </c>
      <c r="K147">
        <f>LN(I147)</f>
        <v>-0.86533285385273861</v>
      </c>
      <c r="L147">
        <f>I147*K147</f>
        <v>-0.3642284866200946</v>
      </c>
      <c r="M147">
        <f>SUM(L147:L149)</f>
        <v>-1.0734847509584224</v>
      </c>
      <c r="N147" s="1">
        <f>-(M147)</f>
        <v>1.0734847509584224</v>
      </c>
      <c r="O147" s="1">
        <v>15</v>
      </c>
      <c r="P147">
        <f>LN(O147)</f>
        <v>2.7080502011022101</v>
      </c>
      <c r="Q147">
        <f>N147/P147</f>
        <v>0.39640504098539264</v>
      </c>
      <c r="R147">
        <f>LN(D150)</f>
        <v>6.2728770065461674</v>
      </c>
      <c r="S147">
        <v>14</v>
      </c>
      <c r="T147" s="1">
        <f>S147/R147</f>
        <v>2.2318307828114694</v>
      </c>
    </row>
    <row r="148" spans="1:20" x14ac:dyDescent="0.25">
      <c r="B148" t="s">
        <v>82</v>
      </c>
      <c r="C148">
        <v>1.9</v>
      </c>
      <c r="D148">
        <v>332</v>
      </c>
      <c r="E148">
        <v>0.32</v>
      </c>
      <c r="F148">
        <f t="shared" ref="F148:F149" si="208">C148/54.18</f>
        <v>3.506829088224437E-2</v>
      </c>
      <c r="G148">
        <f t="shared" ref="G148:G149" si="209">D148/530</f>
        <v>0.62641509433962261</v>
      </c>
      <c r="H148">
        <f t="shared" ref="H148:H149" si="210">E148/0.9</f>
        <v>0.35555555555555557</v>
      </c>
      <c r="I148">
        <f t="shared" ref="I148:I149" si="211">AVERAGE(F148:H148)</f>
        <v>0.33901298025914084</v>
      </c>
      <c r="K148">
        <f t="shared" ref="K148:K149" si="212">LN(I148)</f>
        <v>-1.0817168824847514</v>
      </c>
      <c r="L148">
        <f t="shared" ref="L148:L149" si="213">I148*K148</f>
        <v>-0.3667160641277824</v>
      </c>
    </row>
    <row r="149" spans="1:20" x14ac:dyDescent="0.25">
      <c r="B149" t="s">
        <v>83</v>
      </c>
      <c r="C149">
        <v>8.07</v>
      </c>
      <c r="D149">
        <v>79</v>
      </c>
      <c r="E149">
        <v>0.38</v>
      </c>
      <c r="F149">
        <f t="shared" si="208"/>
        <v>0.14894795127353266</v>
      </c>
      <c r="G149">
        <f t="shared" si="209"/>
        <v>0.1490566037735849</v>
      </c>
      <c r="H149">
        <f t="shared" si="210"/>
        <v>0.42222222222222222</v>
      </c>
      <c r="I149">
        <f t="shared" si="211"/>
        <v>0.24007559242311327</v>
      </c>
      <c r="K149">
        <f t="shared" si="212"/>
        <v>-1.4268014368026498</v>
      </c>
      <c r="L149">
        <f t="shared" si="213"/>
        <v>-0.34254020021054538</v>
      </c>
    </row>
    <row r="150" spans="1:20" x14ac:dyDescent="0.25">
      <c r="C150">
        <f>SUM(C147:C149)</f>
        <v>54.18</v>
      </c>
      <c r="D150">
        <f t="shared" ref="D150:E150" si="214">SUM(D147:D149)</f>
        <v>530</v>
      </c>
      <c r="E150">
        <f t="shared" si="214"/>
        <v>0.9</v>
      </c>
    </row>
    <row r="151" spans="1:20" x14ac:dyDescent="0.25">
      <c r="A151">
        <v>15</v>
      </c>
      <c r="B151" t="s">
        <v>81</v>
      </c>
      <c r="C151">
        <v>40.18</v>
      </c>
      <c r="D151">
        <v>126</v>
      </c>
      <c r="E151">
        <v>0.21</v>
      </c>
      <c r="F151">
        <f>C151/51.35</f>
        <v>0.78247322297955202</v>
      </c>
      <c r="G151">
        <f>D151/566</f>
        <v>0.22261484098939929</v>
      </c>
      <c r="H151">
        <f>E151/0.91</f>
        <v>0.23076923076923075</v>
      </c>
      <c r="I151">
        <f>AVERAGE(F151:H151)</f>
        <v>0.41195243157939404</v>
      </c>
      <c r="K151">
        <f>LN(I151)</f>
        <v>-0.88684739362988929</v>
      </c>
      <c r="L151">
        <f>I151*K151</f>
        <v>-0.36533894024568092</v>
      </c>
      <c r="M151">
        <f>SUM(L151:L153)</f>
        <v>-1.0757632015948242</v>
      </c>
      <c r="N151" s="1">
        <f>-(M151)</f>
        <v>1.0757632015948242</v>
      </c>
      <c r="O151" s="1">
        <v>13</v>
      </c>
      <c r="P151">
        <f>LN(O151)</f>
        <v>2.5649493574615367</v>
      </c>
      <c r="Q151">
        <f>N151/P151</f>
        <v>0.41940913900127796</v>
      </c>
      <c r="R151">
        <f>LN(D154)</f>
        <v>6.3385940782031831</v>
      </c>
      <c r="S151">
        <v>12</v>
      </c>
      <c r="T151" s="1">
        <f>S151/R151</f>
        <v>1.8931642966797568</v>
      </c>
    </row>
    <row r="152" spans="1:20" x14ac:dyDescent="0.25">
      <c r="B152" t="s">
        <v>82</v>
      </c>
      <c r="C152">
        <v>3.38</v>
      </c>
      <c r="D152">
        <v>352</v>
      </c>
      <c r="E152">
        <v>0.32</v>
      </c>
      <c r="F152">
        <f t="shared" ref="F152:F153" si="215">C152/51.35</f>
        <v>6.5822784810126572E-2</v>
      </c>
      <c r="G152">
        <f t="shared" ref="G152:G153" si="216">D152/566</f>
        <v>0.62190812720848054</v>
      </c>
      <c r="H152">
        <f t="shared" ref="H152:H153" si="217">E152/0.91</f>
        <v>0.35164835164835162</v>
      </c>
      <c r="I152">
        <f t="shared" ref="I152:I153" si="218">AVERAGE(F152:H152)</f>
        <v>0.34645975455565292</v>
      </c>
      <c r="K152">
        <f t="shared" ref="K152:K153" si="219">LN(I152)</f>
        <v>-1.0599886155664691</v>
      </c>
      <c r="L152">
        <f t="shared" ref="L152:L153" si="220">I152*K152</f>
        <v>-0.36724339558094521</v>
      </c>
    </row>
    <row r="153" spans="1:20" x14ac:dyDescent="0.25">
      <c r="B153" t="s">
        <v>83</v>
      </c>
      <c r="C153">
        <v>7.79</v>
      </c>
      <c r="D153">
        <v>88</v>
      </c>
      <c r="E153">
        <v>0.38</v>
      </c>
      <c r="F153">
        <f t="shared" si="215"/>
        <v>0.15170399221032133</v>
      </c>
      <c r="G153">
        <f t="shared" si="216"/>
        <v>0.15547703180212014</v>
      </c>
      <c r="H153">
        <f t="shared" si="217"/>
        <v>0.4175824175824176</v>
      </c>
      <c r="I153">
        <f t="shared" si="218"/>
        <v>0.24158781386495301</v>
      </c>
      <c r="K153">
        <f t="shared" si="219"/>
        <v>-1.4205222534942727</v>
      </c>
      <c r="L153">
        <f t="shared" si="220"/>
        <v>-0.34318086576819795</v>
      </c>
    </row>
    <row r="154" spans="1:20" x14ac:dyDescent="0.25">
      <c r="C154">
        <f>SUM(C151:C153)</f>
        <v>51.35</v>
      </c>
      <c r="D154">
        <f t="shared" ref="D154:E154" si="221">SUM(D151:D153)</f>
        <v>566</v>
      </c>
      <c r="E154">
        <f t="shared" si="221"/>
        <v>0.91</v>
      </c>
    </row>
    <row r="156" spans="1:20" x14ac:dyDescent="0.25">
      <c r="A156">
        <v>16</v>
      </c>
      <c r="B156" t="s">
        <v>81</v>
      </c>
      <c r="C156">
        <v>48.43</v>
      </c>
      <c r="D156">
        <v>122</v>
      </c>
      <c r="E156">
        <v>0.24</v>
      </c>
      <c r="F156">
        <f>C156/58.96</f>
        <v>0.82140434192672995</v>
      </c>
      <c r="G156">
        <f>D156/543</f>
        <v>0.22467771639042358</v>
      </c>
      <c r="H156">
        <f>E156/0.98</f>
        <v>0.24489795918367346</v>
      </c>
      <c r="I156">
        <f>AVERAGE(F156:H156)</f>
        <v>0.43032667250027568</v>
      </c>
      <c r="K156">
        <f>LN(I156)</f>
        <v>-0.8432106552341404</v>
      </c>
      <c r="L156">
        <f>I156*K156</f>
        <v>-0.36285603548368478</v>
      </c>
      <c r="M156">
        <f>SUM(L156:L158)</f>
        <v>-1.0664480548607109</v>
      </c>
      <c r="N156" s="1">
        <f>-(M156)</f>
        <v>1.0664480548607109</v>
      </c>
      <c r="O156" s="1">
        <v>14</v>
      </c>
      <c r="P156">
        <f>LN(O156)</f>
        <v>2.6390573296152584</v>
      </c>
      <c r="Q156">
        <f>N156/P156</f>
        <v>0.40410189005488023</v>
      </c>
      <c r="R156">
        <f>LN(D159)</f>
        <v>6.2971093199339352</v>
      </c>
      <c r="S156">
        <v>13</v>
      </c>
      <c r="T156" s="1">
        <f>S156/R156</f>
        <v>2.0644393069130307</v>
      </c>
    </row>
    <row r="157" spans="1:20" x14ac:dyDescent="0.25">
      <c r="B157" t="s">
        <v>82</v>
      </c>
      <c r="C157">
        <v>2.42</v>
      </c>
      <c r="D157">
        <v>342</v>
      </c>
      <c r="E157">
        <v>0.35</v>
      </c>
      <c r="F157">
        <f t="shared" ref="F157:F158" si="222">C157/58.96</f>
        <v>4.1044776119402986E-2</v>
      </c>
      <c r="G157">
        <f t="shared" ref="G157:G158" si="223">D157/543</f>
        <v>0.62983425414364635</v>
      </c>
      <c r="H157">
        <f t="shared" ref="H157:H158" si="224">E157/0.98</f>
        <v>0.35714285714285715</v>
      </c>
      <c r="I157">
        <f t="shared" ref="I157:I158" si="225">AVERAGE(F157:H157)</f>
        <v>0.34267396246863546</v>
      </c>
      <c r="K157">
        <f t="shared" ref="K157:K158" si="226">LN(I157)</f>
        <v>-1.0709758306109101</v>
      </c>
      <c r="L157">
        <f t="shared" ref="L157:L158" si="227">I157*K157</f>
        <v>-0.36699553158357867</v>
      </c>
    </row>
    <row r="158" spans="1:20" x14ac:dyDescent="0.25">
      <c r="B158" t="s">
        <v>83</v>
      </c>
      <c r="C158">
        <v>8.11</v>
      </c>
      <c r="D158">
        <v>79</v>
      </c>
      <c r="E158">
        <v>0.39</v>
      </c>
      <c r="F158">
        <f t="shared" si="222"/>
        <v>0.13755088195386703</v>
      </c>
      <c r="G158">
        <f t="shared" si="223"/>
        <v>0.14548802946593001</v>
      </c>
      <c r="H158">
        <f t="shared" si="224"/>
        <v>0.39795918367346939</v>
      </c>
      <c r="I158">
        <f t="shared" si="225"/>
        <v>0.22699936503108878</v>
      </c>
      <c r="K158">
        <f t="shared" si="226"/>
        <v>-1.4828080587245198</v>
      </c>
      <c r="L158">
        <f t="shared" si="227"/>
        <v>-0.33659648779344742</v>
      </c>
    </row>
    <row r="159" spans="1:20" x14ac:dyDescent="0.25">
      <c r="C159">
        <f>SUM(C156:C158)</f>
        <v>58.96</v>
      </c>
      <c r="D159">
        <f t="shared" ref="D159:E159" si="228">SUM(D156:D158)</f>
        <v>543</v>
      </c>
      <c r="E159">
        <f t="shared" si="228"/>
        <v>0.98</v>
      </c>
    </row>
    <row r="160" spans="1:20" x14ac:dyDescent="0.25">
      <c r="A160">
        <v>17</v>
      </c>
      <c r="B160" t="s">
        <v>81</v>
      </c>
      <c r="C160">
        <v>25.88</v>
      </c>
      <c r="D160">
        <v>123</v>
      </c>
      <c r="E160">
        <v>0.22</v>
      </c>
      <c r="F160">
        <f>C160/32.12</f>
        <v>0.80572851805728518</v>
      </c>
      <c r="G160">
        <f>D160/553</f>
        <v>0.22242314647377939</v>
      </c>
      <c r="H160">
        <f>E160/0.91</f>
        <v>0.24175824175824176</v>
      </c>
      <c r="I160">
        <f>AVERAGE(F160:H160)</f>
        <v>0.42330330209643546</v>
      </c>
      <c r="K160">
        <f>LN(I160)</f>
        <v>-0.85966633064364562</v>
      </c>
      <c r="L160">
        <f>I160*K160</f>
        <v>-0.3638995964625813</v>
      </c>
      <c r="M160">
        <f>SUM(L160:L162)</f>
        <v>-1.068580639712831</v>
      </c>
      <c r="N160" s="1">
        <f>-(M160)</f>
        <v>1.068580639712831</v>
      </c>
      <c r="O160" s="1">
        <v>13</v>
      </c>
      <c r="P160">
        <f>LN(O160)</f>
        <v>2.5649493574615367</v>
      </c>
      <c r="Q160">
        <f>N160/P160</f>
        <v>0.41660886465625085</v>
      </c>
      <c r="R160">
        <f>LN(D163)</f>
        <v>6.315358001522335</v>
      </c>
      <c r="S160">
        <v>12</v>
      </c>
      <c r="T160" s="1">
        <f>S160/R160</f>
        <v>1.900129810076858</v>
      </c>
    </row>
    <row r="161" spans="1:20" x14ac:dyDescent="0.25">
      <c r="B161" t="s">
        <v>82</v>
      </c>
      <c r="C161">
        <v>2.16</v>
      </c>
      <c r="D161">
        <v>352</v>
      </c>
      <c r="E161">
        <v>0.31</v>
      </c>
      <c r="F161">
        <f t="shared" ref="F161:F162" si="229">C161/32.12</f>
        <v>6.7247820672478212E-2</v>
      </c>
      <c r="G161">
        <f t="shared" ref="G161:G162" si="230">D161/553</f>
        <v>0.63652802893309224</v>
      </c>
      <c r="H161">
        <f t="shared" ref="H161:H162" si="231">E161/0.91</f>
        <v>0.34065934065934067</v>
      </c>
      <c r="I161">
        <f t="shared" ref="I161:I162" si="232">AVERAGE(F161:H161)</f>
        <v>0.34814506342163704</v>
      </c>
      <c r="K161">
        <f t="shared" ref="K161:K162" si="233">LN(I161)</f>
        <v>-1.055136037152284</v>
      </c>
      <c r="L161">
        <f t="shared" ref="L161:L162" si="234">I161*K161</f>
        <v>-0.36734040257283668</v>
      </c>
    </row>
    <row r="162" spans="1:20" x14ac:dyDescent="0.25">
      <c r="B162" t="s">
        <v>83</v>
      </c>
      <c r="C162">
        <v>4.08</v>
      </c>
      <c r="D162">
        <v>78</v>
      </c>
      <c r="E162">
        <v>0.38</v>
      </c>
      <c r="F162">
        <f t="shared" si="229"/>
        <v>0.12702366127023662</v>
      </c>
      <c r="G162">
        <f t="shared" si="230"/>
        <v>0.1410488245931284</v>
      </c>
      <c r="H162">
        <f t="shared" si="231"/>
        <v>0.4175824175824176</v>
      </c>
      <c r="I162">
        <f t="shared" si="232"/>
        <v>0.22855163448192753</v>
      </c>
      <c r="K162">
        <f t="shared" si="233"/>
        <v>-1.475993122701067</v>
      </c>
      <c r="L162">
        <f t="shared" si="234"/>
        <v>-0.3373406406774131</v>
      </c>
    </row>
    <row r="163" spans="1:20" x14ac:dyDescent="0.25">
      <c r="C163">
        <f>SUM(C160:C162)</f>
        <v>32.119999999999997</v>
      </c>
      <c r="D163">
        <f t="shared" ref="D163:E163" si="235">SUM(D160:D162)</f>
        <v>553</v>
      </c>
      <c r="E163">
        <f t="shared" si="235"/>
        <v>0.91</v>
      </c>
    </row>
    <row r="164" spans="1:20" x14ac:dyDescent="0.25">
      <c r="A164">
        <v>18</v>
      </c>
      <c r="B164" t="s">
        <v>81</v>
      </c>
      <c r="C164">
        <v>49.78</v>
      </c>
      <c r="D164">
        <v>123</v>
      </c>
      <c r="E164">
        <v>0.22</v>
      </c>
      <c r="F164">
        <f>C164/58.48</f>
        <v>0.85123119015047888</v>
      </c>
      <c r="G164">
        <f>D164/533</f>
        <v>0.23076923076923078</v>
      </c>
      <c r="H164">
        <f>E164/0.97</f>
        <v>0.22680412371134021</v>
      </c>
      <c r="I164">
        <f>AVERAGE(F164:H164)</f>
        <v>0.4362681815436833</v>
      </c>
      <c r="K164">
        <f>LN(I164)</f>
        <v>-0.82949812944299306</v>
      </c>
      <c r="L164">
        <f>I164*K164</f>
        <v>-0.36188364052598143</v>
      </c>
      <c r="M164">
        <f>SUM(L164:L166)</f>
        <v>-1.0648428133338261</v>
      </c>
      <c r="N164" s="1">
        <f>-(M164)</f>
        <v>1.0648428133338261</v>
      </c>
      <c r="O164" s="1">
        <v>14</v>
      </c>
      <c r="P164">
        <f>LN(O164)</f>
        <v>2.6390573296152584</v>
      </c>
      <c r="Q164">
        <f>N164/P164</f>
        <v>0.40349362682813217</v>
      </c>
      <c r="R164">
        <f>LN(D167)</f>
        <v>6.2785214241658442</v>
      </c>
      <c r="S164">
        <v>13</v>
      </c>
      <c r="T164" s="1">
        <f>S164/R164</f>
        <v>2.0705511890050072</v>
      </c>
    </row>
    <row r="165" spans="1:20" x14ac:dyDescent="0.25">
      <c r="B165" t="s">
        <v>82</v>
      </c>
      <c r="C165">
        <v>3.1</v>
      </c>
      <c r="D165">
        <v>324</v>
      </c>
      <c r="E165">
        <v>0.34</v>
      </c>
      <c r="F165">
        <f t="shared" ref="F165:F166" si="236">C165/58.48</f>
        <v>5.3009575923392616E-2</v>
      </c>
      <c r="G165">
        <f t="shared" ref="G165:G166" si="237">D165/533</f>
        <v>0.60787992495309573</v>
      </c>
      <c r="H165">
        <f t="shared" ref="H165:H166" si="238">E165/0.97</f>
        <v>0.3505154639175258</v>
      </c>
      <c r="I165">
        <f t="shared" ref="I165:I166" si="239">AVERAGE(F165:H165)</f>
        <v>0.33713498826467142</v>
      </c>
      <c r="K165">
        <f t="shared" ref="K165:K166" si="240">LN(I165)</f>
        <v>-1.0872718701830979</v>
      </c>
      <c r="L165">
        <f t="shared" ref="L165:L166" si="241">I165*K165</f>
        <v>-0.36655738919468606</v>
      </c>
    </row>
    <row r="166" spans="1:20" x14ac:dyDescent="0.25">
      <c r="B166" t="s">
        <v>83</v>
      </c>
      <c r="C166">
        <v>5.6</v>
      </c>
      <c r="D166">
        <v>86</v>
      </c>
      <c r="E166">
        <v>0.41</v>
      </c>
      <c r="F166">
        <f t="shared" si="236"/>
        <v>9.575923392612859E-2</v>
      </c>
      <c r="G166">
        <f t="shared" si="237"/>
        <v>0.16135084427767354</v>
      </c>
      <c r="H166">
        <f t="shared" si="238"/>
        <v>0.42268041237113402</v>
      </c>
      <c r="I166">
        <f t="shared" si="239"/>
        <v>0.22659683019164537</v>
      </c>
      <c r="K166">
        <f t="shared" si="240"/>
        <v>-1.4845829190489785</v>
      </c>
      <c r="L166">
        <f t="shared" si="241"/>
        <v>-0.33640178361315859</v>
      </c>
    </row>
    <row r="167" spans="1:20" x14ac:dyDescent="0.25">
      <c r="C167">
        <f>SUM(C164:C166)</f>
        <v>58.480000000000004</v>
      </c>
      <c r="D167">
        <f t="shared" ref="D167:E167" si="242">SUM(D164:D166)</f>
        <v>533</v>
      </c>
      <c r="E167">
        <f t="shared" si="242"/>
        <v>0.97</v>
      </c>
    </row>
    <row r="170" spans="1:20" x14ac:dyDescent="0.25">
      <c r="A170" t="s">
        <v>14</v>
      </c>
    </row>
    <row r="171" spans="1:20" x14ac:dyDescent="0.25">
      <c r="A171">
        <v>1</v>
      </c>
      <c r="B171" t="s">
        <v>84</v>
      </c>
      <c r="C171">
        <v>28.69</v>
      </c>
      <c r="D171">
        <v>132</v>
      </c>
      <c r="E171">
        <v>0.32</v>
      </c>
      <c r="F171">
        <f>C171/37.89</f>
        <v>0.75719187120612297</v>
      </c>
      <c r="G171">
        <f>D171/513</f>
        <v>0.25730994152046782</v>
      </c>
      <c r="H171">
        <f>E171/0.89</f>
        <v>0.3595505617977528</v>
      </c>
      <c r="I171">
        <f>AVERAGE(F171:H171)</f>
        <v>0.45801745817478118</v>
      </c>
      <c r="K171">
        <f>LN(I171)</f>
        <v>-0.78084797730888711</v>
      </c>
      <c r="L171">
        <f>I171*K171</f>
        <v>-0.3576420057879357</v>
      </c>
      <c r="M171">
        <f>SUM(L171:L173)</f>
        <v>-1.0535076152072151</v>
      </c>
      <c r="N171" s="1">
        <f>-(M171)</f>
        <v>1.0535076152072151</v>
      </c>
      <c r="O171" s="1">
        <v>13</v>
      </c>
      <c r="P171">
        <f>LN(O171)</f>
        <v>2.5649493574615367</v>
      </c>
      <c r="Q171">
        <f>N171/P171</f>
        <v>0.41073232582254338</v>
      </c>
      <c r="R171">
        <f>LN(D174)</f>
        <v>6.2402758451707694</v>
      </c>
      <c r="S171">
        <v>12</v>
      </c>
      <c r="T171" s="1">
        <f>S171/R171</f>
        <v>1.9229919153792812</v>
      </c>
    </row>
    <row r="172" spans="1:20" x14ac:dyDescent="0.25">
      <c r="B172" t="s">
        <v>82</v>
      </c>
      <c r="C172">
        <v>2</v>
      </c>
      <c r="D172">
        <v>321</v>
      </c>
      <c r="E172">
        <v>0.27</v>
      </c>
      <c r="F172">
        <f t="shared" ref="F172:F173" si="243">C172/37.89</f>
        <v>5.2784375824755869E-2</v>
      </c>
      <c r="G172">
        <f t="shared" ref="G172:G173" si="244">D172/513</f>
        <v>0.6257309941520468</v>
      </c>
      <c r="H172">
        <f t="shared" ref="H172:H173" si="245">E172/0.89</f>
        <v>0.30337078651685395</v>
      </c>
      <c r="I172">
        <f t="shared" ref="I172:I173" si="246">AVERAGE(F172:H172)</f>
        <v>0.32729538549788556</v>
      </c>
      <c r="K172">
        <f t="shared" ref="K172:K173" si="247">LN(I172)</f>
        <v>-1.1168921962670706</v>
      </c>
      <c r="L172">
        <f t="shared" ref="L172:L173" si="248">I172*K172</f>
        <v>-0.36555366193681094</v>
      </c>
    </row>
    <row r="173" spans="1:20" x14ac:dyDescent="0.25">
      <c r="B173" t="s">
        <v>83</v>
      </c>
      <c r="C173">
        <v>7.2</v>
      </c>
      <c r="D173">
        <v>60</v>
      </c>
      <c r="E173">
        <v>0.3</v>
      </c>
      <c r="F173">
        <f t="shared" si="243"/>
        <v>0.19002375296912113</v>
      </c>
      <c r="G173">
        <f t="shared" si="244"/>
        <v>0.11695906432748537</v>
      </c>
      <c r="H173">
        <f t="shared" si="245"/>
        <v>0.33707865168539325</v>
      </c>
      <c r="I173">
        <f t="shared" si="246"/>
        <v>0.21468715632733323</v>
      </c>
      <c r="K173">
        <f t="shared" si="247"/>
        <v>-1.5385733973710201</v>
      </c>
      <c r="L173">
        <f t="shared" si="248"/>
        <v>-0.33031194748246839</v>
      </c>
    </row>
    <row r="174" spans="1:20" x14ac:dyDescent="0.25">
      <c r="C174">
        <f>SUM(C171:C173)</f>
        <v>37.89</v>
      </c>
      <c r="D174">
        <f t="shared" ref="D174:E174" si="249">SUM(D171:D173)</f>
        <v>513</v>
      </c>
      <c r="E174">
        <f t="shared" si="249"/>
        <v>0.89000000000000012</v>
      </c>
    </row>
    <row r="176" spans="1:20" x14ac:dyDescent="0.25">
      <c r="A176">
        <v>2</v>
      </c>
      <c r="B176" t="s">
        <v>84</v>
      </c>
      <c r="C176">
        <v>32.58</v>
      </c>
      <c r="D176">
        <v>140</v>
      </c>
      <c r="E176">
        <v>0.3</v>
      </c>
      <c r="F176">
        <f>C176/39.92</f>
        <v>0.81613226452905807</v>
      </c>
      <c r="G176">
        <f>D176/559</f>
        <v>0.25044722719141321</v>
      </c>
      <c r="H176">
        <f>E176/0.81</f>
        <v>0.37037037037037035</v>
      </c>
      <c r="I176">
        <f>AVERAGE(F176:H176)</f>
        <v>0.4789832873636139</v>
      </c>
      <c r="K176">
        <f>LN(I176)</f>
        <v>-0.73608957286130638</v>
      </c>
      <c r="L176">
        <f>I176*K176</f>
        <v>-0.35257460340318691</v>
      </c>
      <c r="M176">
        <f>SUM(L176:L178)</f>
        <v>-1.038475509767685</v>
      </c>
      <c r="N176" s="1">
        <f>-(M176)</f>
        <v>1.038475509767685</v>
      </c>
      <c r="O176" s="1">
        <v>14</v>
      </c>
      <c r="P176">
        <f>LN(O176)</f>
        <v>2.6390573296152584</v>
      </c>
      <c r="Q176">
        <f>N176/P176</f>
        <v>0.39350244426826519</v>
      </c>
      <c r="R176">
        <f>LN(D179)</f>
        <v>6.3261494731550991</v>
      </c>
      <c r="S176">
        <v>13</v>
      </c>
      <c r="T176" s="1">
        <f>S176/R176</f>
        <v>2.0549625100015838</v>
      </c>
    </row>
    <row r="177" spans="1:20" x14ac:dyDescent="0.25">
      <c r="B177" t="s">
        <v>82</v>
      </c>
      <c r="C177">
        <v>2.08</v>
      </c>
      <c r="D177">
        <v>360</v>
      </c>
      <c r="E177">
        <v>0.22</v>
      </c>
      <c r="F177">
        <f t="shared" ref="F177:F178" si="250">C177/39.92</f>
        <v>5.2104208416833664E-2</v>
      </c>
      <c r="G177">
        <f t="shared" ref="G177:G178" si="251">D177/559</f>
        <v>0.64400715563506261</v>
      </c>
      <c r="H177">
        <f t="shared" ref="H177:H178" si="252">E177/0.81</f>
        <v>0.27160493827160492</v>
      </c>
      <c r="I177">
        <f t="shared" ref="I177:I178" si="253">AVERAGE(F177:H177)</f>
        <v>0.32257210077450044</v>
      </c>
      <c r="K177">
        <f t="shared" ref="K177:K178" si="254">LN(I177)</f>
        <v>-1.1314285994409519</v>
      </c>
      <c r="L177">
        <f t="shared" ref="L177:L178" si="255">I177*K177</f>
        <v>-0.3649673001980186</v>
      </c>
    </row>
    <row r="178" spans="1:20" x14ac:dyDescent="0.25">
      <c r="B178" t="s">
        <v>83</v>
      </c>
      <c r="C178">
        <v>5.26</v>
      </c>
      <c r="D178">
        <v>59</v>
      </c>
      <c r="E178">
        <v>0.28999999999999998</v>
      </c>
      <c r="F178">
        <f t="shared" si="250"/>
        <v>0.13176352705410821</v>
      </c>
      <c r="G178">
        <f t="shared" si="251"/>
        <v>0.10554561717352415</v>
      </c>
      <c r="H178">
        <f t="shared" si="252"/>
        <v>0.35802469135802462</v>
      </c>
      <c r="I178">
        <f t="shared" si="253"/>
        <v>0.19844461186188567</v>
      </c>
      <c r="K178">
        <f t="shared" si="254"/>
        <v>-1.6172452512333479</v>
      </c>
      <c r="L178">
        <f t="shared" si="255"/>
        <v>-0.32093360616647948</v>
      </c>
    </row>
    <row r="179" spans="1:20" x14ac:dyDescent="0.25">
      <c r="C179">
        <f>SUM(C176:C178)</f>
        <v>39.919999999999995</v>
      </c>
      <c r="D179">
        <f t="shared" ref="D179:E179" si="256">SUM(D176:D178)</f>
        <v>559</v>
      </c>
      <c r="E179">
        <f t="shared" si="256"/>
        <v>0.81</v>
      </c>
    </row>
    <row r="181" spans="1:20" x14ac:dyDescent="0.25">
      <c r="A181">
        <v>3</v>
      </c>
      <c r="B181" t="s">
        <v>84</v>
      </c>
      <c r="C181">
        <v>42.48</v>
      </c>
      <c r="D181">
        <v>135</v>
      </c>
      <c r="E181">
        <v>0.28000000000000003</v>
      </c>
      <c r="F181">
        <f>C181/54.18</f>
        <v>0.78405315614617932</v>
      </c>
      <c r="G181">
        <f>D181/556</f>
        <v>0.24280575539568344</v>
      </c>
      <c r="H181">
        <f>E181/0.8</f>
        <v>0.35000000000000003</v>
      </c>
      <c r="I181">
        <f>AVERAGE(F181:H181)</f>
        <v>0.45895297051395428</v>
      </c>
      <c r="K181">
        <f>LN(I181)</f>
        <v>-0.77880753492496579</v>
      </c>
      <c r="L181">
        <f>I181*K181</f>
        <v>-0.35743603161246323</v>
      </c>
      <c r="M181">
        <f>SUM(L181:L183)</f>
        <v>-1.0477923971918626</v>
      </c>
      <c r="N181" s="1">
        <f>-(M181)</f>
        <v>1.0477923971918626</v>
      </c>
      <c r="O181" s="1">
        <v>13</v>
      </c>
      <c r="P181">
        <f>LN(O181)</f>
        <v>2.5649493574615367</v>
      </c>
      <c r="Q181">
        <f>N181/P181</f>
        <v>0.40850412665801528</v>
      </c>
      <c r="R181">
        <f>LN(D184)</f>
        <v>6.3207682942505823</v>
      </c>
      <c r="S181">
        <f>12</f>
        <v>12</v>
      </c>
      <c r="T181" s="1">
        <f>S181/R181</f>
        <v>1.8985033846146977</v>
      </c>
    </row>
    <row r="182" spans="1:20" x14ac:dyDescent="0.25">
      <c r="B182" t="s">
        <v>82</v>
      </c>
      <c r="C182">
        <v>4.8600000000000003</v>
      </c>
      <c r="D182">
        <v>361</v>
      </c>
      <c r="E182">
        <v>0.22</v>
      </c>
      <c r="F182">
        <f t="shared" ref="F182:F183" si="257">C182/54.18</f>
        <v>8.9700996677740868E-2</v>
      </c>
      <c r="G182">
        <f t="shared" ref="G182:G183" si="258">D182/556</f>
        <v>0.64928057553956831</v>
      </c>
      <c r="H182">
        <f t="shared" ref="H182:H183" si="259">E182/0.8</f>
        <v>0.27499999999999997</v>
      </c>
      <c r="I182">
        <f t="shared" ref="I182:I183" si="260">AVERAGE(F182:H182)</f>
        <v>0.3379938574057697</v>
      </c>
      <c r="K182">
        <f t="shared" ref="K182:K183" si="261">LN(I182)</f>
        <v>-1.0847275570199666</v>
      </c>
      <c r="L182">
        <f t="shared" ref="L182:L183" si="262">I182*K182</f>
        <v>-0.36663125123151552</v>
      </c>
    </row>
    <row r="183" spans="1:20" x14ac:dyDescent="0.25">
      <c r="B183" t="s">
        <v>83</v>
      </c>
      <c r="C183">
        <v>6.84</v>
      </c>
      <c r="D183">
        <v>60</v>
      </c>
      <c r="E183">
        <v>0.3</v>
      </c>
      <c r="F183">
        <f t="shared" si="257"/>
        <v>0.12624584717607973</v>
      </c>
      <c r="G183">
        <f t="shared" si="258"/>
        <v>0.1079136690647482</v>
      </c>
      <c r="H183">
        <f t="shared" si="259"/>
        <v>0.37499999999999994</v>
      </c>
      <c r="I183">
        <f t="shared" si="260"/>
        <v>0.20305317208027596</v>
      </c>
      <c r="K183">
        <f t="shared" si="261"/>
        <v>-1.5942874028084668</v>
      </c>
      <c r="L183">
        <f t="shared" si="262"/>
        <v>-0.32372511434788387</v>
      </c>
    </row>
    <row r="184" spans="1:20" x14ac:dyDescent="0.25">
      <c r="C184">
        <f>SUM(C181:C183)</f>
        <v>54.179999999999993</v>
      </c>
      <c r="D184">
        <f t="shared" ref="D184:E184" si="263">SUM(D181:D183)</f>
        <v>556</v>
      </c>
      <c r="E184">
        <f t="shared" si="263"/>
        <v>0.8</v>
      </c>
    </row>
    <row r="186" spans="1:20" x14ac:dyDescent="0.25">
      <c r="A186">
        <v>4</v>
      </c>
      <c r="B186" t="s">
        <v>84</v>
      </c>
      <c r="C186">
        <v>29.43</v>
      </c>
      <c r="D186">
        <v>138</v>
      </c>
      <c r="E186">
        <v>0.35</v>
      </c>
      <c r="F186">
        <f>C186/38.82</f>
        <v>0.75811437403400306</v>
      </c>
      <c r="G186">
        <f>D186/555</f>
        <v>0.24864864864864866</v>
      </c>
      <c r="H186">
        <f>E186/0.83</f>
        <v>0.42168674698795178</v>
      </c>
      <c r="I186">
        <f>AVERAGE(F186:H186)</f>
        <v>0.47614992322353444</v>
      </c>
      <c r="K186">
        <f>LN(I186)</f>
        <v>-0.7420225095863785</v>
      </c>
      <c r="L186">
        <f>I186*K186</f>
        <v>-0.35331396096968848</v>
      </c>
      <c r="M186">
        <f>SUM(L186:L188)</f>
        <v>-1.0360610921424229</v>
      </c>
      <c r="N186" s="1">
        <f>-(M186)</f>
        <v>1.0360610921424229</v>
      </c>
      <c r="O186" s="1">
        <v>13</v>
      </c>
      <c r="P186">
        <f>LN(O186)</f>
        <v>2.5649493574615367</v>
      </c>
      <c r="Q186">
        <f>N186/P186</f>
        <v>0.40393042814996766</v>
      </c>
      <c r="R186">
        <f>LN(D189)</f>
        <v>6.3189681137464344</v>
      </c>
      <c r="S186">
        <v>12</v>
      </c>
      <c r="T186" s="1">
        <f>S186/R186</f>
        <v>1.8990442401339094</v>
      </c>
    </row>
    <row r="187" spans="1:20" x14ac:dyDescent="0.25">
      <c r="B187" t="s">
        <v>82</v>
      </c>
      <c r="C187">
        <v>3.84</v>
      </c>
      <c r="D187">
        <v>351</v>
      </c>
      <c r="E187">
        <v>0.22</v>
      </c>
      <c r="F187">
        <f t="shared" ref="F187:F188" si="264">C187/38.82</f>
        <v>9.8918083462132919E-2</v>
      </c>
      <c r="G187">
        <f t="shared" ref="G187:G188" si="265">D187/555</f>
        <v>0.63243243243243241</v>
      </c>
      <c r="H187">
        <f t="shared" ref="H187:H188" si="266">E187/0.83</f>
        <v>0.26506024096385544</v>
      </c>
      <c r="I187">
        <f t="shared" ref="I187:I188" si="267">AVERAGE(F187:H187)</f>
        <v>0.33213691895280695</v>
      </c>
      <c r="K187">
        <f t="shared" ref="K187:K188" si="268">LN(I187)</f>
        <v>-1.1022079885974712</v>
      </c>
      <c r="L187">
        <f t="shared" ref="L187:L188" si="269">I187*K187</f>
        <v>-0.36608396537793464</v>
      </c>
    </row>
    <row r="188" spans="1:20" x14ac:dyDescent="0.25">
      <c r="B188" t="s">
        <v>85</v>
      </c>
      <c r="C188">
        <v>5.55</v>
      </c>
      <c r="D188">
        <v>66</v>
      </c>
      <c r="E188">
        <v>0.26</v>
      </c>
      <c r="F188">
        <f t="shared" si="264"/>
        <v>0.14296754250386398</v>
      </c>
      <c r="G188">
        <f t="shared" si="265"/>
        <v>0.11891891891891893</v>
      </c>
      <c r="H188">
        <f t="shared" si="266"/>
        <v>0.31325301204819278</v>
      </c>
      <c r="I188">
        <f t="shared" si="267"/>
        <v>0.19171315782365858</v>
      </c>
      <c r="K188">
        <f t="shared" si="268"/>
        <v>-1.6517549937082185</v>
      </c>
      <c r="L188">
        <f t="shared" si="269"/>
        <v>-0.31666316579479986</v>
      </c>
    </row>
    <row r="189" spans="1:20" x14ac:dyDescent="0.25">
      <c r="C189">
        <f>SUM(C186:C188)</f>
        <v>38.819999999999993</v>
      </c>
      <c r="D189">
        <f t="shared" ref="D189:E189" si="270">SUM(D186:D188)</f>
        <v>555</v>
      </c>
      <c r="E189">
        <f t="shared" si="270"/>
        <v>0.83</v>
      </c>
    </row>
    <row r="190" spans="1:20" x14ac:dyDescent="0.25">
      <c r="A190">
        <v>5</v>
      </c>
      <c r="B190" t="s">
        <v>81</v>
      </c>
      <c r="C190">
        <v>28.69</v>
      </c>
      <c r="D190">
        <v>132</v>
      </c>
      <c r="E190">
        <v>0.32</v>
      </c>
      <c r="F190">
        <f>C190/37.89</f>
        <v>0.75719187120612297</v>
      </c>
      <c r="G190">
        <f>D190/513</f>
        <v>0.25730994152046782</v>
      </c>
      <c r="H190">
        <f>E190/0.89</f>
        <v>0.3595505617977528</v>
      </c>
      <c r="I190">
        <f>AVERAGE(F190:H190)</f>
        <v>0.45801745817478118</v>
      </c>
      <c r="K190">
        <f>LN(I190)</f>
        <v>-0.78084797730888711</v>
      </c>
      <c r="L190">
        <f>K190*I190</f>
        <v>-0.3576420057879357</v>
      </c>
      <c r="M190">
        <f>SUM(L190:L192)</f>
        <v>-1.0535076152072151</v>
      </c>
      <c r="N190" s="1">
        <f>-(M190)</f>
        <v>1.0535076152072151</v>
      </c>
      <c r="O190" s="1">
        <v>11</v>
      </c>
      <c r="P190">
        <f>LN(O190)</f>
        <v>2.3978952727983707</v>
      </c>
      <c r="Q190">
        <f>N190/P190</f>
        <v>0.43934680015351962</v>
      </c>
      <c r="R190">
        <f>LN(D193)</f>
        <v>6.2402758451707694</v>
      </c>
      <c r="S190">
        <v>10</v>
      </c>
      <c r="T190" s="1">
        <f>S190/R190</f>
        <v>1.6024932628160675</v>
      </c>
    </row>
    <row r="191" spans="1:20" x14ac:dyDescent="0.25">
      <c r="B191" t="s">
        <v>82</v>
      </c>
      <c r="C191">
        <v>2</v>
      </c>
      <c r="D191">
        <v>321</v>
      </c>
      <c r="E191">
        <v>0.27</v>
      </c>
      <c r="F191">
        <f t="shared" ref="F191:F192" si="271">C191/37.89</f>
        <v>5.2784375824755869E-2</v>
      </c>
      <c r="G191">
        <f t="shared" ref="G191:G192" si="272">D191/513</f>
        <v>0.6257309941520468</v>
      </c>
      <c r="H191">
        <f t="shared" ref="H191:H192" si="273">E191/0.89</f>
        <v>0.30337078651685395</v>
      </c>
      <c r="I191">
        <f t="shared" ref="I191:I192" si="274">AVERAGE(F191:H191)</f>
        <v>0.32729538549788556</v>
      </c>
      <c r="K191">
        <f t="shared" ref="K191:K192" si="275">LN(I191)</f>
        <v>-1.1168921962670706</v>
      </c>
      <c r="L191">
        <f t="shared" ref="L191:L192" si="276">K191*I191</f>
        <v>-0.36555366193681094</v>
      </c>
    </row>
    <row r="192" spans="1:20" x14ac:dyDescent="0.25">
      <c r="B192" t="s">
        <v>83</v>
      </c>
      <c r="C192">
        <v>7.2</v>
      </c>
      <c r="D192">
        <v>60</v>
      </c>
      <c r="E192">
        <v>0.3</v>
      </c>
      <c r="F192">
        <f t="shared" si="271"/>
        <v>0.19002375296912113</v>
      </c>
      <c r="G192">
        <f t="shared" si="272"/>
        <v>0.11695906432748537</v>
      </c>
      <c r="H192">
        <f t="shared" si="273"/>
        <v>0.33707865168539325</v>
      </c>
      <c r="I192">
        <f t="shared" si="274"/>
        <v>0.21468715632733323</v>
      </c>
      <c r="K192">
        <f t="shared" si="275"/>
        <v>-1.5385733973710201</v>
      </c>
      <c r="L192">
        <f t="shared" si="276"/>
        <v>-0.33031194748246839</v>
      </c>
    </row>
    <row r="193" spans="1:20" x14ac:dyDescent="0.25">
      <c r="C193">
        <f>SUM(C190:C192)</f>
        <v>37.89</v>
      </c>
      <c r="D193">
        <f t="shared" ref="D193:E193" si="277">SUM(D190:D192)</f>
        <v>513</v>
      </c>
      <c r="E193">
        <f t="shared" si="277"/>
        <v>0.89000000000000012</v>
      </c>
    </row>
    <row r="194" spans="1:20" x14ac:dyDescent="0.25">
      <c r="A194">
        <v>6</v>
      </c>
      <c r="B194" t="s">
        <v>81</v>
      </c>
      <c r="C194">
        <v>32.58</v>
      </c>
      <c r="D194">
        <v>140</v>
      </c>
      <c r="E194">
        <v>0.3</v>
      </c>
      <c r="F194">
        <f>C194/39.92</f>
        <v>0.81613226452905807</v>
      </c>
      <c r="G194">
        <f>D194/559</f>
        <v>0.25044722719141321</v>
      </c>
      <c r="H194">
        <f>E194/0.81</f>
        <v>0.37037037037037035</v>
      </c>
      <c r="I194">
        <f>AVERAGE(F194:H194)</f>
        <v>0.4789832873636139</v>
      </c>
      <c r="K194">
        <f>LN(I194)</f>
        <v>-0.73608957286130638</v>
      </c>
      <c r="L194">
        <f>I194*K194</f>
        <v>-0.35257460340318691</v>
      </c>
      <c r="M194">
        <f>SUM(L194:L196)</f>
        <v>-1.038475509767685</v>
      </c>
      <c r="N194" s="1">
        <f>-(M194)</f>
        <v>1.038475509767685</v>
      </c>
      <c r="O194" s="1">
        <v>13</v>
      </c>
      <c r="P194">
        <f>LN(O194)</f>
        <v>2.5649493574615367</v>
      </c>
      <c r="Q194">
        <f>N194/P194</f>
        <v>0.40487174015608518</v>
      </c>
      <c r="R194">
        <f>LN(D197)</f>
        <v>6.3261494731550991</v>
      </c>
      <c r="S194">
        <v>12</v>
      </c>
      <c r="T194" s="1">
        <f>S194/R194</f>
        <v>1.8968884707706928</v>
      </c>
    </row>
    <row r="195" spans="1:20" x14ac:dyDescent="0.25">
      <c r="B195" t="s">
        <v>82</v>
      </c>
      <c r="C195">
        <v>2.08</v>
      </c>
      <c r="D195">
        <v>360</v>
      </c>
      <c r="E195">
        <v>0.22</v>
      </c>
      <c r="F195">
        <f t="shared" ref="F195:F196" si="278">C195/39.92</f>
        <v>5.2104208416833664E-2</v>
      </c>
      <c r="G195">
        <f t="shared" ref="G195:G196" si="279">D195/559</f>
        <v>0.64400715563506261</v>
      </c>
      <c r="H195">
        <f t="shared" ref="H195:H196" si="280">E195/0.81</f>
        <v>0.27160493827160492</v>
      </c>
      <c r="I195">
        <f t="shared" ref="I195:I196" si="281">AVERAGE(F195:H195)</f>
        <v>0.32257210077450044</v>
      </c>
      <c r="K195">
        <f t="shared" ref="K195:K196" si="282">LN(I195)</f>
        <v>-1.1314285994409519</v>
      </c>
      <c r="L195">
        <f t="shared" ref="L195:L196" si="283">I195*K195</f>
        <v>-0.3649673001980186</v>
      </c>
    </row>
    <row r="196" spans="1:20" x14ac:dyDescent="0.25">
      <c r="B196" t="s">
        <v>83</v>
      </c>
      <c r="C196">
        <v>5.26</v>
      </c>
      <c r="D196">
        <v>59</v>
      </c>
      <c r="E196">
        <v>0.28999999999999998</v>
      </c>
      <c r="F196">
        <f t="shared" si="278"/>
        <v>0.13176352705410821</v>
      </c>
      <c r="G196">
        <f t="shared" si="279"/>
        <v>0.10554561717352415</v>
      </c>
      <c r="H196">
        <f t="shared" si="280"/>
        <v>0.35802469135802462</v>
      </c>
      <c r="I196">
        <f t="shared" si="281"/>
        <v>0.19844461186188567</v>
      </c>
      <c r="K196">
        <f t="shared" si="282"/>
        <v>-1.6172452512333479</v>
      </c>
      <c r="L196">
        <f t="shared" si="283"/>
        <v>-0.32093360616647948</v>
      </c>
    </row>
    <row r="197" spans="1:20" x14ac:dyDescent="0.25">
      <c r="C197">
        <f>SUM(C194:C196)</f>
        <v>39.919999999999995</v>
      </c>
      <c r="D197">
        <f t="shared" ref="D197:E197" si="284">SUM(D194:D196)</f>
        <v>559</v>
      </c>
      <c r="E197">
        <f t="shared" si="284"/>
        <v>0.81</v>
      </c>
    </row>
    <row r="198" spans="1:20" x14ac:dyDescent="0.25">
      <c r="A198">
        <v>7</v>
      </c>
      <c r="B198" t="s">
        <v>81</v>
      </c>
      <c r="C198">
        <v>42.48</v>
      </c>
      <c r="D198">
        <v>135</v>
      </c>
      <c r="E198">
        <v>0.28000000000000003</v>
      </c>
      <c r="F198">
        <f>C198/54.18</f>
        <v>0.78405315614617932</v>
      </c>
      <c r="G198">
        <f>D198/556</f>
        <v>0.24280575539568344</v>
      </c>
      <c r="H198">
        <f>E198/0.8</f>
        <v>0.35000000000000003</v>
      </c>
      <c r="I198">
        <f>AVERAGE(F198:H198)</f>
        <v>0.45895297051395428</v>
      </c>
      <c r="K198">
        <f>LN(I198)</f>
        <v>-0.77880753492496579</v>
      </c>
      <c r="L198">
        <f>I198*K198</f>
        <v>-0.35743603161246323</v>
      </c>
      <c r="M198">
        <f>SUM(L198:L200)</f>
        <v>-1.0477923971918626</v>
      </c>
      <c r="N198" s="1">
        <f>-(M198)</f>
        <v>1.0477923971918626</v>
      </c>
      <c r="O198" s="1">
        <v>12</v>
      </c>
      <c r="P198">
        <f>LN(O198)</f>
        <v>2.4849066497880004</v>
      </c>
      <c r="Q198">
        <f>N198/P198</f>
        <v>0.42166267987622591</v>
      </c>
      <c r="R198">
        <f>LN(D201)</f>
        <v>6.3207682942505823</v>
      </c>
      <c r="S198">
        <v>11</v>
      </c>
      <c r="T198" s="1">
        <f>S198/R198</f>
        <v>1.7402947692301396</v>
      </c>
    </row>
    <row r="199" spans="1:20" x14ac:dyDescent="0.25">
      <c r="B199" t="s">
        <v>82</v>
      </c>
      <c r="C199">
        <v>4.8600000000000003</v>
      </c>
      <c r="D199">
        <v>361</v>
      </c>
      <c r="E199">
        <v>0.22</v>
      </c>
      <c r="F199">
        <f t="shared" ref="F199:F200" si="285">C199/54.18</f>
        <v>8.9700996677740868E-2</v>
      </c>
      <c r="G199">
        <f t="shared" ref="G199:G200" si="286">D199/556</f>
        <v>0.64928057553956831</v>
      </c>
      <c r="H199">
        <f t="shared" ref="H199:H200" si="287">E199/0.8</f>
        <v>0.27499999999999997</v>
      </c>
      <c r="I199">
        <f t="shared" ref="I199:I200" si="288">AVERAGE(F199:H199)</f>
        <v>0.3379938574057697</v>
      </c>
      <c r="K199">
        <f t="shared" ref="K199:K200" si="289">LN(I199)</f>
        <v>-1.0847275570199666</v>
      </c>
      <c r="L199">
        <f t="shared" ref="L199:L200" si="290">I199*K199</f>
        <v>-0.36663125123151552</v>
      </c>
    </row>
    <row r="200" spans="1:20" x14ac:dyDescent="0.25">
      <c r="B200" t="s">
        <v>83</v>
      </c>
      <c r="C200">
        <v>6.84</v>
      </c>
      <c r="D200">
        <v>60</v>
      </c>
      <c r="E200">
        <v>0.3</v>
      </c>
      <c r="F200">
        <f t="shared" si="285"/>
        <v>0.12624584717607973</v>
      </c>
      <c r="G200">
        <f t="shared" si="286"/>
        <v>0.1079136690647482</v>
      </c>
      <c r="H200">
        <f t="shared" si="287"/>
        <v>0.37499999999999994</v>
      </c>
      <c r="I200">
        <f t="shared" si="288"/>
        <v>0.20305317208027596</v>
      </c>
      <c r="K200">
        <f t="shared" si="289"/>
        <v>-1.5942874028084668</v>
      </c>
      <c r="L200">
        <f t="shared" si="290"/>
        <v>-0.32372511434788387</v>
      </c>
    </row>
    <row r="201" spans="1:20" x14ac:dyDescent="0.25">
      <c r="C201">
        <f>SUM(C198:C200)</f>
        <v>54.179999999999993</v>
      </c>
      <c r="D201">
        <f t="shared" ref="D201:E201" si="291">SUM(D198:D200)</f>
        <v>556</v>
      </c>
      <c r="E201">
        <f t="shared" si="291"/>
        <v>0.8</v>
      </c>
    </row>
    <row r="202" spans="1:20" x14ac:dyDescent="0.25">
      <c r="A202">
        <v>8</v>
      </c>
      <c r="B202" t="s">
        <v>81</v>
      </c>
      <c r="C202">
        <v>29.43</v>
      </c>
      <c r="D202">
        <v>138</v>
      </c>
      <c r="E202">
        <v>0.35</v>
      </c>
      <c r="F202">
        <f>C202/38.83</f>
        <v>0.75791913468967298</v>
      </c>
      <c r="G202">
        <f>D202/555</f>
        <v>0.24864864864864866</v>
      </c>
      <c r="H202">
        <f>E202/0.83</f>
        <v>0.42168674698795178</v>
      </c>
      <c r="I202">
        <f>AVERAGE(F202:H202)</f>
        <v>0.47608484344209118</v>
      </c>
      <c r="K202">
        <f>LN(I202)</f>
        <v>-0.74215919810862696</v>
      </c>
      <c r="L202">
        <f>I202*K202</f>
        <v>-0.35333074564065359</v>
      </c>
      <c r="M202">
        <f>SUM(L202:L204)</f>
        <v>-1.0361249451691159</v>
      </c>
      <c r="N202" s="1">
        <f>-(M202)</f>
        <v>1.0361249451691159</v>
      </c>
      <c r="O202" s="1">
        <v>13</v>
      </c>
      <c r="P202">
        <f>LN(O202)</f>
        <v>2.5649493574615367</v>
      </c>
      <c r="Q202">
        <f>N202/P202</f>
        <v>0.40395532260899747</v>
      </c>
      <c r="R202">
        <f>LN(D205)</f>
        <v>6.3189681137464344</v>
      </c>
      <c r="S202">
        <v>12</v>
      </c>
      <c r="T202" s="1">
        <f>S202/R202</f>
        <v>1.8990442401339094</v>
      </c>
    </row>
    <row r="203" spans="1:20" x14ac:dyDescent="0.25">
      <c r="B203" t="s">
        <v>82</v>
      </c>
      <c r="C203">
        <v>3.84</v>
      </c>
      <c r="D203">
        <v>351</v>
      </c>
      <c r="E203">
        <v>0.22</v>
      </c>
      <c r="F203">
        <f t="shared" ref="F203:F204" si="292">C203/38.83</f>
        <v>9.8892608807622975E-2</v>
      </c>
      <c r="G203">
        <f t="shared" ref="G203:G204" si="293">D203/555</f>
        <v>0.63243243243243241</v>
      </c>
      <c r="H203">
        <f t="shared" ref="H203:H204" si="294">E203/0.83</f>
        <v>0.26506024096385544</v>
      </c>
      <c r="I203">
        <f t="shared" ref="I203:I204" si="295">AVERAGE(F203:H203)</f>
        <v>0.33212842740130361</v>
      </c>
      <c r="K203">
        <f>LN(I203)</f>
        <v>-1.1022335553429001</v>
      </c>
      <c r="L203">
        <f t="shared" ref="L203:L204" si="296">I203*K203</f>
        <v>-0.36608309736498518</v>
      </c>
    </row>
    <row r="204" spans="1:20" x14ac:dyDescent="0.25">
      <c r="B204" t="s">
        <v>83</v>
      </c>
      <c r="C204">
        <v>5.56</v>
      </c>
      <c r="D204">
        <v>66</v>
      </c>
      <c r="E204">
        <v>0.26</v>
      </c>
      <c r="F204">
        <f t="shared" si="292"/>
        <v>0.14318825650270409</v>
      </c>
      <c r="G204">
        <f t="shared" si="293"/>
        <v>0.11891891891891893</v>
      </c>
      <c r="H204">
        <f t="shared" si="294"/>
        <v>0.31325301204819278</v>
      </c>
      <c r="I204">
        <f t="shared" si="295"/>
        <v>0.19178672915660525</v>
      </c>
      <c r="K204">
        <f>LN(I204)</f>
        <v>-1.6513713099766352</v>
      </c>
      <c r="L204">
        <f t="shared" si="296"/>
        <v>-0.31671110216347731</v>
      </c>
    </row>
    <row r="205" spans="1:20" x14ac:dyDescent="0.25">
      <c r="C205">
        <f>SUM(C202:C204)</f>
        <v>38.83</v>
      </c>
      <c r="D205">
        <f t="shared" ref="D205:E205" si="297">SUM(D202:D204)</f>
        <v>555</v>
      </c>
      <c r="E205">
        <f t="shared" si="297"/>
        <v>0.83</v>
      </c>
    </row>
    <row r="206" spans="1:20" x14ac:dyDescent="0.25">
      <c r="A206">
        <v>9</v>
      </c>
      <c r="B206" t="s">
        <v>81</v>
      </c>
      <c r="C206">
        <v>32.76</v>
      </c>
      <c r="D206">
        <v>137</v>
      </c>
      <c r="E206">
        <v>0.32</v>
      </c>
      <c r="F206">
        <f>C206/47.56</f>
        <v>0.6888141295206055</v>
      </c>
      <c r="G206">
        <f>D206/549</f>
        <v>0.24954462659380691</v>
      </c>
      <c r="H206">
        <f>E206/0.85</f>
        <v>0.37647058823529411</v>
      </c>
      <c r="I206">
        <f>AVERAGE(F206:H206)</f>
        <v>0.43827644811656885</v>
      </c>
      <c r="K206">
        <f>LN(I206)</f>
        <v>-0.82490540761995523</v>
      </c>
      <c r="L206">
        <f>I206*K206</f>
        <v>-0.36153661208382437</v>
      </c>
      <c r="M206">
        <f>SUM(L206:L208)</f>
        <v>-1.0607407803384481</v>
      </c>
      <c r="N206" s="1">
        <f>-(M206)</f>
        <v>1.0607407803384481</v>
      </c>
      <c r="O206" s="1">
        <v>12</v>
      </c>
      <c r="P206">
        <f>LN(O206)</f>
        <v>2.4849066497880004</v>
      </c>
      <c r="Q206">
        <f>N206/P206</f>
        <v>0.42687349258329088</v>
      </c>
      <c r="R206">
        <f>LN(D209)</f>
        <v>6.3080984415095305</v>
      </c>
      <c r="S206">
        <v>11</v>
      </c>
      <c r="T206" s="1">
        <f>S206/R206</f>
        <v>1.7437901614876663</v>
      </c>
    </row>
    <row r="207" spans="1:20" x14ac:dyDescent="0.25">
      <c r="B207" t="s">
        <v>82</v>
      </c>
      <c r="C207">
        <v>4.54</v>
      </c>
      <c r="D207">
        <v>352</v>
      </c>
      <c r="E207">
        <v>0.25</v>
      </c>
      <c r="F207">
        <f t="shared" ref="F207:F208" si="298">C207/47.56</f>
        <v>9.5458368376787214E-2</v>
      </c>
      <c r="G207">
        <f t="shared" ref="G207:G208" si="299">D207/549</f>
        <v>0.64116575591985425</v>
      </c>
      <c r="H207">
        <f t="shared" ref="H207:H208" si="300">E207/0.85</f>
        <v>0.29411764705882354</v>
      </c>
      <c r="I207">
        <f t="shared" ref="I207:I208" si="301">AVERAGE(F207:H207)</f>
        <v>0.34358059045182165</v>
      </c>
      <c r="K207">
        <f t="shared" ref="K207:K208" si="302">LN(I207)</f>
        <v>-1.0683335792573974</v>
      </c>
      <c r="L207">
        <f t="shared" ref="L207:L208" si="303">I207*K207</f>
        <v>-0.36705868196076458</v>
      </c>
    </row>
    <row r="208" spans="1:20" x14ac:dyDescent="0.25">
      <c r="B208" t="s">
        <v>83</v>
      </c>
      <c r="C208">
        <v>10.26</v>
      </c>
      <c r="D208">
        <v>60</v>
      </c>
      <c r="E208">
        <v>0.28000000000000003</v>
      </c>
      <c r="F208">
        <f t="shared" si="298"/>
        <v>0.21572750210260722</v>
      </c>
      <c r="G208">
        <f t="shared" si="299"/>
        <v>0.10928961748633879</v>
      </c>
      <c r="H208">
        <f t="shared" si="300"/>
        <v>0.3294117647058824</v>
      </c>
      <c r="I208">
        <f t="shared" si="301"/>
        <v>0.21814296143160949</v>
      </c>
      <c r="K208">
        <f t="shared" si="302"/>
        <v>-1.5226046447434467</v>
      </c>
      <c r="L208">
        <f t="shared" si="303"/>
        <v>-0.33214548629385915</v>
      </c>
    </row>
    <row r="209" spans="1:20" x14ac:dyDescent="0.25">
      <c r="C209">
        <f>SUM(C206:C208)</f>
        <v>47.559999999999995</v>
      </c>
      <c r="D209">
        <f t="shared" ref="D209:E209" si="304">SUM(D206:D208)</f>
        <v>549</v>
      </c>
      <c r="E209">
        <f t="shared" si="304"/>
        <v>0.85000000000000009</v>
      </c>
    </row>
    <row r="211" spans="1:20" x14ac:dyDescent="0.25">
      <c r="A211">
        <v>10</v>
      </c>
      <c r="B211" t="s">
        <v>81</v>
      </c>
      <c r="C211">
        <v>34.99</v>
      </c>
      <c r="D211">
        <v>119</v>
      </c>
      <c r="E211">
        <v>0.33</v>
      </c>
      <c r="F211">
        <f>C211/44.33</f>
        <v>0.78930746672682162</v>
      </c>
      <c r="G211">
        <f>D211/549</f>
        <v>0.21675774134790529</v>
      </c>
      <c r="H211">
        <f>E211/0.8</f>
        <v>0.41249999999999998</v>
      </c>
      <c r="I211">
        <f>AVERAGE(F211:H211)</f>
        <v>0.47285506935824229</v>
      </c>
      <c r="K211">
        <f>LN(I211)</f>
        <v>-0.7489663447189483</v>
      </c>
      <c r="L211">
        <f>I211*K211</f>
        <v>-0.35415253287906751</v>
      </c>
      <c r="M211">
        <f>SUM(L211:L213)</f>
        <v>-1.0456928777373493</v>
      </c>
      <c r="N211" s="1">
        <f>-(M211)</f>
        <v>1.0456928777373493</v>
      </c>
      <c r="O211" s="1">
        <v>15</v>
      </c>
      <c r="P211">
        <f>LN(O211)</f>
        <v>2.7080502011022101</v>
      </c>
      <c r="Q211">
        <f>N211/P211</f>
        <v>0.38614235338463787</v>
      </c>
      <c r="R211">
        <f>LN(D214)</f>
        <v>6.3080984415095305</v>
      </c>
      <c r="S211">
        <v>14</v>
      </c>
      <c r="T211" s="1">
        <f>S211/R211</f>
        <v>2.2193692964388481</v>
      </c>
    </row>
    <row r="212" spans="1:20" x14ac:dyDescent="0.25">
      <c r="B212" t="s">
        <v>82</v>
      </c>
      <c r="C212">
        <v>2.5</v>
      </c>
      <c r="D212">
        <v>342</v>
      </c>
      <c r="E212">
        <v>0.22</v>
      </c>
      <c r="F212">
        <f t="shared" ref="F212:F213" si="305">C212/44.33</f>
        <v>5.6395217685540268E-2</v>
      </c>
      <c r="G212">
        <f t="shared" ref="G212:G213" si="306">D212/549</f>
        <v>0.62295081967213117</v>
      </c>
      <c r="H212">
        <f t="shared" ref="H212:H213" si="307">E212/0.8</f>
        <v>0.27499999999999997</v>
      </c>
      <c r="I212">
        <f t="shared" ref="I212:I213" si="308">AVERAGE(F212:H212)</f>
        <v>0.31811534578589046</v>
      </c>
      <c r="K212">
        <f t="shared" ref="K212:K213" si="309">LN(I212)</f>
        <v>-1.1453412393727584</v>
      </c>
      <c r="L212">
        <f t="shared" ref="L212:L213" si="310">I212*K212</f>
        <v>-0.36435062440590538</v>
      </c>
    </row>
    <row r="213" spans="1:20" x14ac:dyDescent="0.25">
      <c r="B213" t="s">
        <v>83</v>
      </c>
      <c r="C213">
        <v>6.84</v>
      </c>
      <c r="D213">
        <v>88</v>
      </c>
      <c r="E213">
        <v>0.25</v>
      </c>
      <c r="F213">
        <f t="shared" si="305"/>
        <v>0.15429731558763818</v>
      </c>
      <c r="G213">
        <f t="shared" si="306"/>
        <v>0.16029143897996356</v>
      </c>
      <c r="H213">
        <f t="shared" si="307"/>
        <v>0.3125</v>
      </c>
      <c r="I213">
        <f t="shared" si="308"/>
        <v>0.20902958485586723</v>
      </c>
      <c r="K213">
        <f t="shared" si="309"/>
        <v>-1.5652794827009024</v>
      </c>
      <c r="L213">
        <f t="shared" si="310"/>
        <v>-0.32718972045237626</v>
      </c>
    </row>
    <row r="214" spans="1:20" x14ac:dyDescent="0.25">
      <c r="C214">
        <f>SUM(C211:C213)</f>
        <v>44.33</v>
      </c>
      <c r="D214">
        <f t="shared" ref="D214:E214" si="311">SUM(D211:D213)</f>
        <v>549</v>
      </c>
      <c r="E214">
        <f t="shared" si="311"/>
        <v>0.8</v>
      </c>
    </row>
    <row r="215" spans="1:20" x14ac:dyDescent="0.25">
      <c r="A215">
        <v>11</v>
      </c>
      <c r="B215" t="s">
        <v>81</v>
      </c>
      <c r="C215">
        <v>30.63</v>
      </c>
      <c r="D215">
        <v>132</v>
      </c>
      <c r="E215">
        <v>0.3</v>
      </c>
      <c r="F215">
        <f>C215/37.2</f>
        <v>0.82338709677419342</v>
      </c>
      <c r="G215">
        <f>D215/547</f>
        <v>0.24131627056672761</v>
      </c>
      <c r="H215">
        <f>E215/0.89</f>
        <v>0.33707865168539325</v>
      </c>
      <c r="I215">
        <f>AVERAGE(F215:H215)</f>
        <v>0.46726067300877139</v>
      </c>
      <c r="K215">
        <f>LN(I215)</f>
        <v>-0.76086799072698741</v>
      </c>
      <c r="L215">
        <f>I215*K215</f>
        <v>-0.35552368941792378</v>
      </c>
      <c r="M215">
        <f>SUM(L215:L218)</f>
        <v>-1.0407909135237976</v>
      </c>
      <c r="N215" s="1">
        <f>-(M215)</f>
        <v>1.0407909135237976</v>
      </c>
      <c r="O215" s="1">
        <v>11</v>
      </c>
      <c r="P215">
        <f>LN(O215)</f>
        <v>2.3978952727983707</v>
      </c>
      <c r="Q215">
        <f>N215/P215</f>
        <v>0.43404352363945525</v>
      </c>
      <c r="R215">
        <f>LN(D218)</f>
        <v>6.3044488024219811</v>
      </c>
      <c r="S215">
        <v>10</v>
      </c>
      <c r="T215" s="1">
        <f>S215/R215</f>
        <v>1.5861814907844598</v>
      </c>
    </row>
    <row r="216" spans="1:20" x14ac:dyDescent="0.25">
      <c r="B216" t="s">
        <v>82</v>
      </c>
      <c r="C216">
        <v>2.2200000000000002</v>
      </c>
      <c r="D216">
        <v>356</v>
      </c>
      <c r="E216">
        <v>0.27</v>
      </c>
      <c r="F216">
        <f t="shared" ref="F216:F217" si="312">C216/37.2</f>
        <v>5.9677419354838709E-2</v>
      </c>
      <c r="G216">
        <f t="shared" ref="G216:G217" si="313">D216/547</f>
        <v>0.65082266910420472</v>
      </c>
      <c r="H216">
        <f t="shared" ref="H216:H217" si="314">E216/0.89</f>
        <v>0.30337078651685395</v>
      </c>
      <c r="I216">
        <f t="shared" ref="I216:I217" si="315">AVERAGE(F216:H216)</f>
        <v>0.33795695832529909</v>
      </c>
      <c r="K216">
        <f t="shared" ref="K216:K217" si="316">LN(I216)</f>
        <v>-1.0848367338406717</v>
      </c>
      <c r="L216">
        <f t="shared" ref="L216:L217" si="317">I216*K216</f>
        <v>-0.36662812284834545</v>
      </c>
    </row>
    <row r="217" spans="1:20" x14ac:dyDescent="0.25">
      <c r="B217" t="s">
        <v>83</v>
      </c>
      <c r="C217">
        <v>4.3499999999999996</v>
      </c>
      <c r="D217">
        <v>59</v>
      </c>
      <c r="E217">
        <v>0.32</v>
      </c>
      <c r="F217">
        <f t="shared" si="312"/>
        <v>0.11693548387096772</v>
      </c>
      <c r="G217">
        <f t="shared" si="313"/>
        <v>0.10786106032906764</v>
      </c>
      <c r="H217">
        <f t="shared" si="314"/>
        <v>0.3595505617977528</v>
      </c>
      <c r="I217">
        <f t="shared" si="315"/>
        <v>0.19478236866592938</v>
      </c>
      <c r="K217">
        <f t="shared" si="316"/>
        <v>-1.6358724017984669</v>
      </c>
      <c r="L217">
        <f t="shared" si="317"/>
        <v>-0.31863910125752837</v>
      </c>
    </row>
    <row r="218" spans="1:20" x14ac:dyDescent="0.25">
      <c r="C218">
        <f>SUM(C215:C217)</f>
        <v>37.200000000000003</v>
      </c>
      <c r="D218">
        <f t="shared" ref="D218:E218" si="318">SUM(D215:D217)</f>
        <v>547</v>
      </c>
      <c r="E218">
        <f t="shared" si="318"/>
        <v>0.89000000000000012</v>
      </c>
    </row>
    <row r="219" spans="1:20" x14ac:dyDescent="0.25">
      <c r="A219">
        <v>12</v>
      </c>
      <c r="B219" t="s">
        <v>81</v>
      </c>
      <c r="C219">
        <v>32.5</v>
      </c>
      <c r="D219">
        <v>141</v>
      </c>
      <c r="E219">
        <v>0.32</v>
      </c>
      <c r="F219">
        <f>C219/41.19</f>
        <v>0.78902646273367327</v>
      </c>
      <c r="G219">
        <f>D219/573</f>
        <v>0.24607329842931938</v>
      </c>
      <c r="H219">
        <f>E219/0.94</f>
        <v>0.34042553191489366</v>
      </c>
      <c r="I219">
        <f>AVERAGE(F219:H219)</f>
        <v>0.45850843102596212</v>
      </c>
      <c r="K219">
        <f>LN(I219)</f>
        <v>-0.77977659917559128</v>
      </c>
      <c r="L219">
        <f>I219*K219</f>
        <v>-0.35753414503876091</v>
      </c>
      <c r="M219">
        <f>SUM(L219:L221)</f>
        <v>-1.0449231089264515</v>
      </c>
      <c r="N219" s="1">
        <f>-(M219)</f>
        <v>1.0449231089264515</v>
      </c>
      <c r="O219" s="1">
        <v>12</v>
      </c>
      <c r="P219">
        <f>LN(O219)</f>
        <v>2.4849066497880004</v>
      </c>
      <c r="Q219">
        <f>N219/P219</f>
        <v>0.42050799333471905</v>
      </c>
      <c r="R219">
        <f>LN(D222)</f>
        <v>6.3508857167147399</v>
      </c>
      <c r="S219">
        <v>11</v>
      </c>
      <c r="T219" s="1">
        <f>S219/R219</f>
        <v>1.7320418742616279</v>
      </c>
    </row>
    <row r="220" spans="1:20" x14ac:dyDescent="0.25">
      <c r="B220" t="s">
        <v>82</v>
      </c>
      <c r="C220">
        <v>4.5199999999999996</v>
      </c>
      <c r="D220">
        <v>364</v>
      </c>
      <c r="E220">
        <v>0.27</v>
      </c>
      <c r="F220">
        <f t="shared" ref="F220:F221" si="319">C220/41.19</f>
        <v>0.10973537266326779</v>
      </c>
      <c r="G220">
        <f t="shared" ref="G220:G221" si="320">D220/573</f>
        <v>0.63525305410122168</v>
      </c>
      <c r="H220">
        <f t="shared" ref="H220:H221" si="321">E220/0.94</f>
        <v>0.28723404255319152</v>
      </c>
      <c r="I220">
        <f t="shared" ref="I220:I221" si="322">AVERAGE(F220:H220)</f>
        <v>0.34407415643922706</v>
      </c>
      <c r="K220">
        <f t="shared" ref="K220:K221" si="323">LN(I220)</f>
        <v>-1.0668980737965728</v>
      </c>
      <c r="L220">
        <f t="shared" ref="L220:L221" si="324">I220*K220</f>
        <v>-0.36709205474819201</v>
      </c>
    </row>
    <row r="221" spans="1:20" x14ac:dyDescent="0.25">
      <c r="B221" t="s">
        <v>83</v>
      </c>
      <c r="C221">
        <v>4.17</v>
      </c>
      <c r="D221">
        <v>68</v>
      </c>
      <c r="E221">
        <v>0.35</v>
      </c>
      <c r="F221">
        <f t="shared" si="319"/>
        <v>0.101238164603059</v>
      </c>
      <c r="G221">
        <f t="shared" si="320"/>
        <v>0.11867364746945899</v>
      </c>
      <c r="H221">
        <f t="shared" si="321"/>
        <v>0.37234042553191488</v>
      </c>
      <c r="I221">
        <f t="shared" si="322"/>
        <v>0.19741741253481093</v>
      </c>
      <c r="K221">
        <f t="shared" si="323"/>
        <v>-1.6224349464767704</v>
      </c>
      <c r="L221">
        <f t="shared" si="324"/>
        <v>-0.32029690913949849</v>
      </c>
    </row>
    <row r="222" spans="1:20" x14ac:dyDescent="0.25">
      <c r="C222">
        <f>SUM(C219:C221)</f>
        <v>41.19</v>
      </c>
      <c r="D222">
        <f t="shared" ref="D222:E222" si="325">SUM(D219:D221)</f>
        <v>573</v>
      </c>
      <c r="E222">
        <f t="shared" si="325"/>
        <v>0.94000000000000006</v>
      </c>
    </row>
    <row r="223" spans="1:20" x14ac:dyDescent="0.25">
      <c r="A223">
        <v>13</v>
      </c>
      <c r="B223" t="s">
        <v>81</v>
      </c>
      <c r="C223">
        <v>26.07</v>
      </c>
      <c r="D223">
        <v>137</v>
      </c>
      <c r="E223">
        <v>0.3</v>
      </c>
      <c r="F223">
        <f>C223/32.82</f>
        <v>0.79433272394881171</v>
      </c>
      <c r="G223">
        <f>D223/547</f>
        <v>0.25045703839122485</v>
      </c>
      <c r="H223">
        <f>E223/0.84</f>
        <v>0.35714285714285715</v>
      </c>
      <c r="I223">
        <f>AVERAGE(F223:H223)</f>
        <v>0.46731087316096459</v>
      </c>
      <c r="K223">
        <f>LN(I223)</f>
        <v>-0.76076056149388649</v>
      </c>
      <c r="L223">
        <f>I223*K223</f>
        <v>-0.35551168225813379</v>
      </c>
      <c r="M223">
        <f>SUM(L223:L225)</f>
        <v>-1.0483011918555478</v>
      </c>
      <c r="N223" s="1">
        <f>-(M223)</f>
        <v>1.0483011918555478</v>
      </c>
      <c r="O223" s="1">
        <v>11</v>
      </c>
      <c r="P223">
        <f>LN(O223)</f>
        <v>2.3978952727983707</v>
      </c>
      <c r="Q223">
        <f>N223/P223</f>
        <v>0.43717555297240673</v>
      </c>
      <c r="R223">
        <f>LN(D226)</f>
        <v>6.3044488024219811</v>
      </c>
      <c r="S223">
        <v>10</v>
      </c>
      <c r="T223" s="1">
        <f>S223/R223</f>
        <v>1.5861814907844598</v>
      </c>
    </row>
    <row r="224" spans="1:20" x14ac:dyDescent="0.25">
      <c r="B224" t="s">
        <v>82</v>
      </c>
      <c r="C224">
        <v>2.04</v>
      </c>
      <c r="D224">
        <v>352</v>
      </c>
      <c r="E224">
        <v>0.22</v>
      </c>
      <c r="F224">
        <f t="shared" ref="F224:F225" si="326">C224/32.82</f>
        <v>6.2157221206581355E-2</v>
      </c>
      <c r="G224">
        <f t="shared" ref="G224:G225" si="327">D224/547</f>
        <v>0.64351005484460699</v>
      </c>
      <c r="H224">
        <f t="shared" ref="H224:H225" si="328">E224/0.84</f>
        <v>0.26190476190476192</v>
      </c>
      <c r="I224">
        <f t="shared" ref="I224:I225" si="329">AVERAGE(F224:H224)</f>
        <v>0.32252401265198344</v>
      </c>
      <c r="K224">
        <f t="shared" ref="K224:K225" si="330">LN(I224)</f>
        <v>-1.1315776876825494</v>
      </c>
      <c r="L224">
        <f t="shared" ref="L224:L225" si="331">I224*K224</f>
        <v>-0.36496097645882875</v>
      </c>
    </row>
    <row r="225" spans="1:20" x14ac:dyDescent="0.25">
      <c r="B225" t="s">
        <v>83</v>
      </c>
      <c r="C225">
        <v>4.71</v>
      </c>
      <c r="D225">
        <v>58</v>
      </c>
      <c r="E225">
        <v>0.32</v>
      </c>
      <c r="F225">
        <f t="shared" si="326"/>
        <v>0.14351005484460694</v>
      </c>
      <c r="G225">
        <f t="shared" si="327"/>
        <v>0.10603290676416818</v>
      </c>
      <c r="H225">
        <f t="shared" si="328"/>
        <v>0.38095238095238099</v>
      </c>
      <c r="I225">
        <f t="shared" si="329"/>
        <v>0.21016511418705205</v>
      </c>
      <c r="K225">
        <f t="shared" si="330"/>
        <v>-1.5598617991700083</v>
      </c>
      <c r="L225">
        <f t="shared" si="331"/>
        <v>-0.32782853313858529</v>
      </c>
    </row>
    <row r="226" spans="1:20" x14ac:dyDescent="0.25">
      <c r="C226">
        <f>SUM(C223:C225)</f>
        <v>32.82</v>
      </c>
      <c r="D226">
        <f t="shared" ref="D226:E226" si="332">SUM(D223:D225)</f>
        <v>547</v>
      </c>
      <c r="E226">
        <f t="shared" si="332"/>
        <v>0.84000000000000008</v>
      </c>
    </row>
    <row r="227" spans="1:20" x14ac:dyDescent="0.25">
      <c r="A227">
        <v>14</v>
      </c>
      <c r="B227" t="s">
        <v>81</v>
      </c>
      <c r="C227">
        <v>21.76</v>
      </c>
      <c r="D227">
        <v>138</v>
      </c>
      <c r="E227">
        <v>0.3</v>
      </c>
      <c r="F227">
        <f>C227/29.85</f>
        <v>0.72897822445561145</v>
      </c>
      <c r="G227">
        <f>D227/571</f>
        <v>0.24168126094570927</v>
      </c>
      <c r="H227">
        <f>E227/0.91</f>
        <v>0.32967032967032966</v>
      </c>
      <c r="I227">
        <f>AVERAGE(F227:H227)</f>
        <v>0.43344327169055014</v>
      </c>
      <c r="K227">
        <f>LN(I227)</f>
        <v>-0.83599435247674159</v>
      </c>
      <c r="L227">
        <f>I227*K227</f>
        <v>-0.36235612725234184</v>
      </c>
      <c r="M227">
        <f>SUM(L227:L229)</f>
        <v>-1.066687394490329</v>
      </c>
      <c r="N227" s="1">
        <f>-(M227)</f>
        <v>1.066687394490329</v>
      </c>
      <c r="O227" s="1">
        <v>12</v>
      </c>
      <c r="P227">
        <f>LN(O227)</f>
        <v>2.4849066497880004</v>
      </c>
      <c r="Q227">
        <f>N227/P227</f>
        <v>0.42926658616384378</v>
      </c>
      <c r="R227">
        <f>LN(D230)</f>
        <v>6.3473892096560105</v>
      </c>
      <c r="S227">
        <f>11</f>
        <v>11</v>
      </c>
      <c r="T227" s="1">
        <f>S227/R227</f>
        <v>1.7329959825476233</v>
      </c>
    </row>
    <row r="228" spans="1:20" x14ac:dyDescent="0.25">
      <c r="B228" t="s">
        <v>82</v>
      </c>
      <c r="C228">
        <v>1.92</v>
      </c>
      <c r="D228">
        <v>365</v>
      </c>
      <c r="E228">
        <v>0.28000000000000003</v>
      </c>
      <c r="F228">
        <f t="shared" ref="F228:F229" si="333">C228/29.85</f>
        <v>6.4321608040200998E-2</v>
      </c>
      <c r="G228">
        <f t="shared" ref="G228:G229" si="334">D228/571</f>
        <v>0.63922942206654987</v>
      </c>
      <c r="H228">
        <f t="shared" ref="H228:H229" si="335">E228/0.91</f>
        <v>0.30769230769230771</v>
      </c>
      <c r="I228">
        <f t="shared" ref="I228:I229" si="336">AVERAGE(F228:H228)</f>
        <v>0.33708111259968621</v>
      </c>
      <c r="K228">
        <f t="shared" ref="K228:K229" si="337">LN(I228)</f>
        <v>-1.087431687384232</v>
      </c>
      <c r="L228">
        <f t="shared" ref="L228:L229" si="338">I228*K228</f>
        <v>-0.36655268305963107</v>
      </c>
    </row>
    <row r="229" spans="1:20" x14ac:dyDescent="0.25">
      <c r="B229" t="s">
        <v>83</v>
      </c>
      <c r="C229">
        <v>6.17</v>
      </c>
      <c r="D229">
        <v>68</v>
      </c>
      <c r="E229">
        <v>0.33</v>
      </c>
      <c r="F229">
        <f t="shared" si="333"/>
        <v>0.2067001675041876</v>
      </c>
      <c r="G229">
        <f t="shared" si="334"/>
        <v>0.11908931698774081</v>
      </c>
      <c r="H229">
        <f t="shared" si="335"/>
        <v>0.36263736263736263</v>
      </c>
      <c r="I229">
        <f t="shared" si="336"/>
        <v>0.22947561570976369</v>
      </c>
      <c r="K229">
        <f t="shared" si="337"/>
        <v>-1.4719585047570884</v>
      </c>
      <c r="L229">
        <f t="shared" si="338"/>
        <v>-0.33777858417835599</v>
      </c>
    </row>
    <row r="230" spans="1:20" x14ac:dyDescent="0.25">
      <c r="C230">
        <f>SUM(C227:C229)</f>
        <v>29.85</v>
      </c>
      <c r="D230">
        <f t="shared" ref="D230:E230" si="339">SUM(D227:D229)</f>
        <v>571</v>
      </c>
      <c r="E230">
        <f t="shared" si="339"/>
        <v>0.91000000000000014</v>
      </c>
    </row>
    <row r="231" spans="1:20" x14ac:dyDescent="0.25">
      <c r="A231">
        <v>15</v>
      </c>
      <c r="B231" t="s">
        <v>81</v>
      </c>
      <c r="C231">
        <v>40.15</v>
      </c>
      <c r="D231">
        <v>132</v>
      </c>
      <c r="E231">
        <v>0.32</v>
      </c>
      <c r="F231">
        <f>C231/47.89</f>
        <v>0.83837961996241384</v>
      </c>
      <c r="G231">
        <f>D231/542</f>
        <v>0.24354243542435425</v>
      </c>
      <c r="H231">
        <f>E231/0.89</f>
        <v>0.3595505617977528</v>
      </c>
      <c r="I231">
        <f>AVERAGE(F231:H231)</f>
        <v>0.48049087239484028</v>
      </c>
      <c r="K231">
        <f>LN(I231)</f>
        <v>-0.73294704680874112</v>
      </c>
      <c r="L231">
        <f>I231*K231</f>
        <v>-0.35217436594035384</v>
      </c>
      <c r="M231">
        <f>SUM(L231:L233)</f>
        <v>-1.0325482303104547</v>
      </c>
      <c r="N231" s="1">
        <f>-(M231)</f>
        <v>1.0325482303104547</v>
      </c>
      <c r="O231" s="1">
        <v>13</v>
      </c>
      <c r="P231">
        <f>LN(O231)</f>
        <v>2.5649493574615367</v>
      </c>
      <c r="Q231">
        <f>N231/P231</f>
        <v>0.40256086433314253</v>
      </c>
      <c r="R231">
        <f>LN(D234)</f>
        <v>6.2952660014396464</v>
      </c>
      <c r="S231">
        <v>12</v>
      </c>
      <c r="T231" s="1">
        <f>S231/R231</f>
        <v>1.9061942731658605</v>
      </c>
    </row>
    <row r="232" spans="1:20" x14ac:dyDescent="0.25">
      <c r="B232" t="s">
        <v>82</v>
      </c>
      <c r="C232">
        <v>1.96</v>
      </c>
      <c r="D232">
        <v>352</v>
      </c>
      <c r="E232">
        <v>0.27</v>
      </c>
      <c r="F232">
        <f t="shared" ref="F232:F233" si="340">C232/47.89</f>
        <v>4.0927124660680728E-2</v>
      </c>
      <c r="G232">
        <f t="shared" ref="G232:G233" si="341">D232/542</f>
        <v>0.64944649446494462</v>
      </c>
      <c r="H232">
        <f t="shared" ref="H232:H233" si="342">E232/0.89</f>
        <v>0.30337078651685395</v>
      </c>
      <c r="I232">
        <f t="shared" ref="I232:I233" si="343">AVERAGE(F232:H232)</f>
        <v>0.3312481352141598</v>
      </c>
      <c r="K232">
        <f t="shared" ref="K232:K233" si="344">LN(I232)</f>
        <v>-1.1048875312397102</v>
      </c>
      <c r="L232">
        <f t="shared" ref="L232:L233" si="345">I232*K232</f>
        <v>-0.3659919343445307</v>
      </c>
    </row>
    <row r="233" spans="1:20" x14ac:dyDescent="0.25">
      <c r="B233" t="s">
        <v>83</v>
      </c>
      <c r="C233">
        <v>5.78</v>
      </c>
      <c r="D233">
        <v>58</v>
      </c>
      <c r="E233">
        <v>0.3</v>
      </c>
      <c r="F233">
        <f t="shared" si="340"/>
        <v>0.12069325537690541</v>
      </c>
      <c r="G233">
        <f t="shared" si="341"/>
        <v>0.1070110701107011</v>
      </c>
      <c r="H233">
        <f t="shared" si="342"/>
        <v>0.33707865168539325</v>
      </c>
      <c r="I233">
        <f t="shared" si="343"/>
        <v>0.18826099239099992</v>
      </c>
      <c r="K233">
        <f t="shared" si="344"/>
        <v>-1.6699260214916389</v>
      </c>
      <c r="L233">
        <f t="shared" si="345"/>
        <v>-0.31438193002557019</v>
      </c>
    </row>
    <row r="234" spans="1:20" x14ac:dyDescent="0.25">
      <c r="C234">
        <f>SUM(C231:C233)</f>
        <v>47.89</v>
      </c>
      <c r="D234">
        <f t="shared" ref="D234:E234" si="346">SUM(D231:D233)</f>
        <v>542</v>
      </c>
      <c r="E234">
        <f t="shared" si="346"/>
        <v>0.89000000000000012</v>
      </c>
    </row>
    <row r="235" spans="1:20" x14ac:dyDescent="0.25">
      <c r="A235">
        <v>16</v>
      </c>
      <c r="B235" t="s">
        <v>81</v>
      </c>
      <c r="C235">
        <v>30.84</v>
      </c>
      <c r="D235">
        <v>139</v>
      </c>
      <c r="E235">
        <v>0.35</v>
      </c>
      <c r="F235">
        <f>C235/36.13</f>
        <v>0.85358427899252687</v>
      </c>
      <c r="G235">
        <f>D235/559</f>
        <v>0.24865831842576028</v>
      </c>
      <c r="H235">
        <f>E235/0.85</f>
        <v>0.41176470588235292</v>
      </c>
      <c r="I235">
        <f>AVERAGE(F235:H235)</f>
        <v>0.50466910110021335</v>
      </c>
      <c r="K235">
        <f>LN(I235)</f>
        <v>-0.68385230981994305</v>
      </c>
      <c r="L235">
        <f>I235*K235</f>
        <v>-0.34511913048213527</v>
      </c>
      <c r="M235">
        <f>SUM(L235:L237)</f>
        <v>-1.0163107667713009</v>
      </c>
      <c r="N235" s="1">
        <f>-(M235)</f>
        <v>1.0163107667713009</v>
      </c>
      <c r="O235" s="1">
        <v>11</v>
      </c>
      <c r="P235">
        <f>LN(O235)</f>
        <v>2.3978952727983707</v>
      </c>
      <c r="Q235">
        <f>N235/P235</f>
        <v>0.42383450949684509</v>
      </c>
      <c r="R235">
        <f>LN(D242)</f>
        <v>6.313548046277095</v>
      </c>
      <c r="S235">
        <v>10</v>
      </c>
      <c r="T235" s="1">
        <f>S235/R235</f>
        <v>1.5838954462216681</v>
      </c>
    </row>
    <row r="236" spans="1:20" x14ac:dyDescent="0.25">
      <c r="B236" t="s">
        <v>82</v>
      </c>
      <c r="C236">
        <v>2.02</v>
      </c>
      <c r="D236">
        <v>357</v>
      </c>
      <c r="E236">
        <v>0.22</v>
      </c>
      <c r="F236">
        <f t="shared" ref="F236:F237" si="347">C236/36.13</f>
        <v>5.5909216717409352E-2</v>
      </c>
      <c r="G236">
        <f t="shared" ref="G236:G237" si="348">D236/559</f>
        <v>0.63864042933810372</v>
      </c>
      <c r="H236">
        <f t="shared" ref="H236:H237" si="349">E236/0.85</f>
        <v>0.25882352941176473</v>
      </c>
      <c r="I236">
        <f t="shared" ref="I236:I237" si="350">AVERAGE(F236:H236)</f>
        <v>0.31779105848909261</v>
      </c>
      <c r="K236">
        <f t="shared" ref="K236:K237" si="351">LN(I236)</f>
        <v>-1.1463611609295445</v>
      </c>
      <c r="L236">
        <f t="shared" ref="L236:L237" si="352">I236*K236</f>
        <v>-0.36430332674258498</v>
      </c>
    </row>
    <row r="237" spans="1:20" x14ac:dyDescent="0.25">
      <c r="B237" t="s">
        <v>83</v>
      </c>
      <c r="C237">
        <v>3.27</v>
      </c>
      <c r="D237">
        <v>63</v>
      </c>
      <c r="E237">
        <v>0.28000000000000003</v>
      </c>
      <c r="F237">
        <f t="shared" si="347"/>
        <v>9.0506504290063655E-2</v>
      </c>
      <c r="G237">
        <f t="shared" si="348"/>
        <v>0.11270125223613596</v>
      </c>
      <c r="H237">
        <f t="shared" si="349"/>
        <v>0.3294117647058824</v>
      </c>
      <c r="I237">
        <f t="shared" si="350"/>
        <v>0.17753984041069401</v>
      </c>
      <c r="K237">
        <f t="shared" si="351"/>
        <v>-1.7285602422344821</v>
      </c>
      <c r="L237">
        <f t="shared" si="352"/>
        <v>-0.30688830954658053</v>
      </c>
    </row>
    <row r="238" spans="1:20" x14ac:dyDescent="0.25">
      <c r="C238">
        <f>SUM(C235:C237)</f>
        <v>36.130000000000003</v>
      </c>
      <c r="D238">
        <f t="shared" ref="D238:E238" si="353">SUM(D235:D237)</f>
        <v>559</v>
      </c>
      <c r="E238">
        <f t="shared" si="353"/>
        <v>0.85</v>
      </c>
    </row>
    <row r="239" spans="1:20" x14ac:dyDescent="0.25">
      <c r="A239">
        <v>17</v>
      </c>
      <c r="B239" t="s">
        <v>81</v>
      </c>
      <c r="C239">
        <v>32.700000000000003</v>
      </c>
      <c r="D239">
        <v>138</v>
      </c>
      <c r="E239">
        <v>0.33</v>
      </c>
      <c r="F239">
        <f>C239/39.12</f>
        <v>0.83588957055214741</v>
      </c>
      <c r="G239">
        <f>D239/552</f>
        <v>0.25</v>
      </c>
      <c r="H239">
        <f>E239/0.84</f>
        <v>0.3928571428571429</v>
      </c>
      <c r="I239">
        <f>AVERAGE(F239:H239)</f>
        <v>0.49291557113643014</v>
      </c>
      <c r="K239">
        <f>LN(I239)</f>
        <v>-0.70741737490666923</v>
      </c>
      <c r="L239">
        <f>I239*K239</f>
        <v>-0.34869703938395497</v>
      </c>
      <c r="M239">
        <f>SUM(L239:L241)</f>
        <v>-1.0324411261623496</v>
      </c>
      <c r="N239" s="1">
        <f>-(M239)</f>
        <v>1.0324411261623496</v>
      </c>
      <c r="O239" s="1">
        <v>13</v>
      </c>
      <c r="P239">
        <f>LN(O239)</f>
        <v>2.5649493574615367</v>
      </c>
      <c r="Q239">
        <f>N239/P239</f>
        <v>0.4025191075055492</v>
      </c>
      <c r="R239">
        <f>LN(D242)</f>
        <v>6.313548046277095</v>
      </c>
      <c r="S239">
        <v>12</v>
      </c>
      <c r="T239" s="1">
        <f>S239/R239</f>
        <v>1.9006745354660017</v>
      </c>
    </row>
    <row r="240" spans="1:20" x14ac:dyDescent="0.25">
      <c r="B240" t="s">
        <v>82</v>
      </c>
      <c r="C240">
        <v>2.21</v>
      </c>
      <c r="D240">
        <v>342</v>
      </c>
      <c r="E240">
        <v>0.21</v>
      </c>
      <c r="F240">
        <f t="shared" ref="F240:F241" si="354">C240/39.12</f>
        <v>5.6492842535787326E-2</v>
      </c>
      <c r="G240">
        <f t="shared" ref="G240:G241" si="355">D240/552</f>
        <v>0.61956521739130432</v>
      </c>
      <c r="H240">
        <f t="shared" ref="H240:H241" si="356">E240/0.84</f>
        <v>0.25</v>
      </c>
      <c r="I240">
        <f t="shared" ref="I240:I241" si="357">AVERAGE(F240:H240)</f>
        <v>0.30868601997569722</v>
      </c>
      <c r="K240">
        <f t="shared" ref="K240:K241" si="358">LN(I240)</f>
        <v>-1.1754306352643291</v>
      </c>
      <c r="L240">
        <f t="shared" ref="L240:L241" si="359">I240*K240</f>
        <v>-0.36283900455725115</v>
      </c>
    </row>
    <row r="241" spans="1:20" x14ac:dyDescent="0.25">
      <c r="B241" t="s">
        <v>83</v>
      </c>
      <c r="C241">
        <v>4.21</v>
      </c>
      <c r="D241">
        <v>72</v>
      </c>
      <c r="E241">
        <v>0.3</v>
      </c>
      <c r="F241">
        <f t="shared" si="354"/>
        <v>0.10761758691206545</v>
      </c>
      <c r="G241">
        <f t="shared" si="355"/>
        <v>0.13043478260869565</v>
      </c>
      <c r="H241">
        <f t="shared" si="356"/>
        <v>0.35714285714285715</v>
      </c>
      <c r="I241">
        <f t="shared" si="357"/>
        <v>0.19839840888787275</v>
      </c>
      <c r="K241">
        <f t="shared" si="358"/>
        <v>-1.6174781038819062</v>
      </c>
      <c r="L241">
        <f t="shared" si="359"/>
        <v>-0.3209050822211435</v>
      </c>
    </row>
    <row r="242" spans="1:20" x14ac:dyDescent="0.25">
      <c r="C242">
        <f>SUM(C239:C241)</f>
        <v>39.120000000000005</v>
      </c>
      <c r="D242">
        <f t="shared" ref="D242:E242" si="360">SUM(D239:D241)</f>
        <v>552</v>
      </c>
      <c r="E242">
        <f t="shared" si="360"/>
        <v>0.84000000000000008</v>
      </c>
    </row>
    <row r="243" spans="1:20" x14ac:dyDescent="0.25">
      <c r="A243">
        <v>18</v>
      </c>
      <c r="B243" t="s">
        <v>81</v>
      </c>
      <c r="C243">
        <v>36.299999999999997</v>
      </c>
      <c r="D243">
        <v>139</v>
      </c>
      <c r="E243">
        <v>0.34</v>
      </c>
      <c r="F243">
        <f>C243/42.54</f>
        <v>0.85331452750352599</v>
      </c>
      <c r="G243">
        <f>D243/543</f>
        <v>0.2559852670349908</v>
      </c>
      <c r="H243">
        <f>E243/0.86</f>
        <v>0.39534883720930236</v>
      </c>
      <c r="I243">
        <f>AVERAGE(F243:H243)</f>
        <v>0.50154954391593976</v>
      </c>
      <c r="K243">
        <f>LN(I243)</f>
        <v>-0.69005288500219453</v>
      </c>
      <c r="L243">
        <f>I243*K243</f>
        <v>-0.34609570975072906</v>
      </c>
      <c r="M243">
        <f>SUM(L243:L245)</f>
        <v>-1.0184649267107559</v>
      </c>
      <c r="N243" s="1">
        <f>-(M243)</f>
        <v>1.0184649267107559</v>
      </c>
      <c r="O243" s="1">
        <v>11</v>
      </c>
      <c r="P243">
        <f>LN(O243)</f>
        <v>2.3978952727983707</v>
      </c>
      <c r="Q243">
        <f>N243/P243</f>
        <v>0.42473286396790633</v>
      </c>
      <c r="R243">
        <f>LN(D246)</f>
        <v>6.2971093199339352</v>
      </c>
      <c r="S243">
        <v>10</v>
      </c>
      <c r="T243" s="1">
        <f>S243/R243</f>
        <v>1.5880302360869467</v>
      </c>
    </row>
    <row r="244" spans="1:20" x14ac:dyDescent="0.25">
      <c r="B244" t="s">
        <v>82</v>
      </c>
      <c r="C244">
        <v>1.87</v>
      </c>
      <c r="D244">
        <v>339</v>
      </c>
      <c r="E244">
        <v>0.25</v>
      </c>
      <c r="F244">
        <f t="shared" ref="F244:F245" si="361">C244/42.54</f>
        <v>4.3958627174424073E-2</v>
      </c>
      <c r="G244">
        <f t="shared" ref="G244:G245" si="362">D244/543</f>
        <v>0.62430939226519333</v>
      </c>
      <c r="H244">
        <f t="shared" ref="H244:H245" si="363">E244/0.86</f>
        <v>0.29069767441860467</v>
      </c>
      <c r="I244">
        <f t="shared" ref="I244:I245" si="364">AVERAGE(F244:H244)</f>
        <v>0.31965523128607404</v>
      </c>
      <c r="K244">
        <f t="shared" ref="K244:K245" si="365">LN(I244)</f>
        <v>-1.1405122662343856</v>
      </c>
      <c r="L244">
        <f t="shared" ref="L244:L245" si="366">I244*K244</f>
        <v>-0.364570712247757</v>
      </c>
    </row>
    <row r="245" spans="1:20" x14ac:dyDescent="0.25">
      <c r="B245" t="s">
        <v>83</v>
      </c>
      <c r="C245">
        <v>4.37</v>
      </c>
      <c r="D245">
        <v>65</v>
      </c>
      <c r="E245">
        <v>0.27</v>
      </c>
      <c r="F245">
        <f t="shared" si="361"/>
        <v>0.10272684532204984</v>
      </c>
      <c r="G245">
        <f t="shared" si="362"/>
        <v>0.11970534069981584</v>
      </c>
      <c r="H245">
        <f t="shared" si="363"/>
        <v>0.31395348837209303</v>
      </c>
      <c r="I245">
        <f t="shared" si="364"/>
        <v>0.17879522479798624</v>
      </c>
      <c r="K245">
        <f t="shared" si="365"/>
        <v>-1.7215141235457458</v>
      </c>
      <c r="L245">
        <f t="shared" si="366"/>
        <v>-0.30779850471226988</v>
      </c>
    </row>
    <row r="246" spans="1:20" x14ac:dyDescent="0.25">
      <c r="C246">
        <f>SUM(C243:C245)</f>
        <v>42.539999999999992</v>
      </c>
      <c r="D246">
        <f t="shared" ref="D246:E246" si="367">SUM(D243:D245)</f>
        <v>543</v>
      </c>
      <c r="E246">
        <f t="shared" si="367"/>
        <v>0.8600000000000001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71017-C03B-4EAA-B57F-1CE6D35BF293}">
  <dimension ref="A1:M56"/>
  <sheetViews>
    <sheetView topLeftCell="A4" workbookViewId="0">
      <selection activeCell="G21" sqref="G21:G38"/>
    </sheetView>
  </sheetViews>
  <sheetFormatPr defaultRowHeight="13.8" x14ac:dyDescent="0.25"/>
  <sheetData>
    <row r="1" spans="1:13" x14ac:dyDescent="0.25">
      <c r="C1" t="s">
        <v>118</v>
      </c>
    </row>
    <row r="2" spans="1:13" x14ac:dyDescent="0.25">
      <c r="C2" t="s">
        <v>116</v>
      </c>
      <c r="D2" t="s">
        <v>105</v>
      </c>
      <c r="E2" t="s">
        <v>107</v>
      </c>
      <c r="F2" t="s">
        <v>109</v>
      </c>
      <c r="G2" t="s">
        <v>111</v>
      </c>
      <c r="H2" t="s">
        <v>117</v>
      </c>
      <c r="I2" t="s">
        <v>93</v>
      </c>
      <c r="J2" t="s">
        <v>125</v>
      </c>
      <c r="K2" t="s">
        <v>96</v>
      </c>
      <c r="L2" t="s">
        <v>127</v>
      </c>
      <c r="M2" t="s">
        <v>129</v>
      </c>
    </row>
    <row r="3" spans="1:13" x14ac:dyDescent="0.25">
      <c r="A3" t="s">
        <v>114</v>
      </c>
      <c r="C3">
        <v>6835</v>
      </c>
      <c r="D3">
        <v>43352</v>
      </c>
      <c r="E3">
        <v>8265</v>
      </c>
      <c r="F3">
        <v>0.56699999999999995</v>
      </c>
      <c r="G3">
        <v>4.49</v>
      </c>
      <c r="H3">
        <v>2.04</v>
      </c>
      <c r="I3">
        <v>1.0652310003644161</v>
      </c>
      <c r="J3">
        <v>1.5720051098427352</v>
      </c>
      <c r="K3">
        <v>0.44423583150121465</v>
      </c>
      <c r="L3">
        <v>5783.4394904458595</v>
      </c>
      <c r="M3">
        <v>154.02000000000001</v>
      </c>
    </row>
    <row r="4" spans="1:13" x14ac:dyDescent="0.25">
      <c r="A4" t="s">
        <v>37</v>
      </c>
      <c r="C4">
        <v>6601</v>
      </c>
      <c r="D4">
        <v>20662</v>
      </c>
      <c r="E4">
        <v>11233</v>
      </c>
      <c r="F4">
        <v>0.57699999999999996</v>
      </c>
      <c r="G4">
        <v>4.53</v>
      </c>
      <c r="H4">
        <v>1.73</v>
      </c>
      <c r="I4">
        <v>1.0620988034731274</v>
      </c>
      <c r="J4">
        <v>1.7358848841200356</v>
      </c>
      <c r="K4">
        <v>0.42742000129612101</v>
      </c>
      <c r="L4">
        <v>8144.3736730360934</v>
      </c>
      <c r="M4">
        <v>230.19</v>
      </c>
    </row>
    <row r="5" spans="1:13" x14ac:dyDescent="0.25">
      <c r="A5" t="s">
        <v>16</v>
      </c>
      <c r="C5">
        <v>6867</v>
      </c>
      <c r="D5">
        <v>24917</v>
      </c>
      <c r="E5">
        <v>10820</v>
      </c>
      <c r="F5">
        <v>0.65500000000000003</v>
      </c>
      <c r="G5">
        <v>6.33</v>
      </c>
      <c r="H5">
        <v>1.99</v>
      </c>
      <c r="I5">
        <v>0.99586612168299693</v>
      </c>
      <c r="J5">
        <v>1.752004852235006</v>
      </c>
      <c r="K5">
        <v>0.40076600936617041</v>
      </c>
      <c r="L5">
        <v>10861.995753715499</v>
      </c>
      <c r="M5">
        <v>129.66</v>
      </c>
    </row>
    <row r="6" spans="1:13" x14ac:dyDescent="0.25">
      <c r="A6" t="s">
        <v>38</v>
      </c>
      <c r="C6">
        <v>6427</v>
      </c>
      <c r="D6">
        <v>25227</v>
      </c>
      <c r="E6">
        <v>12622</v>
      </c>
      <c r="F6">
        <v>0.64600000000000002</v>
      </c>
      <c r="G6">
        <v>4.53</v>
      </c>
      <c r="H6">
        <v>1.92</v>
      </c>
      <c r="I6">
        <v>1.0574370880882413</v>
      </c>
      <c r="J6">
        <v>1.8905410718701345</v>
      </c>
      <c r="K6">
        <v>0.41226431430785015</v>
      </c>
      <c r="L6">
        <v>8305.7324840764322</v>
      </c>
      <c r="M6">
        <v>179.59</v>
      </c>
    </row>
    <row r="7" spans="1:13" x14ac:dyDescent="0.25">
      <c r="A7" t="s">
        <v>12</v>
      </c>
      <c r="C7">
        <v>7574</v>
      </c>
      <c r="D7">
        <v>24958</v>
      </c>
      <c r="E7">
        <v>12404</v>
      </c>
      <c r="F7">
        <v>0.65100000000000002</v>
      </c>
      <c r="G7">
        <v>4.9800000000000004</v>
      </c>
      <c r="H7">
        <v>1.19</v>
      </c>
      <c r="I7">
        <v>1.0604969703669966</v>
      </c>
      <c r="J7">
        <v>1.9034177889413517</v>
      </c>
      <c r="K7">
        <v>0.41345727442219082</v>
      </c>
      <c r="L7">
        <v>9371.5498938428882</v>
      </c>
      <c r="M7">
        <v>145.10999999999999</v>
      </c>
    </row>
    <row r="8" spans="1:13" x14ac:dyDescent="0.25">
      <c r="A8" t="s">
        <v>32</v>
      </c>
      <c r="C8">
        <v>6571</v>
      </c>
      <c r="D8">
        <v>25024</v>
      </c>
      <c r="E8">
        <v>9891</v>
      </c>
      <c r="F8">
        <v>0.57699999999999996</v>
      </c>
      <c r="G8">
        <v>4.96</v>
      </c>
      <c r="H8">
        <v>1.52</v>
      </c>
      <c r="I8">
        <v>1.073460403483991</v>
      </c>
      <c r="J8">
        <v>1.7398001574636992</v>
      </c>
      <c r="K8">
        <v>0.43199224549363785</v>
      </c>
      <c r="L8">
        <v>12721.868365180468</v>
      </c>
      <c r="M8">
        <v>184.07999999999998</v>
      </c>
    </row>
    <row r="9" spans="1:13" x14ac:dyDescent="0.25">
      <c r="A9" t="s">
        <v>33</v>
      </c>
      <c r="C9">
        <v>5895</v>
      </c>
      <c r="D9">
        <v>17100</v>
      </c>
      <c r="E9">
        <v>9670</v>
      </c>
      <c r="F9">
        <v>0.54700000000000004</v>
      </c>
      <c r="G9">
        <v>3.46</v>
      </c>
      <c r="H9">
        <v>0.73499999999999999</v>
      </c>
      <c r="I9">
        <v>1.0446329393022127</v>
      </c>
      <c r="J9">
        <v>1.8968884707706928</v>
      </c>
      <c r="K9">
        <v>0.40727234487625852</v>
      </c>
      <c r="L9">
        <v>11617.834394904459</v>
      </c>
      <c r="M9">
        <v>124.27</v>
      </c>
    </row>
    <row r="10" spans="1:13" x14ac:dyDescent="0.25">
      <c r="A10" t="s">
        <v>34</v>
      </c>
      <c r="C10">
        <v>5926</v>
      </c>
      <c r="D10">
        <v>21300</v>
      </c>
      <c r="E10">
        <v>6732</v>
      </c>
      <c r="F10">
        <v>0.59699999999999998</v>
      </c>
      <c r="G10">
        <v>3.72</v>
      </c>
      <c r="H10">
        <v>1.23</v>
      </c>
      <c r="I10">
        <v>1.0455819736233831</v>
      </c>
      <c r="J10">
        <v>1.7398001574636992</v>
      </c>
      <c r="K10">
        <v>0.42077313999404642</v>
      </c>
      <c r="L10">
        <v>9473.460721868365</v>
      </c>
      <c r="M10">
        <v>140.47999999999999</v>
      </c>
    </row>
    <row r="11" spans="1:13" x14ac:dyDescent="0.25">
      <c r="A11" t="s">
        <v>35</v>
      </c>
      <c r="C11">
        <v>5660</v>
      </c>
      <c r="D11">
        <v>19200</v>
      </c>
      <c r="E11">
        <v>11309</v>
      </c>
      <c r="F11">
        <v>0.65800000000000003</v>
      </c>
      <c r="G11">
        <v>5.05</v>
      </c>
      <c r="H11">
        <v>0.89200000000000002</v>
      </c>
      <c r="I11">
        <v>1.0549488389932837</v>
      </c>
      <c r="J11">
        <v>1.9034177889413517</v>
      </c>
      <c r="K11">
        <v>0.41129421753470369</v>
      </c>
      <c r="L11">
        <v>10687.898089171977</v>
      </c>
      <c r="M11">
        <v>149.94</v>
      </c>
    </row>
    <row r="12" spans="1:13" x14ac:dyDescent="0.25">
      <c r="A12" t="s">
        <v>39</v>
      </c>
      <c r="C12">
        <v>6984</v>
      </c>
      <c r="D12">
        <v>14200</v>
      </c>
      <c r="E12">
        <v>10742</v>
      </c>
      <c r="F12">
        <v>0.66800000000000004</v>
      </c>
      <c r="G12">
        <v>3.79</v>
      </c>
      <c r="H12">
        <v>0.749</v>
      </c>
      <c r="I12">
        <v>1.0348864935565985</v>
      </c>
      <c r="J12">
        <v>1.903970404395535</v>
      </c>
      <c r="K12">
        <v>0.40347248593664187</v>
      </c>
      <c r="L12">
        <v>10726.114649681529</v>
      </c>
      <c r="M12">
        <v>140.63</v>
      </c>
    </row>
    <row r="13" spans="1:13" x14ac:dyDescent="0.25">
      <c r="A13" t="s">
        <v>40</v>
      </c>
      <c r="C13">
        <v>7376</v>
      </c>
      <c r="D13">
        <v>16800</v>
      </c>
      <c r="E13">
        <v>11288</v>
      </c>
      <c r="F13">
        <v>0.49299999999999999</v>
      </c>
      <c r="G13">
        <v>3.19</v>
      </c>
      <c r="H13">
        <v>1.1399999999999999</v>
      </c>
      <c r="I13">
        <v>1.047077513034568</v>
      </c>
      <c r="J13">
        <v>1.7388144315398018</v>
      </c>
      <c r="K13">
        <v>0.42137498932762696</v>
      </c>
      <c r="L13">
        <v>6955.4140127388537</v>
      </c>
      <c r="M13">
        <v>144.55000000000001</v>
      </c>
    </row>
    <row r="14" spans="1:13" x14ac:dyDescent="0.25">
      <c r="A14" t="s">
        <v>41</v>
      </c>
      <c r="C14">
        <v>5442</v>
      </c>
      <c r="D14">
        <v>17900</v>
      </c>
      <c r="E14">
        <v>11757</v>
      </c>
      <c r="F14">
        <v>0.56599999999999995</v>
      </c>
      <c r="G14">
        <v>3.66</v>
      </c>
      <c r="H14">
        <v>1.1499999999999999</v>
      </c>
      <c r="I14">
        <v>1.0396296871388218</v>
      </c>
      <c r="J14">
        <v>1.8879478826647491</v>
      </c>
      <c r="K14">
        <v>0.40532172072501116</v>
      </c>
      <c r="L14">
        <v>7660.297239915074</v>
      </c>
      <c r="M14">
        <v>145.91</v>
      </c>
    </row>
    <row r="15" spans="1:13" x14ac:dyDescent="0.25">
      <c r="A15" t="s">
        <v>42</v>
      </c>
      <c r="C15">
        <v>2400</v>
      </c>
      <c r="D15">
        <v>13900</v>
      </c>
      <c r="E15">
        <v>11900</v>
      </c>
      <c r="F15">
        <v>0.376</v>
      </c>
      <c r="G15">
        <v>2</v>
      </c>
      <c r="H15">
        <v>0.72899999999999998</v>
      </c>
      <c r="I15">
        <v>1.0393719552978646</v>
      </c>
      <c r="J15">
        <v>2.0509279880697364</v>
      </c>
      <c r="K15">
        <v>0.39384212826077258</v>
      </c>
      <c r="L15">
        <v>10700.636942675159</v>
      </c>
      <c r="M15">
        <v>173.9</v>
      </c>
    </row>
    <row r="16" spans="1:13" x14ac:dyDescent="0.25">
      <c r="A16" t="s">
        <v>43</v>
      </c>
      <c r="C16">
        <v>6505</v>
      </c>
      <c r="D16">
        <v>10900</v>
      </c>
      <c r="E16">
        <v>14000</v>
      </c>
      <c r="F16">
        <v>0.83199999999999996</v>
      </c>
      <c r="G16">
        <v>3.12</v>
      </c>
      <c r="H16">
        <v>1.1299999999999999</v>
      </c>
      <c r="I16">
        <v>1.0661438376732137</v>
      </c>
      <c r="J16">
        <v>1.8931642966797568</v>
      </c>
      <c r="K16">
        <v>0.41565882561063444</v>
      </c>
      <c r="L16">
        <v>7269.6390658174105</v>
      </c>
      <c r="M16">
        <v>184.8</v>
      </c>
    </row>
    <row r="17" spans="1:13" x14ac:dyDescent="0.25">
      <c r="A17" t="s">
        <v>44</v>
      </c>
      <c r="C17">
        <v>7699</v>
      </c>
      <c r="D17">
        <v>14000</v>
      </c>
      <c r="E17">
        <v>9300</v>
      </c>
      <c r="F17">
        <v>0.68899999999999995</v>
      </c>
      <c r="G17">
        <v>3.42</v>
      </c>
      <c r="H17">
        <v>0.79900000000000004</v>
      </c>
      <c r="I17">
        <v>1.0360587350924912</v>
      </c>
      <c r="J17">
        <v>2.0749201927547025</v>
      </c>
      <c r="K17">
        <v>0.39258667231891309</v>
      </c>
      <c r="L17">
        <v>5800.4246284501069</v>
      </c>
      <c r="M17">
        <v>151.19999999999999</v>
      </c>
    </row>
    <row r="18" spans="1:13" x14ac:dyDescent="0.25">
      <c r="A18" t="s">
        <v>45</v>
      </c>
      <c r="C18">
        <v>5024</v>
      </c>
      <c r="D18">
        <v>13800</v>
      </c>
      <c r="E18">
        <v>10000</v>
      </c>
      <c r="F18">
        <v>0.52800000000000002</v>
      </c>
      <c r="G18">
        <v>2.9</v>
      </c>
      <c r="H18">
        <v>0.91</v>
      </c>
      <c r="I18">
        <v>1.0392217857929431</v>
      </c>
      <c r="J18">
        <v>1.9078764158274562</v>
      </c>
      <c r="K18">
        <v>0.40516269171935376</v>
      </c>
      <c r="L18">
        <v>8789.8089171974516</v>
      </c>
      <c r="M18">
        <v>138.80000000000001</v>
      </c>
    </row>
    <row r="19" spans="1:13" x14ac:dyDescent="0.25">
      <c r="A19" t="s">
        <v>46</v>
      </c>
      <c r="C19">
        <v>6179</v>
      </c>
      <c r="D19">
        <v>15400</v>
      </c>
      <c r="E19">
        <v>11100</v>
      </c>
      <c r="F19">
        <v>0.59399999999999997</v>
      </c>
      <c r="G19">
        <v>2.75</v>
      </c>
      <c r="H19">
        <v>0.41599999999999998</v>
      </c>
      <c r="I19">
        <v>1.0294322167016443</v>
      </c>
      <c r="J19">
        <v>2.0567119999992558</v>
      </c>
      <c r="K19">
        <v>0.39007573088672637</v>
      </c>
      <c r="L19">
        <v>16602.972399150745</v>
      </c>
      <c r="M19">
        <v>152.1</v>
      </c>
    </row>
    <row r="20" spans="1:13" x14ac:dyDescent="0.25">
      <c r="A20" t="s">
        <v>47</v>
      </c>
      <c r="C20">
        <v>2823</v>
      </c>
      <c r="D20">
        <v>16000</v>
      </c>
      <c r="E20">
        <v>12300</v>
      </c>
      <c r="F20">
        <v>0.42499999999999999</v>
      </c>
      <c r="G20">
        <v>2.37</v>
      </c>
      <c r="H20">
        <v>1.31</v>
      </c>
      <c r="I20">
        <v>1.0672279963864102</v>
      </c>
      <c r="J20">
        <v>1.9248010001165392</v>
      </c>
      <c r="K20">
        <v>0.41608150791819837</v>
      </c>
      <c r="L20">
        <v>11719.745222929938</v>
      </c>
      <c r="M20">
        <v>163.4</v>
      </c>
    </row>
    <row r="21" spans="1:13" x14ac:dyDescent="0.25">
      <c r="A21" t="s">
        <v>15</v>
      </c>
      <c r="C21">
        <v>5966</v>
      </c>
      <c r="D21">
        <v>18776</v>
      </c>
      <c r="E21">
        <v>11429</v>
      </c>
      <c r="F21">
        <v>0.46700000000000003</v>
      </c>
      <c r="G21">
        <v>4.57</v>
      </c>
      <c r="H21">
        <v>0.92900000000000005</v>
      </c>
      <c r="I21">
        <v>1.0764988152725488</v>
      </c>
      <c r="J21">
        <v>2.0584739609165963</v>
      </c>
      <c r="K21">
        <v>0.40791035616853721</v>
      </c>
      <c r="L21">
        <v>10416.135881104035</v>
      </c>
      <c r="M21">
        <v>238.45000000000002</v>
      </c>
    </row>
    <row r="22" spans="1:13" x14ac:dyDescent="0.25">
      <c r="A22" t="s">
        <v>29</v>
      </c>
      <c r="C22">
        <v>6481</v>
      </c>
      <c r="D22">
        <v>22886</v>
      </c>
      <c r="E22">
        <v>9873</v>
      </c>
      <c r="F22">
        <v>0.498</v>
      </c>
      <c r="G22">
        <v>6.13</v>
      </c>
      <c r="H22">
        <v>0.95299999999999996</v>
      </c>
      <c r="I22">
        <v>1.0400456365573953</v>
      </c>
      <c r="J22">
        <v>1.9084398742727515</v>
      </c>
      <c r="K22">
        <v>0.40548388744279196</v>
      </c>
      <c r="L22">
        <v>9231.4225053078553</v>
      </c>
      <c r="M22">
        <v>166.57000000000002</v>
      </c>
    </row>
    <row r="23" spans="1:13" x14ac:dyDescent="0.25">
      <c r="A23" t="s">
        <v>52</v>
      </c>
      <c r="C23">
        <v>6767</v>
      </c>
      <c r="D23">
        <v>21564</v>
      </c>
      <c r="E23">
        <v>8968</v>
      </c>
      <c r="F23">
        <v>0.41699999999999998</v>
      </c>
      <c r="G23">
        <v>5.97</v>
      </c>
      <c r="H23">
        <v>1.1499999999999999</v>
      </c>
      <c r="I23">
        <v>1.072673650157101</v>
      </c>
      <c r="J23">
        <v>1.5848065789547165</v>
      </c>
      <c r="K23">
        <v>0.44733965754279098</v>
      </c>
      <c r="L23">
        <v>9252.653927813164</v>
      </c>
      <c r="M23">
        <v>164.44</v>
      </c>
    </row>
    <row r="24" spans="1:13" x14ac:dyDescent="0.25">
      <c r="A24" t="s">
        <v>13</v>
      </c>
      <c r="C24">
        <v>6573</v>
      </c>
      <c r="D24">
        <v>23846</v>
      </c>
      <c r="E24">
        <v>9338</v>
      </c>
      <c r="F24">
        <v>0.48199999999999998</v>
      </c>
      <c r="G24">
        <v>5.35</v>
      </c>
      <c r="H24">
        <v>1.97</v>
      </c>
      <c r="I24">
        <v>1.0623318599505334</v>
      </c>
      <c r="J24">
        <v>1.9266241952661141</v>
      </c>
      <c r="K24">
        <v>0.41417264510902291</v>
      </c>
      <c r="L24">
        <v>7180.4670912951169</v>
      </c>
      <c r="M24">
        <v>104.77000000000001</v>
      </c>
    </row>
    <row r="25" spans="1:13" x14ac:dyDescent="0.25">
      <c r="A25" t="s">
        <v>23</v>
      </c>
      <c r="C25">
        <v>7803</v>
      </c>
      <c r="D25">
        <v>24764</v>
      </c>
      <c r="E25">
        <v>9359</v>
      </c>
      <c r="F25">
        <v>0.498</v>
      </c>
      <c r="G25">
        <v>6.11</v>
      </c>
      <c r="H25">
        <v>0.95799999999999996</v>
      </c>
      <c r="I25">
        <v>1.0752028826992324</v>
      </c>
      <c r="J25">
        <v>1.7530545322295448</v>
      </c>
      <c r="K25">
        <v>0.43269347071487102</v>
      </c>
      <c r="L25">
        <v>11142.250530785563</v>
      </c>
      <c r="M25">
        <v>182.86</v>
      </c>
    </row>
    <row r="26" spans="1:13" x14ac:dyDescent="0.25">
      <c r="A26" t="s">
        <v>18</v>
      </c>
      <c r="C26">
        <v>6693</v>
      </c>
      <c r="D26">
        <v>23113</v>
      </c>
      <c r="E26">
        <v>10348</v>
      </c>
      <c r="F26">
        <v>0.40500000000000003</v>
      </c>
      <c r="G26">
        <v>5.99</v>
      </c>
      <c r="H26">
        <v>0.94</v>
      </c>
      <c r="I26">
        <v>1.0843425182866515</v>
      </c>
      <c r="J26">
        <v>1.9200076056080144</v>
      </c>
      <c r="K26">
        <v>0.42275396788332575</v>
      </c>
      <c r="L26">
        <v>12114.649681528663</v>
      </c>
      <c r="M26">
        <v>102.89</v>
      </c>
    </row>
    <row r="27" spans="1:13" x14ac:dyDescent="0.25">
      <c r="A27" t="s">
        <v>53</v>
      </c>
      <c r="C27">
        <v>6741</v>
      </c>
      <c r="D27">
        <v>20300</v>
      </c>
      <c r="E27">
        <v>11566</v>
      </c>
      <c r="F27">
        <v>0.5</v>
      </c>
      <c r="G27">
        <v>4.88</v>
      </c>
      <c r="H27">
        <v>0.76800000000000002</v>
      </c>
      <c r="I27">
        <v>1.0737521596463175</v>
      </c>
      <c r="J27">
        <v>2.0687018556244237</v>
      </c>
      <c r="K27">
        <v>0.40686958467963907</v>
      </c>
      <c r="L27">
        <v>11197.452229299364</v>
      </c>
      <c r="M27">
        <v>177.48000000000002</v>
      </c>
    </row>
    <row r="28" spans="1:13" x14ac:dyDescent="0.25">
      <c r="A28" t="s">
        <v>54</v>
      </c>
      <c r="C28">
        <v>7151</v>
      </c>
      <c r="D28">
        <v>20300</v>
      </c>
      <c r="E28">
        <v>9961</v>
      </c>
      <c r="F28">
        <v>0.498</v>
      </c>
      <c r="G28">
        <v>2.5299999999999998</v>
      </c>
      <c r="H28">
        <v>0.78</v>
      </c>
      <c r="I28">
        <v>1.0738324251977676</v>
      </c>
      <c r="J28">
        <v>1.9248010001165392</v>
      </c>
      <c r="K28">
        <v>0.41865638480305567</v>
      </c>
      <c r="L28">
        <v>12547.770700636944</v>
      </c>
      <c r="M28">
        <v>73.73</v>
      </c>
    </row>
    <row r="29" spans="1:13" x14ac:dyDescent="0.25">
      <c r="A29" t="s">
        <v>55</v>
      </c>
      <c r="C29">
        <v>6437</v>
      </c>
      <c r="D29">
        <v>18000</v>
      </c>
      <c r="E29">
        <v>9374</v>
      </c>
      <c r="F29">
        <v>0.497</v>
      </c>
      <c r="G29">
        <v>4.71</v>
      </c>
      <c r="H29">
        <v>0.93300000000000005</v>
      </c>
      <c r="I29">
        <v>1.0662035283869487</v>
      </c>
      <c r="J29">
        <v>2.2413962049719505</v>
      </c>
      <c r="K29">
        <v>0.39371630849124972</v>
      </c>
      <c r="L29">
        <v>10152.866242038217</v>
      </c>
      <c r="M29">
        <v>41.56</v>
      </c>
    </row>
    <row r="30" spans="1:13" x14ac:dyDescent="0.25">
      <c r="A30" t="s">
        <v>56</v>
      </c>
      <c r="C30">
        <v>5950</v>
      </c>
      <c r="D30">
        <v>16500</v>
      </c>
      <c r="E30">
        <v>10213</v>
      </c>
      <c r="F30">
        <v>0.48299999999999998</v>
      </c>
      <c r="G30">
        <v>5.25</v>
      </c>
      <c r="H30">
        <v>0.77200000000000002</v>
      </c>
      <c r="I30">
        <v>1.0348864935565985</v>
      </c>
      <c r="J30">
        <v>2.0626346047618296</v>
      </c>
      <c r="K30">
        <v>0.39214248282642344</v>
      </c>
      <c r="L30">
        <v>10250.530785562634</v>
      </c>
      <c r="M30">
        <v>45.02</v>
      </c>
    </row>
    <row r="31" spans="1:13" x14ac:dyDescent="0.25">
      <c r="A31" t="s">
        <v>57</v>
      </c>
      <c r="C31">
        <v>6386</v>
      </c>
      <c r="D31">
        <v>17700</v>
      </c>
      <c r="E31">
        <v>11030</v>
      </c>
      <c r="F31">
        <v>0.30499999999999999</v>
      </c>
      <c r="G31">
        <v>4.6399999999999997</v>
      </c>
      <c r="H31">
        <v>1.86</v>
      </c>
      <c r="I31">
        <v>1.0750874505196069</v>
      </c>
      <c r="J31">
        <v>1.9095709436533144</v>
      </c>
      <c r="K31">
        <v>0.41914568308810307</v>
      </c>
      <c r="L31">
        <v>9375.7961783439496</v>
      </c>
      <c r="M31">
        <v>118.21</v>
      </c>
    </row>
    <row r="32" spans="1:13" x14ac:dyDescent="0.25">
      <c r="A32" t="s">
        <v>58</v>
      </c>
      <c r="C32">
        <v>6322</v>
      </c>
      <c r="D32">
        <v>19000</v>
      </c>
      <c r="E32">
        <v>12248</v>
      </c>
      <c r="F32">
        <v>0.46300000000000002</v>
      </c>
      <c r="G32">
        <v>2.29</v>
      </c>
      <c r="H32">
        <v>0.95299999999999996</v>
      </c>
      <c r="I32">
        <v>1.0369516875275127</v>
      </c>
      <c r="J32">
        <v>1.9248010001165392</v>
      </c>
      <c r="K32">
        <v>0.40427764568176761</v>
      </c>
      <c r="L32">
        <v>11150.743099787687</v>
      </c>
      <c r="M32">
        <v>46.34</v>
      </c>
    </row>
    <row r="33" spans="1:13" x14ac:dyDescent="0.25">
      <c r="A33" t="s">
        <v>59</v>
      </c>
      <c r="C33">
        <v>8243</v>
      </c>
      <c r="D33">
        <v>14800</v>
      </c>
      <c r="E33">
        <v>10600</v>
      </c>
      <c r="F33">
        <v>0.34599999999999997</v>
      </c>
      <c r="G33">
        <v>2.87</v>
      </c>
      <c r="H33">
        <v>0.63600000000000001</v>
      </c>
      <c r="I33">
        <v>1.077050555141152</v>
      </c>
      <c r="J33">
        <v>2.0812964760453827</v>
      </c>
      <c r="K33">
        <v>0.40811942319501399</v>
      </c>
      <c r="L33">
        <v>9214.4373673036098</v>
      </c>
      <c r="M33">
        <v>152</v>
      </c>
    </row>
    <row r="34" spans="1:13" x14ac:dyDescent="0.25">
      <c r="A34" t="s">
        <v>60</v>
      </c>
      <c r="C34">
        <v>4890</v>
      </c>
      <c r="D34">
        <v>17900</v>
      </c>
      <c r="E34">
        <v>12600</v>
      </c>
      <c r="F34">
        <v>0.54</v>
      </c>
      <c r="G34">
        <v>4.49</v>
      </c>
      <c r="H34">
        <v>0.77500000000000002</v>
      </c>
      <c r="I34">
        <v>1.0734847509584224</v>
      </c>
      <c r="J34">
        <v>2.2318307828114694</v>
      </c>
      <c r="K34">
        <v>0.39640504098539264</v>
      </c>
      <c r="L34">
        <v>8615.7112526539277</v>
      </c>
      <c r="M34">
        <v>57.900000000000006</v>
      </c>
    </row>
    <row r="35" spans="1:13" x14ac:dyDescent="0.25">
      <c r="A35" t="s">
        <v>61</v>
      </c>
      <c r="C35">
        <v>6351</v>
      </c>
      <c r="D35">
        <v>15600</v>
      </c>
      <c r="E35">
        <v>9500</v>
      </c>
      <c r="F35">
        <v>0.221</v>
      </c>
      <c r="G35">
        <v>2.09</v>
      </c>
      <c r="H35">
        <v>0.54800000000000004</v>
      </c>
      <c r="I35">
        <v>1.0757632015948242</v>
      </c>
      <c r="J35">
        <v>1.8931642966797568</v>
      </c>
      <c r="K35">
        <v>0.41940913900127796</v>
      </c>
      <c r="L35">
        <v>11804.670912951169</v>
      </c>
      <c r="M35">
        <v>66.100000000000009</v>
      </c>
    </row>
    <row r="36" spans="1:13" x14ac:dyDescent="0.25">
      <c r="A36" t="s">
        <v>62</v>
      </c>
      <c r="C36">
        <v>5828</v>
      </c>
      <c r="D36">
        <v>13200</v>
      </c>
      <c r="E36">
        <v>10900</v>
      </c>
      <c r="F36">
        <v>0.32800000000000001</v>
      </c>
      <c r="G36">
        <v>2.23</v>
      </c>
      <c r="H36">
        <v>0.86399999999999999</v>
      </c>
      <c r="I36">
        <v>1.0664480548607109</v>
      </c>
      <c r="J36">
        <v>2.0644393069130307</v>
      </c>
      <c r="K36">
        <v>0.40410189005488001</v>
      </c>
      <c r="L36">
        <v>8118.8959660297251</v>
      </c>
      <c r="M36">
        <v>41.199999999999996</v>
      </c>
    </row>
    <row r="37" spans="1:13" x14ac:dyDescent="0.25">
      <c r="A37" t="s">
        <v>63</v>
      </c>
      <c r="C37">
        <v>9306</v>
      </c>
      <c r="D37">
        <v>15300</v>
      </c>
      <c r="E37">
        <v>11400</v>
      </c>
      <c r="F37">
        <v>0.23</v>
      </c>
      <c r="G37">
        <v>1.8</v>
      </c>
      <c r="H37">
        <v>1.3</v>
      </c>
      <c r="I37">
        <v>1.068580639712831</v>
      </c>
      <c r="J37">
        <v>1.900129810076858</v>
      </c>
      <c r="K37">
        <v>0.41660886465625085</v>
      </c>
      <c r="L37">
        <v>9384.2887473460723</v>
      </c>
      <c r="M37">
        <v>77.400000000000006</v>
      </c>
    </row>
    <row r="38" spans="1:13" x14ac:dyDescent="0.25">
      <c r="A38" t="s">
        <v>64</v>
      </c>
      <c r="C38">
        <v>10385</v>
      </c>
      <c r="D38">
        <v>12000</v>
      </c>
      <c r="E38">
        <v>11600</v>
      </c>
      <c r="F38">
        <v>0.23599999999999999</v>
      </c>
      <c r="G38">
        <v>2.13</v>
      </c>
      <c r="H38">
        <v>1.1200000000000001</v>
      </c>
      <c r="I38">
        <v>1.0648428133338261</v>
      </c>
      <c r="J38">
        <v>2.0705511890050072</v>
      </c>
      <c r="K38">
        <v>0.40349362682813217</v>
      </c>
      <c r="L38">
        <v>9825.9023354564761</v>
      </c>
      <c r="M38">
        <v>149.9</v>
      </c>
    </row>
    <row r="39" spans="1:13" x14ac:dyDescent="0.25">
      <c r="A39" t="s">
        <v>115</v>
      </c>
      <c r="C39">
        <v>8453</v>
      </c>
      <c r="D39">
        <v>19702</v>
      </c>
      <c r="E39">
        <v>8397</v>
      </c>
      <c r="F39">
        <v>0.67300000000000004</v>
      </c>
      <c r="G39">
        <v>4.59</v>
      </c>
      <c r="H39">
        <v>1.63</v>
      </c>
      <c r="I39">
        <v>1.0535076152072151</v>
      </c>
      <c r="J39">
        <v>1.9229919153792812</v>
      </c>
      <c r="K39">
        <v>0.41073232582254299</v>
      </c>
      <c r="L39">
        <v>13002.123142250532</v>
      </c>
      <c r="M39">
        <v>231.69</v>
      </c>
    </row>
    <row r="40" spans="1:13" x14ac:dyDescent="0.25">
      <c r="A40" t="s">
        <v>17</v>
      </c>
      <c r="C40">
        <v>8138</v>
      </c>
      <c r="D40">
        <v>23375</v>
      </c>
      <c r="E40">
        <v>9960</v>
      </c>
      <c r="F40">
        <v>0.64300000000000002</v>
      </c>
      <c r="G40">
        <v>5.18</v>
      </c>
      <c r="H40">
        <v>1.46</v>
      </c>
      <c r="I40">
        <v>1.038475509767685</v>
      </c>
      <c r="J40">
        <v>2.0549625100015838</v>
      </c>
      <c r="K40">
        <v>0.39350244426826519</v>
      </c>
      <c r="L40">
        <v>9898.0891719745214</v>
      </c>
      <c r="M40">
        <v>144.52000000000001</v>
      </c>
    </row>
    <row r="41" spans="1:13" x14ac:dyDescent="0.25">
      <c r="A41" t="s">
        <v>30</v>
      </c>
      <c r="C41">
        <v>6712</v>
      </c>
      <c r="D41">
        <v>21969</v>
      </c>
      <c r="E41">
        <v>8346</v>
      </c>
      <c r="F41">
        <v>0.66</v>
      </c>
      <c r="G41">
        <v>5.16</v>
      </c>
      <c r="H41">
        <v>0.44</v>
      </c>
      <c r="I41">
        <v>1.0477923971918599</v>
      </c>
      <c r="J41">
        <v>1.8985033846146977</v>
      </c>
      <c r="K41">
        <v>0.40850412665801528</v>
      </c>
      <c r="L41">
        <v>9358.8110403397022</v>
      </c>
      <c r="M41">
        <v>143.25</v>
      </c>
    </row>
    <row r="42" spans="1:13" x14ac:dyDescent="0.25">
      <c r="A42" t="s">
        <v>14</v>
      </c>
      <c r="C42">
        <v>9636</v>
      </c>
      <c r="D42">
        <v>22244</v>
      </c>
      <c r="E42">
        <v>9513</v>
      </c>
      <c r="F42">
        <v>0.60499999999999998</v>
      </c>
      <c r="G42">
        <v>4.01</v>
      </c>
      <c r="H42">
        <v>1.81</v>
      </c>
      <c r="I42">
        <v>1.0360610921424229</v>
      </c>
      <c r="J42">
        <v>1.8990442401339094</v>
      </c>
      <c r="K42">
        <v>0.40393042814996766</v>
      </c>
      <c r="L42">
        <v>11099.787685774947</v>
      </c>
      <c r="M42">
        <v>154.51999999999998</v>
      </c>
    </row>
    <row r="43" spans="1:13" x14ac:dyDescent="0.25">
      <c r="A43" t="s">
        <v>25</v>
      </c>
      <c r="C43">
        <v>7804</v>
      </c>
      <c r="D43">
        <v>23605</v>
      </c>
      <c r="E43">
        <v>8216</v>
      </c>
      <c r="F43">
        <v>0.67200000000000004</v>
      </c>
      <c r="G43">
        <v>4.58</v>
      </c>
      <c r="H43">
        <v>1.9</v>
      </c>
      <c r="I43">
        <v>1.0535076152072151</v>
      </c>
      <c r="J43">
        <v>1.6024932628160675</v>
      </c>
      <c r="K43">
        <v>0.43934680015351962</v>
      </c>
      <c r="L43">
        <v>10564.755838641189</v>
      </c>
      <c r="M43">
        <v>119.82</v>
      </c>
    </row>
    <row r="44" spans="1:13" x14ac:dyDescent="0.25">
      <c r="A44" t="s">
        <v>20</v>
      </c>
      <c r="C44">
        <v>7205</v>
      </c>
      <c r="D44">
        <v>19796</v>
      </c>
      <c r="E44">
        <v>9202</v>
      </c>
      <c r="F44">
        <v>0.56599999999999995</v>
      </c>
      <c r="G44">
        <v>4.54</v>
      </c>
      <c r="H44">
        <v>1.49</v>
      </c>
      <c r="I44">
        <v>1.038475509767685</v>
      </c>
      <c r="J44">
        <v>1.8968884707706928</v>
      </c>
      <c r="K44">
        <v>0.40487174015608518</v>
      </c>
      <c r="L44">
        <v>9779.193205944799</v>
      </c>
      <c r="M44">
        <v>103.38</v>
      </c>
    </row>
    <row r="45" spans="1:13" x14ac:dyDescent="0.25">
      <c r="A45" t="s">
        <v>66</v>
      </c>
      <c r="C45">
        <v>6315</v>
      </c>
      <c r="D45">
        <v>26600</v>
      </c>
      <c r="E45">
        <v>7674</v>
      </c>
      <c r="F45">
        <v>0.60799999999999998</v>
      </c>
      <c r="G45">
        <v>3.56</v>
      </c>
      <c r="H45">
        <v>1.5</v>
      </c>
      <c r="I45">
        <v>1.0477923971918626</v>
      </c>
      <c r="J45">
        <v>1.7402947692301396</v>
      </c>
      <c r="K45">
        <v>0.42166267987622602</v>
      </c>
      <c r="L45">
        <v>8934.1825902335459</v>
      </c>
      <c r="M45">
        <v>167.14</v>
      </c>
    </row>
    <row r="46" spans="1:13" x14ac:dyDescent="0.25">
      <c r="A46" t="s">
        <v>67</v>
      </c>
      <c r="C46">
        <v>7399</v>
      </c>
      <c r="D46">
        <v>27800</v>
      </c>
      <c r="E46">
        <v>11927</v>
      </c>
      <c r="F46">
        <v>0.54200000000000004</v>
      </c>
      <c r="G46">
        <v>4.8099999999999996</v>
      </c>
      <c r="H46">
        <v>1.1399999999999999</v>
      </c>
      <c r="I46">
        <v>1.0361249451691159</v>
      </c>
      <c r="J46">
        <v>1.8990442401339094</v>
      </c>
      <c r="K46">
        <v>0.40395532260899747</v>
      </c>
      <c r="L46">
        <v>5834.3949044585988</v>
      </c>
      <c r="M46">
        <v>132.27000000000001</v>
      </c>
    </row>
    <row r="47" spans="1:13" x14ac:dyDescent="0.25">
      <c r="A47" t="s">
        <v>68</v>
      </c>
      <c r="C47">
        <v>7473</v>
      </c>
      <c r="D47">
        <v>17800</v>
      </c>
      <c r="E47">
        <v>11499</v>
      </c>
      <c r="F47">
        <v>0.626</v>
      </c>
      <c r="G47">
        <v>3.7</v>
      </c>
      <c r="H47">
        <v>1.06</v>
      </c>
      <c r="I47">
        <v>1.0607407803384481</v>
      </c>
      <c r="J47">
        <v>1.7437901614876663</v>
      </c>
      <c r="K47">
        <v>0.42687349258329088</v>
      </c>
      <c r="L47">
        <v>8594.4798301486189</v>
      </c>
      <c r="M47">
        <v>152.02000000000001</v>
      </c>
    </row>
    <row r="48" spans="1:13" x14ac:dyDescent="0.25">
      <c r="A48" t="s">
        <v>69</v>
      </c>
      <c r="C48">
        <v>9029</v>
      </c>
      <c r="D48">
        <v>26600</v>
      </c>
      <c r="E48">
        <v>10553</v>
      </c>
      <c r="F48">
        <v>0.61599999999999999</v>
      </c>
      <c r="G48">
        <v>4.29</v>
      </c>
      <c r="H48">
        <v>1.4</v>
      </c>
      <c r="I48">
        <v>1.0456928777373493</v>
      </c>
      <c r="J48">
        <v>2.2193692964388481</v>
      </c>
      <c r="K48">
        <v>0.38614235338463787</v>
      </c>
      <c r="L48">
        <v>11354.564755838641</v>
      </c>
      <c r="M48">
        <v>152.5</v>
      </c>
    </row>
    <row r="49" spans="1:13" x14ac:dyDescent="0.25">
      <c r="A49" t="s">
        <v>70</v>
      </c>
      <c r="C49">
        <v>7674</v>
      </c>
      <c r="D49">
        <v>16200</v>
      </c>
      <c r="E49">
        <v>11199</v>
      </c>
      <c r="F49">
        <v>0.60099999999999998</v>
      </c>
      <c r="G49">
        <v>3.19</v>
      </c>
      <c r="H49">
        <v>1.1299999999999999</v>
      </c>
      <c r="I49">
        <v>1.0407909135237976</v>
      </c>
      <c r="J49">
        <v>1.5861814907844598</v>
      </c>
      <c r="K49">
        <v>0.43404352363945525</v>
      </c>
      <c r="L49">
        <v>11600.849256900214</v>
      </c>
      <c r="M49">
        <v>163.99</v>
      </c>
    </row>
    <row r="50" spans="1:13" x14ac:dyDescent="0.25">
      <c r="A50" t="s">
        <v>71</v>
      </c>
      <c r="C50">
        <v>11249</v>
      </c>
      <c r="D50">
        <v>23200</v>
      </c>
      <c r="E50">
        <v>9307</v>
      </c>
      <c r="F50">
        <v>0.56599999999999995</v>
      </c>
      <c r="G50">
        <v>3.08</v>
      </c>
      <c r="H50">
        <v>0.97599999999999998</v>
      </c>
      <c r="I50">
        <v>1.0449231089264515</v>
      </c>
      <c r="J50">
        <v>1.7320418742616279</v>
      </c>
      <c r="K50">
        <v>0.42050799333471905</v>
      </c>
      <c r="L50">
        <v>13902.335456475585</v>
      </c>
      <c r="M50">
        <v>156.29</v>
      </c>
    </row>
    <row r="51" spans="1:13" x14ac:dyDescent="0.25">
      <c r="A51" t="s">
        <v>72</v>
      </c>
      <c r="C51">
        <v>7829</v>
      </c>
      <c r="D51">
        <v>24000</v>
      </c>
      <c r="E51">
        <v>12200</v>
      </c>
      <c r="F51">
        <v>0.83099999999999996</v>
      </c>
      <c r="G51">
        <v>4.53</v>
      </c>
      <c r="H51">
        <v>0.84599999999999997</v>
      </c>
      <c r="I51">
        <v>1.0483011918555478</v>
      </c>
      <c r="J51">
        <v>1.5861814907844598</v>
      </c>
      <c r="K51">
        <v>0.43717555297240673</v>
      </c>
      <c r="L51">
        <v>8513.8004246284509</v>
      </c>
      <c r="M51">
        <v>151.5</v>
      </c>
    </row>
    <row r="52" spans="1:13" x14ac:dyDescent="0.25">
      <c r="A52" t="s">
        <v>73</v>
      </c>
      <c r="C52">
        <v>8290</v>
      </c>
      <c r="D52">
        <v>26100</v>
      </c>
      <c r="E52">
        <v>11700</v>
      </c>
      <c r="F52">
        <v>0.58099999999999996</v>
      </c>
      <c r="G52">
        <v>5.12</v>
      </c>
      <c r="H52">
        <v>1.1200000000000001</v>
      </c>
      <c r="I52">
        <v>1.066687394490329</v>
      </c>
      <c r="J52">
        <v>1.7329959825476233</v>
      </c>
      <c r="K52">
        <v>0.42926658616384378</v>
      </c>
      <c r="L52">
        <v>11804.670912951169</v>
      </c>
      <c r="M52">
        <v>164.9</v>
      </c>
    </row>
    <row r="53" spans="1:13" x14ac:dyDescent="0.25">
      <c r="A53" t="s">
        <v>74</v>
      </c>
      <c r="C53">
        <v>9767</v>
      </c>
      <c r="D53">
        <v>23700</v>
      </c>
      <c r="E53">
        <v>12300</v>
      </c>
      <c r="F53">
        <v>0.77200000000000002</v>
      </c>
      <c r="G53">
        <v>3.4910000000000001</v>
      </c>
      <c r="H53">
        <v>0.42299999999999999</v>
      </c>
      <c r="I53">
        <v>1.0325482303104547</v>
      </c>
      <c r="J53">
        <v>1.9061942731658605</v>
      </c>
      <c r="K53">
        <v>0.40256086433314253</v>
      </c>
      <c r="L53">
        <v>12628.450106157112</v>
      </c>
      <c r="M53">
        <v>161</v>
      </c>
    </row>
    <row r="54" spans="1:13" x14ac:dyDescent="0.25">
      <c r="A54" t="s">
        <v>75</v>
      </c>
      <c r="C54">
        <v>8582</v>
      </c>
      <c r="D54">
        <v>26400</v>
      </c>
      <c r="E54">
        <v>10300</v>
      </c>
      <c r="F54">
        <v>0.52100000000000002</v>
      </c>
      <c r="G54">
        <v>4.33</v>
      </c>
      <c r="H54">
        <v>0.69499999999999995</v>
      </c>
      <c r="I54">
        <v>1.0184649267107559</v>
      </c>
      <c r="J54">
        <v>1.5880302360869467</v>
      </c>
      <c r="K54">
        <v>0.42383450949684509</v>
      </c>
      <c r="L54">
        <v>8535.0318471337596</v>
      </c>
      <c r="M54">
        <v>177.4</v>
      </c>
    </row>
    <row r="55" spans="1:13" x14ac:dyDescent="0.25">
      <c r="A55" t="s">
        <v>76</v>
      </c>
      <c r="C55">
        <v>7663</v>
      </c>
      <c r="D55">
        <v>27500</v>
      </c>
      <c r="E55">
        <v>9800</v>
      </c>
      <c r="F55">
        <v>0.83199999999999996</v>
      </c>
      <c r="G55">
        <v>5.5</v>
      </c>
      <c r="H55">
        <v>0.61899999999999999</v>
      </c>
      <c r="I55">
        <v>1.0163107667713009</v>
      </c>
      <c r="J55">
        <v>1.5838954462216681</v>
      </c>
      <c r="K55">
        <v>0.4025191075055492</v>
      </c>
      <c r="L55">
        <v>8585.9872611464962</v>
      </c>
      <c r="M55">
        <v>162.19999999999999</v>
      </c>
    </row>
    <row r="56" spans="1:13" x14ac:dyDescent="0.25">
      <c r="A56" t="s">
        <v>77</v>
      </c>
      <c r="C56">
        <v>6475</v>
      </c>
      <c r="D56">
        <v>25700</v>
      </c>
      <c r="E56">
        <v>11300</v>
      </c>
      <c r="F56">
        <v>0.70099999999999996</v>
      </c>
      <c r="G56">
        <v>3.86</v>
      </c>
      <c r="H56">
        <v>0.87</v>
      </c>
      <c r="I56">
        <v>1.0324411261623496</v>
      </c>
      <c r="J56">
        <v>1.9006745354660017</v>
      </c>
      <c r="K56">
        <v>0.42473286396790633</v>
      </c>
      <c r="L56">
        <v>10670.912951167727</v>
      </c>
      <c r="M56">
        <v>164.7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4D0C3-42E4-43FA-BBEB-0EB48BF8DFF3}">
  <dimension ref="A1:I58"/>
  <sheetViews>
    <sheetView workbookViewId="0">
      <selection activeCell="J1" sqref="J1:J1048576"/>
    </sheetView>
  </sheetViews>
  <sheetFormatPr defaultRowHeight="13.8" x14ac:dyDescent="0.25"/>
  <sheetData>
    <row r="1" spans="1:9" x14ac:dyDescent="0.25">
      <c r="A1" t="s">
        <v>31</v>
      </c>
      <c r="C1" t="s">
        <v>120</v>
      </c>
      <c r="D1" t="s">
        <v>121</v>
      </c>
      <c r="E1" t="s">
        <v>122</v>
      </c>
      <c r="F1" t="s">
        <v>85</v>
      </c>
      <c r="G1" t="s">
        <v>121</v>
      </c>
      <c r="H1" t="s">
        <v>122</v>
      </c>
      <c r="I1" t="s">
        <v>85</v>
      </c>
    </row>
    <row r="2" spans="1:9" x14ac:dyDescent="0.25">
      <c r="A2" t="s">
        <v>36</v>
      </c>
      <c r="C2">
        <v>154.02000000000001</v>
      </c>
      <c r="D2">
        <v>3.34</v>
      </c>
      <c r="E2">
        <v>132.68</v>
      </c>
      <c r="F2">
        <v>18</v>
      </c>
      <c r="G2">
        <f>D2/154.02</f>
        <v>2.1685495390209062E-2</v>
      </c>
      <c r="H2">
        <f>E2/154.02</f>
        <v>0.8614465653811193</v>
      </c>
      <c r="I2">
        <f>F2/154.02</f>
        <v>0.1168679392286716</v>
      </c>
    </row>
    <row r="3" spans="1:9" x14ac:dyDescent="0.25">
      <c r="A3" t="s">
        <v>37</v>
      </c>
      <c r="C3">
        <v>230.19</v>
      </c>
      <c r="D3">
        <v>4.46</v>
      </c>
      <c r="E3">
        <v>184</v>
      </c>
      <c r="F3">
        <v>41.73</v>
      </c>
      <c r="G3">
        <f>D3/230.19</f>
        <v>1.9375298666319127E-2</v>
      </c>
      <c r="H3">
        <f t="shared" ref="H3:I3" si="0">E3/230.19</f>
        <v>0.7993396759198923</v>
      </c>
      <c r="I3">
        <f t="shared" si="0"/>
        <v>0.1812850254137886</v>
      </c>
    </row>
    <row r="4" spans="1:9" x14ac:dyDescent="0.25">
      <c r="A4" t="s">
        <v>16</v>
      </c>
      <c r="C4">
        <v>129.66</v>
      </c>
      <c r="D4">
        <v>4.8899999999999997</v>
      </c>
      <c r="E4">
        <v>33.409999999999997</v>
      </c>
      <c r="F4">
        <v>91.36</v>
      </c>
      <c r="G4">
        <f>D4/129.66</f>
        <v>3.7714021286441461E-2</v>
      </c>
      <c r="H4">
        <f t="shared" ref="H4:I4" si="1">E4/129.66</f>
        <v>0.25767391639672987</v>
      </c>
      <c r="I4">
        <f t="shared" si="1"/>
        <v>0.7046120623168286</v>
      </c>
    </row>
    <row r="5" spans="1:9" x14ac:dyDescent="0.25">
      <c r="A5" t="s">
        <v>38</v>
      </c>
      <c r="C5">
        <v>179.59</v>
      </c>
      <c r="D5">
        <v>18.079999999999998</v>
      </c>
      <c r="E5">
        <v>74.2</v>
      </c>
      <c r="F5">
        <v>87.31</v>
      </c>
      <c r="G5">
        <f>D5/179.59</f>
        <v>0.10067375689069546</v>
      </c>
      <c r="H5">
        <f t="shared" ref="H5:I5" si="2">E5/179.59</f>
        <v>0.41316331644300908</v>
      </c>
      <c r="I5">
        <f t="shared" si="2"/>
        <v>0.48616292666629546</v>
      </c>
    </row>
    <row r="6" spans="1:9" x14ac:dyDescent="0.25">
      <c r="A6" t="s">
        <v>12</v>
      </c>
      <c r="C6">
        <v>145.10999999999999</v>
      </c>
      <c r="D6">
        <v>39.299999999999997</v>
      </c>
      <c r="E6">
        <v>70.63</v>
      </c>
      <c r="F6">
        <v>35.18</v>
      </c>
      <c r="G6">
        <f>D6/145.11</f>
        <v>0.27082902625594374</v>
      </c>
      <c r="H6">
        <f t="shared" ref="H6:I6" si="3">E6/145.11</f>
        <v>0.48673420164013498</v>
      </c>
      <c r="I6">
        <f t="shared" si="3"/>
        <v>0.24243677210392114</v>
      </c>
    </row>
    <row r="7" spans="1:9" x14ac:dyDescent="0.25">
      <c r="A7" t="s">
        <v>32</v>
      </c>
      <c r="C7">
        <v>184.07999999999998</v>
      </c>
      <c r="D7">
        <v>43.12</v>
      </c>
      <c r="E7">
        <v>82.14</v>
      </c>
      <c r="F7">
        <v>58.82</v>
      </c>
      <c r="G7">
        <f>D7/184.08</f>
        <v>0.23424598000869185</v>
      </c>
      <c r="H7">
        <f t="shared" ref="H7:I7" si="4">E7/184.08</f>
        <v>0.446219035202086</v>
      </c>
      <c r="I7">
        <f t="shared" si="4"/>
        <v>0.31953498478922204</v>
      </c>
    </row>
    <row r="8" spans="1:9" x14ac:dyDescent="0.25">
      <c r="A8" t="s">
        <v>33</v>
      </c>
      <c r="C8">
        <v>124.27</v>
      </c>
      <c r="D8">
        <v>41.07</v>
      </c>
      <c r="E8">
        <v>58.72</v>
      </c>
      <c r="F8">
        <v>24.48</v>
      </c>
      <c r="G8">
        <f>D8/124.27</f>
        <v>0.33049006196185726</v>
      </c>
      <c r="H8">
        <f t="shared" ref="H8:I8" si="5">E8/124.27</f>
        <v>0.47251951396153535</v>
      </c>
      <c r="I8">
        <f t="shared" si="5"/>
        <v>0.19699042407660738</v>
      </c>
    </row>
    <row r="9" spans="1:9" x14ac:dyDescent="0.25">
      <c r="A9" t="s">
        <v>34</v>
      </c>
      <c r="C9">
        <v>140.47999999999999</v>
      </c>
      <c r="D9">
        <v>23.14</v>
      </c>
      <c r="E9">
        <v>88.09</v>
      </c>
      <c r="F9">
        <v>29.25</v>
      </c>
      <c r="G9">
        <f>D9/140.48</f>
        <v>0.16472095671981779</v>
      </c>
      <c r="H9">
        <f t="shared" ref="H9:I9" si="6">E9/140.48</f>
        <v>0.62706435079726663</v>
      </c>
      <c r="I9">
        <f t="shared" si="6"/>
        <v>0.20821469248291574</v>
      </c>
    </row>
    <row r="10" spans="1:9" x14ac:dyDescent="0.25">
      <c r="A10" t="s">
        <v>35</v>
      </c>
      <c r="C10">
        <v>149.94</v>
      </c>
      <c r="D10">
        <v>22.93</v>
      </c>
      <c r="E10">
        <v>87.88</v>
      </c>
      <c r="F10">
        <v>39.130000000000003</v>
      </c>
      <c r="G10">
        <f>D10/149.94</f>
        <v>0.15292783780178737</v>
      </c>
      <c r="H10">
        <f t="shared" ref="H10:I10" si="7">E10/149.94</f>
        <v>0.58610110710951047</v>
      </c>
      <c r="I10">
        <f t="shared" si="7"/>
        <v>0.26097105508870216</v>
      </c>
    </row>
    <row r="11" spans="1:9" x14ac:dyDescent="0.25">
      <c r="A11" t="s">
        <v>39</v>
      </c>
      <c r="C11">
        <v>140.63</v>
      </c>
      <c r="D11">
        <v>27.26</v>
      </c>
      <c r="E11">
        <v>89.06</v>
      </c>
      <c r="F11">
        <v>24.31</v>
      </c>
      <c r="G11">
        <f>D11/140.63</f>
        <v>0.19384199672900521</v>
      </c>
      <c r="H11">
        <f t="shared" ref="H11:I11" si="8">E11/140.63</f>
        <v>0.63329303846974339</v>
      </c>
      <c r="I11">
        <f t="shared" si="8"/>
        <v>0.17286496480125152</v>
      </c>
    </row>
    <row r="12" spans="1:9" x14ac:dyDescent="0.25">
      <c r="A12" t="s">
        <v>40</v>
      </c>
      <c r="C12">
        <v>144.55000000000001</v>
      </c>
      <c r="D12">
        <v>27.1</v>
      </c>
      <c r="E12">
        <v>70.87</v>
      </c>
      <c r="F12">
        <v>46.58</v>
      </c>
      <c r="G12">
        <f>D12/144.55</f>
        <v>0.18747838118298166</v>
      </c>
      <c r="H12">
        <f t="shared" ref="H12:I12" si="9">E12/144.55</f>
        <v>0.4902801798685576</v>
      </c>
      <c r="I12">
        <f t="shared" si="9"/>
        <v>0.32224143894846069</v>
      </c>
    </row>
    <row r="13" spans="1:9" x14ac:dyDescent="0.25">
      <c r="A13" t="s">
        <v>41</v>
      </c>
      <c r="C13">
        <v>145.91</v>
      </c>
      <c r="D13">
        <v>37.4</v>
      </c>
      <c r="E13">
        <v>71.7</v>
      </c>
      <c r="F13">
        <v>36.81</v>
      </c>
      <c r="G13">
        <f>D13/145.91</f>
        <v>0.25632239051470085</v>
      </c>
      <c r="H13">
        <f t="shared" ref="H13:I13" si="10">E13/145.91</f>
        <v>0.49139880748406556</v>
      </c>
      <c r="I13">
        <f t="shared" si="10"/>
        <v>0.25227880200123365</v>
      </c>
    </row>
    <row r="14" spans="1:9" x14ac:dyDescent="0.25">
      <c r="A14" t="s">
        <v>42</v>
      </c>
      <c r="C14">
        <v>153.9</v>
      </c>
      <c r="D14">
        <v>34.5</v>
      </c>
      <c r="E14">
        <v>82.1</v>
      </c>
      <c r="F14">
        <v>37.299999999999997</v>
      </c>
      <c r="G14">
        <f>D14/153.9</f>
        <v>0.22417153996101363</v>
      </c>
      <c r="H14">
        <f t="shared" ref="H14:I14" si="11">E14/153.9</f>
        <v>0.53346328784925268</v>
      </c>
      <c r="I14">
        <f t="shared" si="11"/>
        <v>0.24236517218973355</v>
      </c>
    </row>
    <row r="15" spans="1:9" x14ac:dyDescent="0.25">
      <c r="A15" t="s">
        <v>43</v>
      </c>
      <c r="C15">
        <v>134.80000000000001</v>
      </c>
      <c r="D15">
        <v>35.6</v>
      </c>
      <c r="E15">
        <v>52.1</v>
      </c>
      <c r="F15">
        <v>47.1</v>
      </c>
      <c r="G15">
        <f>D15/134.8</f>
        <v>0.26409495548961426</v>
      </c>
      <c r="H15">
        <f t="shared" ref="H15:I15" si="12">E15/134.8</f>
        <v>0.38649851632047477</v>
      </c>
      <c r="I15">
        <f t="shared" si="12"/>
        <v>0.34940652818991097</v>
      </c>
    </row>
    <row r="16" spans="1:9" x14ac:dyDescent="0.25">
      <c r="A16" t="s">
        <v>44</v>
      </c>
      <c r="C16">
        <v>101.2</v>
      </c>
      <c r="D16">
        <v>48.1</v>
      </c>
      <c r="E16">
        <v>37.4</v>
      </c>
      <c r="F16">
        <v>15.7</v>
      </c>
      <c r="G16">
        <f>D16/101.2</f>
        <v>0.47529644268774701</v>
      </c>
      <c r="H16">
        <f t="shared" ref="H16:I16" si="13">E16/101.2</f>
        <v>0.36956521739130432</v>
      </c>
      <c r="I16">
        <f t="shared" si="13"/>
        <v>0.15513833992094861</v>
      </c>
    </row>
    <row r="17" spans="1:9" x14ac:dyDescent="0.25">
      <c r="A17" t="s">
        <v>45</v>
      </c>
      <c r="C17">
        <v>118.8</v>
      </c>
      <c r="D17">
        <v>26.4</v>
      </c>
      <c r="E17">
        <v>80.2</v>
      </c>
      <c r="F17">
        <v>12.2</v>
      </c>
      <c r="G17">
        <f>D17/118.8</f>
        <v>0.22222222222222221</v>
      </c>
      <c r="H17">
        <f t="shared" ref="H17:I17" si="14">E17/118.8</f>
        <v>0.67508417508417518</v>
      </c>
      <c r="I17">
        <f t="shared" si="14"/>
        <v>0.10269360269360268</v>
      </c>
    </row>
    <row r="18" spans="1:9" x14ac:dyDescent="0.25">
      <c r="A18" t="s">
        <v>46</v>
      </c>
      <c r="C18">
        <v>122.1</v>
      </c>
      <c r="D18">
        <v>25.1</v>
      </c>
      <c r="E18">
        <v>69.8</v>
      </c>
      <c r="F18">
        <v>27.2</v>
      </c>
      <c r="G18">
        <f>D18/122.1</f>
        <v>0.2055692055692056</v>
      </c>
      <c r="H18">
        <f t="shared" ref="H18:I18" si="15">E18/122.1</f>
        <v>0.57166257166257162</v>
      </c>
      <c r="I18">
        <f t="shared" si="15"/>
        <v>0.22276822276822278</v>
      </c>
    </row>
    <row r="19" spans="1:9" x14ac:dyDescent="0.25">
      <c r="A19" t="s">
        <v>47</v>
      </c>
      <c r="C19">
        <v>103.4</v>
      </c>
      <c r="D19">
        <v>20.100000000000001</v>
      </c>
      <c r="E19">
        <v>59.7</v>
      </c>
      <c r="F19">
        <v>23.6</v>
      </c>
      <c r="G19">
        <f>D19/103.4</f>
        <v>0.19439071566731142</v>
      </c>
      <c r="H19">
        <f t="shared" ref="H19:I19" si="16">E19/103.4</f>
        <v>0.57736943907156668</v>
      </c>
      <c r="I19">
        <f t="shared" si="16"/>
        <v>0.22823984526112187</v>
      </c>
    </row>
    <row r="20" spans="1:9" x14ac:dyDescent="0.25">
      <c r="G20">
        <f>AVERAGE(G2:G19)</f>
        <v>0.19755834916697584</v>
      </c>
      <c r="H20">
        <f t="shared" ref="H20:I20" si="17">AVERAGE(H2:H19)</f>
        <v>0.5377153842251664</v>
      </c>
      <c r="I20">
        <f t="shared" si="17"/>
        <v>0.26472626660785775</v>
      </c>
    </row>
    <row r="21" spans="1:9" x14ac:dyDescent="0.25">
      <c r="A21" t="s">
        <v>51</v>
      </c>
      <c r="C21">
        <v>238.45000000000002</v>
      </c>
      <c r="D21">
        <v>13.14</v>
      </c>
      <c r="E21">
        <v>160.59</v>
      </c>
      <c r="F21">
        <v>64.72</v>
      </c>
      <c r="G21">
        <f>D21/238.45</f>
        <v>5.5105892220591327E-2</v>
      </c>
      <c r="H21">
        <f t="shared" ref="H21:I21" si="18">E21/238.45</f>
        <v>0.67347452296078847</v>
      </c>
      <c r="I21">
        <f t="shared" si="18"/>
        <v>0.27141958481862027</v>
      </c>
    </row>
    <row r="22" spans="1:9" x14ac:dyDescent="0.25">
      <c r="A22" t="s">
        <v>29</v>
      </c>
      <c r="C22">
        <v>166.57000000000002</v>
      </c>
      <c r="D22">
        <v>34.520000000000003</v>
      </c>
      <c r="E22">
        <v>109.09</v>
      </c>
      <c r="F22">
        <v>22.96</v>
      </c>
      <c r="G22">
        <f>D22/166.57</f>
        <v>0.20724019931560309</v>
      </c>
      <c r="H22">
        <f t="shared" ref="H22:I22" si="19">E22/166.57</f>
        <v>0.65491985351503879</v>
      </c>
      <c r="I22">
        <f t="shared" si="19"/>
        <v>0.13783994716935824</v>
      </c>
    </row>
    <row r="23" spans="1:9" x14ac:dyDescent="0.25">
      <c r="A23" t="s">
        <v>52</v>
      </c>
      <c r="C23">
        <v>64.44</v>
      </c>
      <c r="D23">
        <v>0.26</v>
      </c>
      <c r="E23">
        <v>46.41</v>
      </c>
      <c r="F23">
        <v>17.77</v>
      </c>
      <c r="G23">
        <f>D23/64.44</f>
        <v>4.0347610180012415E-3</v>
      </c>
      <c r="H23">
        <f t="shared" ref="H23:I23" si="20">E23/64.44</f>
        <v>0.72020484171322152</v>
      </c>
      <c r="I23">
        <f t="shared" si="20"/>
        <v>0.27576039726877716</v>
      </c>
    </row>
    <row r="24" spans="1:9" x14ac:dyDescent="0.25">
      <c r="A24" t="s">
        <v>13</v>
      </c>
      <c r="C24">
        <v>104.77000000000001</v>
      </c>
      <c r="D24">
        <v>2.2200000000000002</v>
      </c>
      <c r="E24">
        <v>71.150000000000006</v>
      </c>
      <c r="F24">
        <v>31.4</v>
      </c>
      <c r="G24">
        <f>D24/104.77</f>
        <v>2.1189271738092968E-2</v>
      </c>
      <c r="H24">
        <f t="shared" ref="H24:I24" si="21">E24/104.77</f>
        <v>0.67910661448888043</v>
      </c>
      <c r="I24">
        <f t="shared" si="21"/>
        <v>0.29970411377302664</v>
      </c>
    </row>
    <row r="25" spans="1:9" x14ac:dyDescent="0.25">
      <c r="A25" t="s">
        <v>23</v>
      </c>
      <c r="C25">
        <v>82.86</v>
      </c>
      <c r="D25">
        <v>2.34</v>
      </c>
      <c r="E25">
        <v>42.31</v>
      </c>
      <c r="F25">
        <v>38.21</v>
      </c>
      <c r="G25">
        <f>D25/82.86</f>
        <v>2.8240405503258507E-2</v>
      </c>
      <c r="H25">
        <f>E25/82.86</f>
        <v>0.51062032343712294</v>
      </c>
      <c r="I25">
        <f>F25/82.86</f>
        <v>0.46113927105961866</v>
      </c>
    </row>
    <row r="26" spans="1:9" x14ac:dyDescent="0.25">
      <c r="A26" t="s">
        <v>18</v>
      </c>
      <c r="C26">
        <v>102.89</v>
      </c>
      <c r="D26">
        <v>5.49</v>
      </c>
      <c r="E26">
        <v>58.84</v>
      </c>
      <c r="F26">
        <v>38.56</v>
      </c>
      <c r="G26">
        <f>D26/102.89</f>
        <v>5.3357955097677136E-2</v>
      </c>
      <c r="H26">
        <f>E26/102.89</f>
        <v>0.57187287394304598</v>
      </c>
      <c r="I26">
        <f>F26/102.89</f>
        <v>0.37476917095927692</v>
      </c>
    </row>
    <row r="27" spans="1:9" x14ac:dyDescent="0.25">
      <c r="A27" t="s">
        <v>53</v>
      </c>
      <c r="C27">
        <v>177.48000000000002</v>
      </c>
      <c r="D27">
        <v>100.98</v>
      </c>
      <c r="E27">
        <v>7.79</v>
      </c>
      <c r="F27">
        <v>68.709999999999994</v>
      </c>
      <c r="G27">
        <f>D27/177.48</f>
        <v>0.56896551724137934</v>
      </c>
      <c r="H27">
        <f t="shared" ref="H27:I27" si="22">E27/177.48</f>
        <v>4.3892269551498761E-2</v>
      </c>
      <c r="I27">
        <f t="shared" si="22"/>
        <v>0.38714221320712194</v>
      </c>
    </row>
    <row r="28" spans="1:9" x14ac:dyDescent="0.25">
      <c r="A28" t="s">
        <v>54</v>
      </c>
      <c r="C28">
        <v>73.73</v>
      </c>
      <c r="D28">
        <v>43.95</v>
      </c>
      <c r="E28">
        <v>6.97</v>
      </c>
      <c r="F28">
        <v>22.81</v>
      </c>
      <c r="G28">
        <f>D28/73.73</f>
        <v>0.59609385596093856</v>
      </c>
      <c r="H28">
        <f t="shared" ref="H28:I28" si="23">E28/73.73</f>
        <v>9.4534110945341102E-2</v>
      </c>
      <c r="I28">
        <f t="shared" si="23"/>
        <v>0.3093720330937203</v>
      </c>
    </row>
    <row r="29" spans="1:9" x14ac:dyDescent="0.25">
      <c r="A29" t="s">
        <v>55</v>
      </c>
      <c r="C29">
        <v>41.56</v>
      </c>
      <c r="D29">
        <v>0.51</v>
      </c>
      <c r="E29">
        <v>21.9</v>
      </c>
      <c r="F29">
        <v>19.149999999999999</v>
      </c>
      <c r="G29">
        <f>D29/41.56</f>
        <v>1.2271414821944177E-2</v>
      </c>
      <c r="H29">
        <f t="shared" ref="H29:I29" si="24">E29/41.56</f>
        <v>0.52694898941289692</v>
      </c>
      <c r="I29">
        <f t="shared" si="24"/>
        <v>0.46077959576515876</v>
      </c>
    </row>
    <row r="30" spans="1:9" x14ac:dyDescent="0.25">
      <c r="A30" t="s">
        <v>56</v>
      </c>
      <c r="C30">
        <v>45.02</v>
      </c>
      <c r="D30">
        <v>10.32</v>
      </c>
      <c r="E30">
        <v>20.85</v>
      </c>
      <c r="F30">
        <v>13.85</v>
      </c>
      <c r="G30">
        <f>D30/45.02</f>
        <v>0.22923145268769435</v>
      </c>
      <c r="H30">
        <f t="shared" ref="H30:I30" si="25">E30/45.02</f>
        <v>0.46312749888938248</v>
      </c>
      <c r="I30">
        <f t="shared" si="25"/>
        <v>0.30764104842292311</v>
      </c>
    </row>
    <row r="31" spans="1:9" x14ac:dyDescent="0.25">
      <c r="A31" t="s">
        <v>57</v>
      </c>
      <c r="C31">
        <v>118.21</v>
      </c>
      <c r="D31">
        <v>76.33</v>
      </c>
      <c r="E31">
        <v>34.19</v>
      </c>
      <c r="F31">
        <v>7.69</v>
      </c>
      <c r="G31">
        <f>D31/118.21</f>
        <v>0.64571525251670758</v>
      </c>
      <c r="H31">
        <f t="shared" ref="H31:I31" si="26">E31/118.21</f>
        <v>0.28923102952372898</v>
      </c>
      <c r="I31">
        <f t="shared" si="26"/>
        <v>6.5053717959563495E-2</v>
      </c>
    </row>
    <row r="32" spans="1:9" x14ac:dyDescent="0.25">
      <c r="A32" t="s">
        <v>58</v>
      </c>
      <c r="C32">
        <v>46.34</v>
      </c>
      <c r="D32">
        <v>15.5</v>
      </c>
      <c r="E32">
        <v>14.8</v>
      </c>
      <c r="F32">
        <v>16.04</v>
      </c>
      <c r="G32">
        <f>D32/46.34</f>
        <v>0.33448424687095379</v>
      </c>
      <c r="H32">
        <f t="shared" ref="H32:I32" si="27">E32/46.34</f>
        <v>0.31937850668968493</v>
      </c>
      <c r="I32">
        <f t="shared" si="27"/>
        <v>0.34613724643936122</v>
      </c>
    </row>
    <row r="33" spans="1:9" x14ac:dyDescent="0.25">
      <c r="A33" t="s">
        <v>59</v>
      </c>
      <c r="C33">
        <v>52</v>
      </c>
      <c r="D33">
        <v>15.7</v>
      </c>
      <c r="E33">
        <v>21.2</v>
      </c>
      <c r="F33">
        <v>15.1</v>
      </c>
      <c r="G33">
        <f>D33/52</f>
        <v>0.30192307692307691</v>
      </c>
      <c r="H33">
        <f t="shared" ref="H33:I33" si="28">E33/52</f>
        <v>0.40769230769230769</v>
      </c>
      <c r="I33">
        <f t="shared" si="28"/>
        <v>0.29038461538461535</v>
      </c>
    </row>
    <row r="34" spans="1:9" x14ac:dyDescent="0.25">
      <c r="A34" t="s">
        <v>60</v>
      </c>
      <c r="C34">
        <v>57.900000000000006</v>
      </c>
      <c r="D34">
        <v>17.8</v>
      </c>
      <c r="E34">
        <v>18.899999999999999</v>
      </c>
      <c r="F34">
        <v>21.2</v>
      </c>
      <c r="G34">
        <f>D34/57.9</f>
        <v>0.307426597582038</v>
      </c>
      <c r="H34">
        <f t="shared" ref="H34:I34" si="29">E34/57.9</f>
        <v>0.32642487046632124</v>
      </c>
      <c r="I34">
        <f t="shared" si="29"/>
        <v>0.36614853195164077</v>
      </c>
    </row>
    <row r="35" spans="1:9" x14ac:dyDescent="0.25">
      <c r="A35" t="s">
        <v>61</v>
      </c>
      <c r="C35">
        <v>66.100000000000009</v>
      </c>
      <c r="D35">
        <v>19.8</v>
      </c>
      <c r="E35">
        <v>20.100000000000001</v>
      </c>
      <c r="F35">
        <v>26.2</v>
      </c>
      <c r="G35">
        <f>D35/66.1</f>
        <v>0.29954614220877462</v>
      </c>
      <c r="H35">
        <f t="shared" ref="H35:I35" si="30">E35/66.1</f>
        <v>0.30408472012102877</v>
      </c>
      <c r="I35">
        <f t="shared" si="30"/>
        <v>0.39636913767019671</v>
      </c>
    </row>
    <row r="36" spans="1:9" x14ac:dyDescent="0.25">
      <c r="A36" t="s">
        <v>62</v>
      </c>
      <c r="C36">
        <v>41.199999999999996</v>
      </c>
      <c r="D36">
        <v>10.7</v>
      </c>
      <c r="E36">
        <v>20.399999999999999</v>
      </c>
      <c r="F36">
        <v>10.1</v>
      </c>
      <c r="G36">
        <f>D36/41.2</f>
        <v>0.25970873786407761</v>
      </c>
      <c r="H36">
        <f t="shared" ref="H36:I36" si="31">E36/41.2</f>
        <v>0.49514563106796111</v>
      </c>
      <c r="I36">
        <f t="shared" si="31"/>
        <v>0.24514563106796114</v>
      </c>
    </row>
    <row r="37" spans="1:9" x14ac:dyDescent="0.25">
      <c r="A37" t="s">
        <v>63</v>
      </c>
      <c r="C37">
        <v>77.400000000000006</v>
      </c>
      <c r="D37">
        <v>29.1</v>
      </c>
      <c r="E37">
        <v>26.9</v>
      </c>
      <c r="F37">
        <v>21.4</v>
      </c>
      <c r="G37">
        <f>D37/77.4</f>
        <v>0.37596899224806202</v>
      </c>
      <c r="H37">
        <f t="shared" ref="H37:I37" si="32">E37/77.4</f>
        <v>0.34754521963824286</v>
      </c>
      <c r="I37">
        <f t="shared" si="32"/>
        <v>0.27648578811369506</v>
      </c>
    </row>
    <row r="38" spans="1:9" x14ac:dyDescent="0.25">
      <c r="A38" t="s">
        <v>64</v>
      </c>
      <c r="C38">
        <v>49.9</v>
      </c>
      <c r="D38">
        <v>9.8000000000000007</v>
      </c>
      <c r="E38">
        <v>22.3</v>
      </c>
      <c r="F38">
        <v>17.8</v>
      </c>
      <c r="G38">
        <f>D38/49.9</f>
        <v>0.19639278557114231</v>
      </c>
      <c r="H38">
        <f t="shared" ref="H38:I38" si="33">E38/49.9</f>
        <v>0.4468937875751503</v>
      </c>
      <c r="I38">
        <f t="shared" si="33"/>
        <v>0.35671342685370744</v>
      </c>
    </row>
    <row r="39" spans="1:9" x14ac:dyDescent="0.25">
      <c r="G39">
        <f>AVERAGE(G21:G38)</f>
        <v>0.24982758652166748</v>
      </c>
      <c r="H39">
        <f t="shared" ref="H39:I39" si="34">AVERAGE(H21:H38)</f>
        <v>0.43750544286842469</v>
      </c>
      <c r="I39">
        <f t="shared" si="34"/>
        <v>0.31266697060990795</v>
      </c>
    </row>
    <row r="40" spans="1:9" x14ac:dyDescent="0.25">
      <c r="A40" t="s">
        <v>65</v>
      </c>
      <c r="C40">
        <v>231.69</v>
      </c>
      <c r="D40">
        <v>11.87</v>
      </c>
      <c r="E40">
        <v>107.73</v>
      </c>
      <c r="F40">
        <v>112.09</v>
      </c>
      <c r="G40">
        <f>D40/231.69</f>
        <v>5.1232249989209715E-2</v>
      </c>
      <c r="H40">
        <f>E40/231.69</f>
        <v>0.46497475074452937</v>
      </c>
      <c r="I40">
        <f>F40/231.69</f>
        <v>0.48379299926626096</v>
      </c>
    </row>
    <row r="41" spans="1:9" x14ac:dyDescent="0.25">
      <c r="A41" t="s">
        <v>17</v>
      </c>
      <c r="C41">
        <v>144.52000000000001</v>
      </c>
      <c r="D41">
        <v>16.760000000000002</v>
      </c>
      <c r="E41">
        <v>79.33</v>
      </c>
      <c r="F41">
        <v>48.43</v>
      </c>
      <c r="G41">
        <f>D41/144.52</f>
        <v>0.11597010794353722</v>
      </c>
      <c r="H41">
        <f t="shared" ref="H41:I41" si="35">E41/144.52</f>
        <v>0.54892056462773309</v>
      </c>
      <c r="I41">
        <f t="shared" si="35"/>
        <v>0.33510932742872956</v>
      </c>
    </row>
    <row r="42" spans="1:9" x14ac:dyDescent="0.25">
      <c r="A42" t="s">
        <v>30</v>
      </c>
      <c r="C42">
        <v>143.25</v>
      </c>
      <c r="D42">
        <v>6.83</v>
      </c>
      <c r="E42">
        <v>78.040000000000006</v>
      </c>
      <c r="F42">
        <v>58.38</v>
      </c>
      <c r="G42">
        <f>D42/143.25</f>
        <v>4.7678883071553227E-2</v>
      </c>
      <c r="H42">
        <f t="shared" ref="H42:I42" si="36">E42/143.25</f>
        <v>0.54478184991274003</v>
      </c>
      <c r="I42">
        <f t="shared" si="36"/>
        <v>0.40753926701570681</v>
      </c>
    </row>
    <row r="43" spans="1:9" x14ac:dyDescent="0.25">
      <c r="A43" t="s">
        <v>14</v>
      </c>
      <c r="C43">
        <v>154.51999999999998</v>
      </c>
      <c r="D43">
        <v>7.45</v>
      </c>
      <c r="E43">
        <v>121.1</v>
      </c>
      <c r="F43">
        <v>25.97</v>
      </c>
      <c r="G43">
        <f>D43/154.52</f>
        <v>4.8213823453274657E-2</v>
      </c>
      <c r="H43">
        <f t="shared" ref="H43:I43" si="37">E43/154.52</f>
        <v>0.78371731814651813</v>
      </c>
      <c r="I43">
        <f t="shared" si="37"/>
        <v>0.16806885840020708</v>
      </c>
    </row>
    <row r="44" spans="1:9" x14ac:dyDescent="0.25">
      <c r="A44" t="s">
        <v>25</v>
      </c>
      <c r="C44">
        <v>119.82</v>
      </c>
      <c r="D44">
        <v>14.21</v>
      </c>
      <c r="E44">
        <v>79.77</v>
      </c>
      <c r="F44">
        <v>25.84</v>
      </c>
      <c r="G44">
        <f>D44/119.82</f>
        <v>0.11859455850442331</v>
      </c>
      <c r="H44">
        <f t="shared" ref="H44:I44" si="38">E44/119.82</f>
        <v>0.66574862293440162</v>
      </c>
      <c r="I44">
        <f t="shared" si="38"/>
        <v>0.21565681856117511</v>
      </c>
    </row>
    <row r="45" spans="1:9" x14ac:dyDescent="0.25">
      <c r="A45" t="s">
        <v>20</v>
      </c>
      <c r="C45">
        <v>103.38</v>
      </c>
      <c r="D45">
        <v>4.07</v>
      </c>
      <c r="E45">
        <v>56.39</v>
      </c>
      <c r="F45">
        <v>42.92</v>
      </c>
      <c r="G45">
        <f>D45/103.38</f>
        <v>3.9369317082607859E-2</v>
      </c>
      <c r="H45">
        <f t="shared" ref="H45:I45" si="39">E45/103.38</f>
        <v>0.54546333913716394</v>
      </c>
      <c r="I45">
        <f t="shared" si="39"/>
        <v>0.41516734378022829</v>
      </c>
    </row>
    <row r="46" spans="1:9" x14ac:dyDescent="0.25">
      <c r="A46" t="s">
        <v>66</v>
      </c>
      <c r="C46">
        <v>117.14</v>
      </c>
      <c r="D46">
        <v>20.79</v>
      </c>
      <c r="E46">
        <v>72.3</v>
      </c>
      <c r="F46">
        <v>24.05</v>
      </c>
      <c r="G46">
        <f>D46/117.14</f>
        <v>0.1774799385350862</v>
      </c>
      <c r="H46">
        <f t="shared" ref="H46:I46" si="40">E46/117.14</f>
        <v>0.61721017585794768</v>
      </c>
      <c r="I46">
        <f t="shared" si="40"/>
        <v>0.20530988560696603</v>
      </c>
    </row>
    <row r="47" spans="1:9" x14ac:dyDescent="0.25">
      <c r="A47" t="s">
        <v>67</v>
      </c>
      <c r="C47">
        <v>132.27000000000001</v>
      </c>
      <c r="D47">
        <v>11.81</v>
      </c>
      <c r="E47">
        <v>86.67</v>
      </c>
      <c r="F47">
        <v>33.79</v>
      </c>
      <c r="G47">
        <f>D47/132.27</f>
        <v>8.9287064338096314E-2</v>
      </c>
      <c r="H47">
        <f>E47/132.27</f>
        <v>0.65525062372420051</v>
      </c>
      <c r="I47">
        <f>F47/132.27</f>
        <v>0.25546231193770313</v>
      </c>
    </row>
    <row r="48" spans="1:9" x14ac:dyDescent="0.25">
      <c r="A48" t="s">
        <v>68</v>
      </c>
      <c r="C48">
        <v>122.02</v>
      </c>
      <c r="D48">
        <v>17.36</v>
      </c>
      <c r="E48">
        <v>88.69</v>
      </c>
      <c r="F48">
        <v>15.97</v>
      </c>
      <c r="G48">
        <f>D48/122.02</f>
        <v>0.14227175872807737</v>
      </c>
      <c r="H48">
        <f t="shared" ref="H48:I48" si="41">E48/122.02</f>
        <v>0.72684805769545979</v>
      </c>
      <c r="I48">
        <f t="shared" si="41"/>
        <v>0.13088018357646289</v>
      </c>
    </row>
    <row r="49" spans="1:9" x14ac:dyDescent="0.25">
      <c r="A49" t="s">
        <v>69</v>
      </c>
      <c r="C49">
        <v>112.5</v>
      </c>
      <c r="D49">
        <v>11.1</v>
      </c>
      <c r="E49">
        <v>80.91</v>
      </c>
      <c r="F49">
        <v>20.49</v>
      </c>
      <c r="G49">
        <f>D49/112.5</f>
        <v>9.8666666666666666E-2</v>
      </c>
      <c r="H49">
        <f t="shared" ref="H49:I49" si="42">E49/112.5</f>
        <v>0.71919999999999995</v>
      </c>
      <c r="I49">
        <f t="shared" si="42"/>
        <v>0.18213333333333331</v>
      </c>
    </row>
    <row r="50" spans="1:9" x14ac:dyDescent="0.25">
      <c r="A50" t="s">
        <v>70</v>
      </c>
      <c r="C50">
        <v>113.99</v>
      </c>
      <c r="D50">
        <v>38.380000000000003</v>
      </c>
      <c r="E50">
        <v>64.62</v>
      </c>
      <c r="F50">
        <v>10.99</v>
      </c>
      <c r="G50">
        <f>D50/113.99</f>
        <v>0.33669620142117734</v>
      </c>
      <c r="H50">
        <f t="shared" ref="H50:I50" si="43">E50/113.99</f>
        <v>0.56689183261689624</v>
      </c>
      <c r="I50">
        <f t="shared" si="43"/>
        <v>9.6411965961926485E-2</v>
      </c>
    </row>
    <row r="51" spans="1:9" x14ac:dyDescent="0.25">
      <c r="A51" t="s">
        <v>71</v>
      </c>
      <c r="C51">
        <v>102</v>
      </c>
      <c r="D51">
        <v>25.7</v>
      </c>
      <c r="E51">
        <v>61.2</v>
      </c>
      <c r="F51">
        <v>15.1</v>
      </c>
      <c r="G51">
        <f>D51/102</f>
        <v>0.25196078431372548</v>
      </c>
      <c r="H51">
        <f t="shared" ref="H51:I51" si="44">E51/102</f>
        <v>0.6</v>
      </c>
      <c r="I51">
        <f t="shared" si="44"/>
        <v>0.14803921568627451</v>
      </c>
    </row>
    <row r="52" spans="1:9" x14ac:dyDescent="0.25">
      <c r="A52" t="s">
        <v>72</v>
      </c>
      <c r="C52">
        <v>131.5</v>
      </c>
      <c r="D52">
        <v>18.100000000000001</v>
      </c>
      <c r="E52">
        <v>77.599999999999994</v>
      </c>
      <c r="F52">
        <v>35.799999999999997</v>
      </c>
      <c r="G52">
        <f>D52/131.5</f>
        <v>0.1376425855513308</v>
      </c>
      <c r="H52">
        <f>E52/131.5</f>
        <v>0.59011406844106462</v>
      </c>
      <c r="I52">
        <f>F52/131.5</f>
        <v>0.27224334600760453</v>
      </c>
    </row>
    <row r="53" spans="1:9" x14ac:dyDescent="0.25">
      <c r="A53" t="s">
        <v>73</v>
      </c>
      <c r="C53">
        <v>134.9</v>
      </c>
      <c r="D53">
        <v>29.8</v>
      </c>
      <c r="E53">
        <v>60.4</v>
      </c>
      <c r="F53">
        <v>44.7</v>
      </c>
      <c r="G53">
        <f>D53/134.9</f>
        <v>0.22090437361008153</v>
      </c>
      <c r="H53">
        <f t="shared" ref="H53:I53" si="45">E53/134.9</f>
        <v>0.44773906597479612</v>
      </c>
      <c r="I53">
        <f t="shared" si="45"/>
        <v>0.33135656041512235</v>
      </c>
    </row>
    <row r="54" spans="1:9" x14ac:dyDescent="0.25">
      <c r="A54" t="s">
        <v>74</v>
      </c>
      <c r="C54">
        <v>101</v>
      </c>
      <c r="D54">
        <v>16.5</v>
      </c>
      <c r="E54">
        <v>54.7</v>
      </c>
      <c r="F54">
        <v>29.8</v>
      </c>
      <c r="G54">
        <f>D54/101</f>
        <v>0.16336633663366337</v>
      </c>
      <c r="H54">
        <f t="shared" ref="H54:I54" si="46">E54/101</f>
        <v>0.54158415841584162</v>
      </c>
      <c r="I54">
        <f t="shared" si="46"/>
        <v>0.29504950495049503</v>
      </c>
    </row>
    <row r="55" spans="1:9" x14ac:dyDescent="0.25">
      <c r="A55" t="s">
        <v>75</v>
      </c>
      <c r="C55">
        <v>127.4</v>
      </c>
      <c r="D55">
        <v>32.1</v>
      </c>
      <c r="E55">
        <v>62.2</v>
      </c>
      <c r="F55">
        <v>33.1</v>
      </c>
      <c r="G55">
        <f>D55/127.4</f>
        <v>0.2519623233908948</v>
      </c>
      <c r="H55">
        <f>E55/127.4</f>
        <v>0.48822605965463106</v>
      </c>
      <c r="I55">
        <f>F55/127.4</f>
        <v>0.25981161695447408</v>
      </c>
    </row>
    <row r="56" spans="1:9" x14ac:dyDescent="0.25">
      <c r="A56" t="s">
        <v>76</v>
      </c>
      <c r="C56">
        <v>112.2</v>
      </c>
      <c r="D56">
        <v>29.8</v>
      </c>
      <c r="E56">
        <v>44.6</v>
      </c>
      <c r="F56">
        <v>37.799999999999997</v>
      </c>
      <c r="G56">
        <f>D56/112.2</f>
        <v>0.26559714795008915</v>
      </c>
      <c r="H56">
        <f t="shared" ref="H56:I56" si="47">E56/112.2</f>
        <v>0.39750445632798576</v>
      </c>
      <c r="I56">
        <f t="shared" si="47"/>
        <v>0.33689839572192509</v>
      </c>
    </row>
    <row r="57" spans="1:9" x14ac:dyDescent="0.25">
      <c r="A57" t="s">
        <v>77</v>
      </c>
      <c r="C57">
        <v>104.7</v>
      </c>
      <c r="D57">
        <v>28.1</v>
      </c>
      <c r="E57">
        <v>52.5</v>
      </c>
      <c r="F57">
        <v>24.1</v>
      </c>
      <c r="G57">
        <f>D57/104.7</f>
        <v>0.26838586437440304</v>
      </c>
      <c r="H57">
        <f t="shared" ref="H57:I57" si="48">E57/104.7</f>
        <v>0.50143266475644699</v>
      </c>
      <c r="I57">
        <f t="shared" si="48"/>
        <v>0.23018147086914997</v>
      </c>
    </row>
    <row r="58" spans="1:9" x14ac:dyDescent="0.25">
      <c r="G58">
        <f>AVERAGE(G40:G57)</f>
        <v>0.15695999919766102</v>
      </c>
      <c r="H58">
        <f t="shared" ref="H58:I58" si="49">AVERAGE(H40:H57)</f>
        <v>0.57808931160935306</v>
      </c>
      <c r="I58">
        <f t="shared" si="49"/>
        <v>0.26495068919298581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BFB36-B146-40AD-8A2C-53B3E76FFD52}">
  <dimension ref="A1:J70"/>
  <sheetViews>
    <sheetView tabSelected="1" topLeftCell="A34" workbookViewId="0">
      <selection activeCell="H22" sqref="H22"/>
    </sheetView>
  </sheetViews>
  <sheetFormatPr defaultRowHeight="13.8" x14ac:dyDescent="0.25"/>
  <sheetData>
    <row r="1" spans="1:10" x14ac:dyDescent="0.25">
      <c r="A1" t="s">
        <v>130</v>
      </c>
      <c r="H1">
        <v>1E-3</v>
      </c>
    </row>
    <row r="2" spans="1:10" x14ac:dyDescent="0.25">
      <c r="D2" t="s">
        <v>131</v>
      </c>
      <c r="E2" t="s">
        <v>132</v>
      </c>
      <c r="F2" t="s">
        <v>133</v>
      </c>
      <c r="G2" t="s">
        <v>134</v>
      </c>
    </row>
    <row r="4" spans="1:10" x14ac:dyDescent="0.25">
      <c r="A4" t="s">
        <v>135</v>
      </c>
      <c r="B4">
        <v>1</v>
      </c>
      <c r="D4">
        <v>18</v>
      </c>
      <c r="E4">
        <v>5995.5</v>
      </c>
      <c r="F4">
        <v>1426.3115</v>
      </c>
      <c r="G4">
        <v>336.18484000000001</v>
      </c>
      <c r="H4" s="1" t="s">
        <v>149</v>
      </c>
    </row>
    <row r="5" spans="1:10" x14ac:dyDescent="0.25">
      <c r="B5">
        <v>2</v>
      </c>
      <c r="D5">
        <v>18</v>
      </c>
      <c r="E5">
        <v>7042.2222000000002</v>
      </c>
      <c r="F5">
        <v>1333.6809499999999</v>
      </c>
      <c r="G5">
        <v>314.35162000000003</v>
      </c>
      <c r="H5" s="2" t="s">
        <v>148</v>
      </c>
    </row>
    <row r="6" spans="1:10" x14ac:dyDescent="0.25">
      <c r="B6">
        <v>3</v>
      </c>
      <c r="D6">
        <v>18</v>
      </c>
      <c r="E6">
        <v>7969.8333000000002</v>
      </c>
      <c r="F6">
        <v>1315.0811799999999</v>
      </c>
      <c r="G6">
        <v>309.96760999999998</v>
      </c>
      <c r="H6" s="2" t="s">
        <v>147</v>
      </c>
    </row>
    <row r="7" spans="1:10" x14ac:dyDescent="0.25">
      <c r="B7" t="s">
        <v>136</v>
      </c>
      <c r="D7">
        <v>54</v>
      </c>
      <c r="E7">
        <v>7002.5185000000001</v>
      </c>
      <c r="F7">
        <v>1562.2137499999999</v>
      </c>
      <c r="G7">
        <v>212.59036</v>
      </c>
    </row>
    <row r="8" spans="1:10" x14ac:dyDescent="0.25">
      <c r="B8" t="s">
        <v>137</v>
      </c>
      <c r="C8" t="s">
        <v>138</v>
      </c>
      <c r="F8">
        <v>1359.2286899999999</v>
      </c>
      <c r="G8">
        <v>184.9676</v>
      </c>
    </row>
    <row r="9" spans="1:10" x14ac:dyDescent="0.25">
      <c r="C9" t="s">
        <v>139</v>
      </c>
      <c r="G9">
        <v>570.28656999999998</v>
      </c>
    </row>
    <row r="10" spans="1:10" x14ac:dyDescent="0.25">
      <c r="A10" t="s">
        <v>140</v>
      </c>
      <c r="B10">
        <v>1</v>
      </c>
      <c r="D10">
        <v>18</v>
      </c>
      <c r="E10">
        <v>18336.888900000002</v>
      </c>
      <c r="F10">
        <v>4499.1521000000002</v>
      </c>
      <c r="G10">
        <v>1060.4603199999999</v>
      </c>
      <c r="H10" s="1" t="s">
        <v>149</v>
      </c>
      <c r="J10" s="1"/>
    </row>
    <row r="11" spans="1:10" x14ac:dyDescent="0.25">
      <c r="B11">
        <v>2</v>
      </c>
      <c r="D11">
        <v>18</v>
      </c>
      <c r="E11">
        <v>18693.0556</v>
      </c>
      <c r="F11">
        <v>3703.3864400000002</v>
      </c>
      <c r="G11">
        <v>872.89655000000005</v>
      </c>
      <c r="H11" s="2" t="s">
        <v>149</v>
      </c>
      <c r="J11" s="2"/>
    </row>
    <row r="12" spans="1:10" x14ac:dyDescent="0.25">
      <c r="B12">
        <v>3</v>
      </c>
      <c r="D12">
        <v>18</v>
      </c>
      <c r="E12">
        <v>23605.5</v>
      </c>
      <c r="F12">
        <v>3242.76134</v>
      </c>
      <c r="G12">
        <v>764.32618000000002</v>
      </c>
      <c r="H12" s="2" t="s">
        <v>147</v>
      </c>
      <c r="J12" s="2"/>
    </row>
    <row r="13" spans="1:10" x14ac:dyDescent="0.25">
      <c r="B13" t="s">
        <v>136</v>
      </c>
      <c r="D13">
        <v>54</v>
      </c>
      <c r="E13">
        <v>20211.8148</v>
      </c>
      <c r="F13">
        <v>4489.2815300000002</v>
      </c>
      <c r="G13">
        <v>610.91384000000005</v>
      </c>
    </row>
    <row r="14" spans="1:10" x14ac:dyDescent="0.25">
      <c r="B14" t="s">
        <v>137</v>
      </c>
      <c r="C14" t="s">
        <v>138</v>
      </c>
      <c r="F14">
        <v>3850.2355699999998</v>
      </c>
      <c r="G14">
        <v>523.95069999999998</v>
      </c>
    </row>
    <row r="15" spans="1:10" x14ac:dyDescent="0.25">
      <c r="C15" t="s">
        <v>139</v>
      </c>
      <c r="G15">
        <v>1699.95471</v>
      </c>
    </row>
    <row r="16" spans="1:10" x14ac:dyDescent="0.25">
      <c r="A16" t="s">
        <v>141</v>
      </c>
      <c r="B16">
        <v>1</v>
      </c>
      <c r="D16">
        <v>18</v>
      </c>
      <c r="E16">
        <v>11027.6111</v>
      </c>
      <c r="F16">
        <v>1577.2602899999999</v>
      </c>
      <c r="G16">
        <v>371.76382000000001</v>
      </c>
      <c r="H16" t="s">
        <v>147</v>
      </c>
    </row>
    <row r="17" spans="1:9" x14ac:dyDescent="0.25">
      <c r="B17">
        <v>2</v>
      </c>
      <c r="D17">
        <v>18</v>
      </c>
      <c r="E17">
        <v>10404.1667</v>
      </c>
      <c r="F17">
        <v>1172.8849399999999</v>
      </c>
      <c r="G17">
        <v>276.45163000000002</v>
      </c>
      <c r="H17" t="s">
        <v>147</v>
      </c>
    </row>
    <row r="18" spans="1:9" x14ac:dyDescent="0.25">
      <c r="B18">
        <v>3</v>
      </c>
      <c r="D18">
        <v>18</v>
      </c>
      <c r="E18">
        <v>10183.1111</v>
      </c>
      <c r="F18">
        <v>1485.5119099999999</v>
      </c>
      <c r="G18">
        <v>350.13851</v>
      </c>
      <c r="H18" t="s">
        <v>147</v>
      </c>
    </row>
    <row r="19" spans="1:9" x14ac:dyDescent="0.25">
      <c r="B19" t="s">
        <v>136</v>
      </c>
      <c r="D19">
        <v>54</v>
      </c>
      <c r="E19">
        <v>10538.2963</v>
      </c>
      <c r="F19">
        <v>1441.2848300000001</v>
      </c>
      <c r="G19">
        <v>196.13401999999999</v>
      </c>
    </row>
    <row r="20" spans="1:9" x14ac:dyDescent="0.25">
      <c r="B20" t="s">
        <v>137</v>
      </c>
      <c r="C20" t="s">
        <v>138</v>
      </c>
      <c r="F20">
        <v>1422.4573499999999</v>
      </c>
      <c r="G20">
        <v>193.57193000000001</v>
      </c>
    </row>
    <row r="21" spans="1:9" x14ac:dyDescent="0.25">
      <c r="C21" t="s">
        <v>139</v>
      </c>
      <c r="G21">
        <v>252.84259</v>
      </c>
    </row>
    <row r="22" spans="1:9" x14ac:dyDescent="0.25">
      <c r="A22" t="s">
        <v>142</v>
      </c>
      <c r="B22">
        <v>1</v>
      </c>
      <c r="D22">
        <v>18</v>
      </c>
      <c r="E22">
        <v>0.58599999999999997</v>
      </c>
      <c r="F22">
        <v>0.10680000000000001</v>
      </c>
      <c r="G22">
        <v>2.52E-2</v>
      </c>
      <c r="H22" s="1" t="s">
        <v>149</v>
      </c>
      <c r="I22" s="1"/>
    </row>
    <row r="23" spans="1:9" x14ac:dyDescent="0.25">
      <c r="B23">
        <v>2</v>
      </c>
      <c r="D23">
        <v>18</v>
      </c>
      <c r="E23">
        <v>0.42299999999999999</v>
      </c>
      <c r="F23">
        <v>0.1226</v>
      </c>
      <c r="G23">
        <v>2.8899999999999999E-2</v>
      </c>
      <c r="H23" s="2" t="s">
        <v>149</v>
      </c>
      <c r="I23" s="2"/>
    </row>
    <row r="24" spans="1:9" x14ac:dyDescent="0.25">
      <c r="B24">
        <v>3</v>
      </c>
      <c r="D24">
        <v>18</v>
      </c>
      <c r="E24">
        <v>0.64500000000000002</v>
      </c>
      <c r="F24">
        <v>9.0499999999999997E-2</v>
      </c>
      <c r="G24">
        <v>2.1299999999999999E-2</v>
      </c>
      <c r="H24" s="2" t="s">
        <v>147</v>
      </c>
      <c r="I24" s="2"/>
    </row>
    <row r="25" spans="1:9" x14ac:dyDescent="0.25">
      <c r="B25" t="s">
        <v>136</v>
      </c>
      <c r="D25">
        <v>54</v>
      </c>
      <c r="E25">
        <v>0.55200000000000005</v>
      </c>
      <c r="F25">
        <v>0.14169999999999999</v>
      </c>
      <c r="G25">
        <v>1.9300000000000001E-2</v>
      </c>
    </row>
    <row r="26" spans="1:9" x14ac:dyDescent="0.25">
      <c r="B26" t="s">
        <v>137</v>
      </c>
      <c r="C26" t="s">
        <v>138</v>
      </c>
      <c r="F26">
        <v>0.1074</v>
      </c>
      <c r="G26">
        <v>1.46E-2</v>
      </c>
    </row>
    <row r="27" spans="1:9" x14ac:dyDescent="0.25">
      <c r="C27" t="s">
        <v>139</v>
      </c>
      <c r="G27">
        <v>6.6299999999999998E-2</v>
      </c>
    </row>
    <row r="28" spans="1:9" x14ac:dyDescent="0.25">
      <c r="A28" s="1" t="s">
        <v>143</v>
      </c>
      <c r="B28">
        <v>1</v>
      </c>
      <c r="D28">
        <v>18</v>
      </c>
      <c r="E28">
        <v>3.6850000000000001</v>
      </c>
      <c r="F28">
        <v>0.91586999999999996</v>
      </c>
      <c r="G28">
        <v>0.21587000000000001</v>
      </c>
      <c r="H28" s="1" t="s">
        <v>149</v>
      </c>
      <c r="I28" s="1"/>
    </row>
    <row r="29" spans="1:9" x14ac:dyDescent="0.25">
      <c r="B29">
        <v>2</v>
      </c>
      <c r="D29">
        <v>18</v>
      </c>
      <c r="E29">
        <v>3.7806000000000002</v>
      </c>
      <c r="F29">
        <v>0.87865000000000004</v>
      </c>
      <c r="G29">
        <v>0.20710000000000001</v>
      </c>
      <c r="H29" s="2" t="s">
        <v>149</v>
      </c>
      <c r="I29" s="2"/>
    </row>
    <row r="30" spans="1:9" x14ac:dyDescent="0.25">
      <c r="B30">
        <v>3</v>
      </c>
      <c r="D30">
        <v>18</v>
      </c>
      <c r="E30">
        <v>5.1745000000000001</v>
      </c>
      <c r="F30">
        <v>1.0060199999999999</v>
      </c>
      <c r="G30">
        <v>0.23712</v>
      </c>
      <c r="H30" s="2" t="s">
        <v>147</v>
      </c>
      <c r="I30" s="2"/>
    </row>
    <row r="31" spans="1:9" x14ac:dyDescent="0.25">
      <c r="B31" t="s">
        <v>136</v>
      </c>
      <c r="D31">
        <v>54</v>
      </c>
      <c r="E31">
        <v>4.2134</v>
      </c>
      <c r="F31">
        <v>1.1460699999999999</v>
      </c>
      <c r="G31">
        <v>0.15595999999999999</v>
      </c>
      <c r="I31" s="2"/>
    </row>
    <row r="32" spans="1:9" x14ac:dyDescent="0.25">
      <c r="B32" t="s">
        <v>137</v>
      </c>
      <c r="C32" t="s">
        <v>138</v>
      </c>
      <c r="F32">
        <v>0.93503999999999998</v>
      </c>
      <c r="G32">
        <v>0.12723999999999999</v>
      </c>
      <c r="I32" s="2"/>
    </row>
    <row r="33" spans="1:10" x14ac:dyDescent="0.25">
      <c r="C33" t="s">
        <v>139</v>
      </c>
      <c r="G33">
        <v>0.48137000000000002</v>
      </c>
      <c r="I33" s="2"/>
    </row>
    <row r="34" spans="1:10" x14ac:dyDescent="0.25">
      <c r="A34" t="s">
        <v>144</v>
      </c>
      <c r="B34">
        <v>1</v>
      </c>
      <c r="D34">
        <v>18</v>
      </c>
      <c r="E34">
        <v>0.97050000000000003</v>
      </c>
      <c r="F34">
        <v>0.30785000000000001</v>
      </c>
      <c r="G34">
        <v>7.2559999999999999E-2</v>
      </c>
      <c r="H34" t="s">
        <v>147</v>
      </c>
      <c r="I34" s="2" t="s">
        <v>149</v>
      </c>
    </row>
    <row r="35" spans="1:10" x14ac:dyDescent="0.25">
      <c r="B35">
        <v>2</v>
      </c>
      <c r="D35">
        <v>18</v>
      </c>
      <c r="E35">
        <v>1.095</v>
      </c>
      <c r="F35">
        <v>0.34710999999999997</v>
      </c>
      <c r="G35">
        <v>8.1809999999999994E-2</v>
      </c>
      <c r="H35" t="s">
        <v>147</v>
      </c>
      <c r="I35" s="2" t="s">
        <v>148</v>
      </c>
    </row>
    <row r="36" spans="1:10" x14ac:dyDescent="0.25">
      <c r="B36">
        <v>3</v>
      </c>
      <c r="D36">
        <v>18</v>
      </c>
      <c r="E36">
        <v>1.3193999999999999</v>
      </c>
      <c r="F36">
        <v>0.33561999999999997</v>
      </c>
      <c r="G36">
        <v>7.911E-2</v>
      </c>
      <c r="H36" t="s">
        <v>147</v>
      </c>
      <c r="I36" s="2" t="s">
        <v>147</v>
      </c>
    </row>
    <row r="37" spans="1:10" x14ac:dyDescent="0.25">
      <c r="B37" t="s">
        <v>136</v>
      </c>
      <c r="D37">
        <v>54</v>
      </c>
      <c r="E37">
        <v>1.1283000000000001</v>
      </c>
      <c r="F37">
        <v>0.35554000000000002</v>
      </c>
      <c r="G37">
        <v>4.8379999999999999E-2</v>
      </c>
      <c r="I37" s="2"/>
    </row>
    <row r="38" spans="1:10" x14ac:dyDescent="0.25">
      <c r="B38" t="s">
        <v>137</v>
      </c>
      <c r="C38" t="s">
        <v>138</v>
      </c>
      <c r="F38">
        <v>0.33061000000000001</v>
      </c>
      <c r="G38">
        <v>4.4990000000000002E-2</v>
      </c>
      <c r="I38" s="2"/>
    </row>
    <row r="39" spans="1:10" x14ac:dyDescent="0.25">
      <c r="C39" t="s">
        <v>139</v>
      </c>
      <c r="G39">
        <v>0.10208</v>
      </c>
      <c r="I39" s="2"/>
    </row>
    <row r="40" spans="1:10" x14ac:dyDescent="0.25">
      <c r="A40" t="s">
        <v>93</v>
      </c>
      <c r="B40">
        <v>1</v>
      </c>
      <c r="D40">
        <v>18</v>
      </c>
      <c r="E40">
        <v>1.0483</v>
      </c>
      <c r="F40">
        <v>1.9199999999999998E-2</v>
      </c>
      <c r="G40">
        <v>4.5300000000000002E-3</v>
      </c>
      <c r="H40" s="1" t="s">
        <v>148</v>
      </c>
      <c r="I40" s="2"/>
    </row>
    <row r="41" spans="1:10" x14ac:dyDescent="0.25">
      <c r="B41">
        <v>2</v>
      </c>
      <c r="D41">
        <v>18</v>
      </c>
      <c r="E41">
        <v>1.0652999999999999</v>
      </c>
      <c r="F41">
        <v>1.455E-2</v>
      </c>
      <c r="G41">
        <v>3.4299999999999999E-3</v>
      </c>
      <c r="H41" s="2" t="s">
        <v>147</v>
      </c>
      <c r="I41" s="2"/>
    </row>
    <row r="42" spans="1:10" x14ac:dyDescent="0.25">
      <c r="B42">
        <v>3</v>
      </c>
      <c r="D42">
        <v>18</v>
      </c>
      <c r="E42">
        <v>1.0409999999999999</v>
      </c>
      <c r="F42">
        <v>1.2800000000000001E-2</v>
      </c>
      <c r="G42">
        <v>3.0200000000000001E-3</v>
      </c>
      <c r="H42" s="2" t="s">
        <v>149</v>
      </c>
      <c r="I42" s="2"/>
    </row>
    <row r="43" spans="1:10" x14ac:dyDescent="0.25">
      <c r="B43" t="s">
        <v>136</v>
      </c>
      <c r="D43">
        <v>54</v>
      </c>
      <c r="E43">
        <v>1.0515000000000001</v>
      </c>
      <c r="F43">
        <v>1.8550000000000001E-2</v>
      </c>
      <c r="G43">
        <v>2.5200000000000001E-3</v>
      </c>
    </row>
    <row r="44" spans="1:10" x14ac:dyDescent="0.25">
      <c r="B44" t="s">
        <v>137</v>
      </c>
      <c r="C44" t="s">
        <v>138</v>
      </c>
      <c r="F44">
        <v>1.575E-2</v>
      </c>
      <c r="G44">
        <v>2.14E-3</v>
      </c>
    </row>
    <row r="45" spans="1:10" x14ac:dyDescent="0.25">
      <c r="C45" t="s">
        <v>139</v>
      </c>
      <c r="G45">
        <v>7.1900000000000002E-3</v>
      </c>
    </row>
    <row r="46" spans="1:10" x14ac:dyDescent="0.25">
      <c r="A46" t="s">
        <v>125</v>
      </c>
      <c r="B46">
        <v>1</v>
      </c>
      <c r="D46">
        <v>18</v>
      </c>
      <c r="E46">
        <v>1.8922000000000001</v>
      </c>
      <c r="F46">
        <v>0.11609</v>
      </c>
      <c r="G46">
        <v>2.7359999999999999E-2</v>
      </c>
      <c r="H46" t="s">
        <v>147</v>
      </c>
      <c r="I46" s="1" t="s">
        <v>148</v>
      </c>
      <c r="J46" s="1"/>
    </row>
    <row r="47" spans="1:10" x14ac:dyDescent="0.25">
      <c r="B47">
        <v>2</v>
      </c>
      <c r="D47">
        <v>18</v>
      </c>
      <c r="E47">
        <v>1.9661</v>
      </c>
      <c r="F47">
        <v>0.15643000000000001</v>
      </c>
      <c r="G47">
        <v>3.687E-2</v>
      </c>
      <c r="H47" t="s">
        <v>147</v>
      </c>
      <c r="I47" s="2" t="s">
        <v>147</v>
      </c>
      <c r="J47" s="2"/>
    </row>
    <row r="48" spans="1:10" x14ac:dyDescent="0.25">
      <c r="B48">
        <v>3</v>
      </c>
      <c r="D48">
        <v>18</v>
      </c>
      <c r="E48">
        <v>1.7849999999999999</v>
      </c>
      <c r="F48">
        <v>0.18668999999999999</v>
      </c>
      <c r="G48">
        <v>4.3999999999999997E-2</v>
      </c>
      <c r="H48" t="s">
        <v>147</v>
      </c>
      <c r="I48" s="2" t="s">
        <v>149</v>
      </c>
      <c r="J48" s="2"/>
    </row>
    <row r="49" spans="1:10" x14ac:dyDescent="0.25">
      <c r="B49" t="s">
        <v>136</v>
      </c>
      <c r="D49">
        <v>54</v>
      </c>
      <c r="E49">
        <v>1.8811</v>
      </c>
      <c r="F49">
        <v>0.17022999999999999</v>
      </c>
      <c r="G49">
        <v>2.317E-2</v>
      </c>
    </row>
    <row r="50" spans="1:10" x14ac:dyDescent="0.25">
      <c r="B50" t="s">
        <v>137</v>
      </c>
      <c r="C50" t="s">
        <v>138</v>
      </c>
      <c r="F50">
        <v>0.15578</v>
      </c>
      <c r="G50">
        <v>2.12E-2</v>
      </c>
    </row>
    <row r="51" spans="1:10" x14ac:dyDescent="0.25">
      <c r="C51" t="s">
        <v>139</v>
      </c>
      <c r="G51">
        <v>5.2549999999999999E-2</v>
      </c>
    </row>
    <row r="52" spans="1:10" x14ac:dyDescent="0.25">
      <c r="A52" t="s">
        <v>96</v>
      </c>
      <c r="B52">
        <v>1</v>
      </c>
      <c r="D52">
        <v>18</v>
      </c>
      <c r="E52">
        <v>0.4098</v>
      </c>
      <c r="F52">
        <v>1.155E-2</v>
      </c>
      <c r="G52">
        <v>2.7200000000000002E-3</v>
      </c>
    </row>
    <row r="53" spans="1:10" x14ac:dyDescent="0.25">
      <c r="B53">
        <v>2</v>
      </c>
      <c r="D53">
        <v>18</v>
      </c>
      <c r="E53">
        <v>0.41199999999999998</v>
      </c>
      <c r="F53">
        <v>1.376E-2</v>
      </c>
      <c r="G53">
        <v>3.2399999999999998E-3</v>
      </c>
      <c r="H53" t="s">
        <v>147</v>
      </c>
    </row>
    <row r="54" spans="1:10" x14ac:dyDescent="0.25">
      <c r="B54">
        <v>3</v>
      </c>
      <c r="D54">
        <v>18</v>
      </c>
      <c r="E54">
        <v>0.41599999999999998</v>
      </c>
      <c r="F54">
        <v>1.555E-2</v>
      </c>
      <c r="G54">
        <v>3.6700000000000001E-3</v>
      </c>
      <c r="H54" t="s">
        <v>147</v>
      </c>
    </row>
    <row r="55" spans="1:10" x14ac:dyDescent="0.25">
      <c r="B55" t="s">
        <v>136</v>
      </c>
      <c r="D55">
        <v>54</v>
      </c>
      <c r="E55">
        <v>0.41260000000000002</v>
      </c>
      <c r="F55">
        <v>1.37E-2</v>
      </c>
      <c r="G55">
        <v>1.8600000000000001E-3</v>
      </c>
      <c r="H55" t="s">
        <v>147</v>
      </c>
    </row>
    <row r="56" spans="1:10" x14ac:dyDescent="0.25">
      <c r="B56" t="s">
        <v>137</v>
      </c>
      <c r="C56" t="s">
        <v>138</v>
      </c>
      <c r="F56">
        <v>1.372E-2</v>
      </c>
      <c r="G56">
        <v>1.8699999999999999E-3</v>
      </c>
    </row>
    <row r="57" spans="1:10" x14ac:dyDescent="0.25">
      <c r="C57" t="s">
        <v>139</v>
      </c>
      <c r="G57" t="s">
        <v>146</v>
      </c>
    </row>
    <row r="58" spans="1:10" x14ac:dyDescent="0.25">
      <c r="A58" s="1" t="s">
        <v>127</v>
      </c>
      <c r="B58">
        <v>1</v>
      </c>
      <c r="D58">
        <v>18</v>
      </c>
      <c r="E58">
        <v>9379.2168000000001</v>
      </c>
      <c r="F58">
        <v>2743.8586100000002</v>
      </c>
      <c r="G58">
        <v>646.73368000000005</v>
      </c>
      <c r="H58" t="s">
        <v>147</v>
      </c>
      <c r="I58" s="1" t="s">
        <v>148</v>
      </c>
      <c r="J58" s="1"/>
    </row>
    <row r="59" spans="1:10" x14ac:dyDescent="0.25">
      <c r="B59">
        <v>2</v>
      </c>
      <c r="D59">
        <v>18</v>
      </c>
      <c r="E59">
        <v>7975.7017999999998</v>
      </c>
      <c r="F59">
        <v>1453.2169899999999</v>
      </c>
      <c r="G59">
        <v>342.52652999999998</v>
      </c>
      <c r="H59" t="s">
        <v>147</v>
      </c>
      <c r="I59" s="2" t="s">
        <v>149</v>
      </c>
      <c r="J59" s="2"/>
    </row>
    <row r="60" spans="1:10" x14ac:dyDescent="0.25">
      <c r="B60">
        <v>3</v>
      </c>
      <c r="D60">
        <v>18</v>
      </c>
      <c r="E60">
        <v>10107.456099999999</v>
      </c>
      <c r="F60">
        <v>1861.77496</v>
      </c>
      <c r="G60">
        <v>438.82456999999999</v>
      </c>
      <c r="H60" t="s">
        <v>147</v>
      </c>
      <c r="I60" s="2" t="s">
        <v>147</v>
      </c>
      <c r="J60" s="2"/>
    </row>
    <row r="61" spans="1:10" x14ac:dyDescent="0.25">
      <c r="B61" t="s">
        <v>136</v>
      </c>
      <c r="D61">
        <v>54</v>
      </c>
      <c r="E61">
        <v>9154.1249000000007</v>
      </c>
      <c r="F61">
        <v>2236.4184500000001</v>
      </c>
      <c r="G61">
        <v>304.33800000000002</v>
      </c>
    </row>
    <row r="62" spans="1:10" x14ac:dyDescent="0.25">
      <c r="B62" t="s">
        <v>137</v>
      </c>
      <c r="C62" t="s">
        <v>138</v>
      </c>
      <c r="F62">
        <v>2090.1998100000001</v>
      </c>
      <c r="G62">
        <v>284.44017000000002</v>
      </c>
    </row>
    <row r="63" spans="1:10" x14ac:dyDescent="0.25">
      <c r="C63" t="s">
        <v>139</v>
      </c>
      <c r="G63">
        <v>625.59141999999997</v>
      </c>
    </row>
    <row r="64" spans="1:10" x14ac:dyDescent="0.25">
      <c r="A64" t="s">
        <v>129</v>
      </c>
      <c r="B64">
        <v>1</v>
      </c>
      <c r="D64">
        <v>18</v>
      </c>
      <c r="E64">
        <v>139.83670000000001</v>
      </c>
      <c r="F64">
        <v>30.70121</v>
      </c>
      <c r="G64">
        <v>7.2363499999999998</v>
      </c>
      <c r="H64" s="3" t="s">
        <v>147</v>
      </c>
      <c r="I64" t="s">
        <v>149</v>
      </c>
    </row>
    <row r="65" spans="1:9" x14ac:dyDescent="0.25">
      <c r="B65">
        <v>2</v>
      </c>
      <c r="D65">
        <v>18</v>
      </c>
      <c r="E65">
        <v>111.1144</v>
      </c>
      <c r="F65">
        <v>58.924570000000003</v>
      </c>
      <c r="G65">
        <v>13.88866</v>
      </c>
      <c r="H65" s="3" t="s">
        <v>147</v>
      </c>
      <c r="I65" t="s">
        <v>148</v>
      </c>
    </row>
    <row r="66" spans="1:9" x14ac:dyDescent="0.25">
      <c r="B66">
        <v>3</v>
      </c>
      <c r="D66">
        <v>18</v>
      </c>
      <c r="E66">
        <v>151.3672</v>
      </c>
      <c r="F66">
        <v>17.940480000000001</v>
      </c>
      <c r="G66">
        <v>4.2286099999999998</v>
      </c>
      <c r="H66" s="3" t="s">
        <v>147</v>
      </c>
      <c r="I66" t="s">
        <v>147</v>
      </c>
    </row>
    <row r="67" spans="1:9" x14ac:dyDescent="0.25">
      <c r="B67" t="s">
        <v>136</v>
      </c>
      <c r="D67">
        <v>54</v>
      </c>
      <c r="E67">
        <v>141.51349999999999</v>
      </c>
      <c r="F67">
        <v>45.050919999999998</v>
      </c>
      <c r="G67">
        <v>6.1306500000000002</v>
      </c>
    </row>
    <row r="68" spans="1:9" x14ac:dyDescent="0.25">
      <c r="B68" t="s">
        <v>137</v>
      </c>
      <c r="C68" t="s">
        <v>138</v>
      </c>
      <c r="F68">
        <v>39.997160000000001</v>
      </c>
      <c r="G68">
        <v>5.44292</v>
      </c>
    </row>
    <row r="69" spans="1:9" x14ac:dyDescent="0.25">
      <c r="C69" t="s">
        <v>139</v>
      </c>
      <c r="G69">
        <v>15.509740000000001</v>
      </c>
    </row>
    <row r="70" spans="1:9" x14ac:dyDescent="0.25">
      <c r="A70" t="s">
        <v>145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2015-06-05T18:19:34Z</dcterms:created>
  <dcterms:modified xsi:type="dcterms:W3CDTF">2023-07-06T14:12:46Z</dcterms:modified>
</cp:coreProperties>
</file>