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lharris92/Girguis Lab Dropbox/Rachel Harris/M. barkeri low pressure/PNAS Submission/Supplementary Materials/SI Appendix/Supplementary Tables/"/>
    </mc:Choice>
  </mc:AlternateContent>
  <xr:revisionPtr revIDLastSave="0" documentId="13_ncr:1_{5C033667-F4A7-4E43-B530-D781B36B2BBE}" xr6:coauthVersionLast="47" xr6:coauthVersionMax="47" xr10:uidLastSave="{00000000-0000-0000-0000-000000000000}"/>
  <bookViews>
    <workbookView xWindow="-25180" yWindow="-14420" windowWidth="21580" windowHeight="16740" xr2:uid="{D898E8E8-C45A-9E4E-B6FF-044B25B218D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" i="1" l="1"/>
  <c r="N26" i="1" l="1"/>
  <c r="N6" i="1"/>
  <c r="I23" i="1" l="1"/>
  <c r="I22" i="1"/>
  <c r="I21" i="1"/>
  <c r="I20" i="1"/>
  <c r="I19" i="1"/>
  <c r="I18" i="1"/>
  <c r="I17" i="1"/>
  <c r="I16" i="1"/>
  <c r="I15" i="1"/>
  <c r="I14" i="1"/>
  <c r="I13" i="1"/>
  <c r="I12" i="1"/>
  <c r="P23" i="1"/>
  <c r="P22" i="1"/>
  <c r="P21" i="1"/>
  <c r="P20" i="1"/>
  <c r="P19" i="1"/>
  <c r="P18" i="1"/>
  <c r="P17" i="1"/>
  <c r="P16" i="1"/>
  <c r="P15" i="1"/>
  <c r="P14" i="1"/>
  <c r="P12" i="1"/>
  <c r="P11" i="1"/>
  <c r="P10" i="1"/>
  <c r="P9" i="1"/>
  <c r="P8" i="1"/>
  <c r="P7" i="1"/>
  <c r="P6" i="1"/>
  <c r="C28" i="1"/>
  <c r="C31" i="1"/>
  <c r="C46" i="1"/>
  <c r="C47" i="1" s="1"/>
  <c r="C38" i="1"/>
  <c r="C39" i="1" s="1"/>
  <c r="J16" i="1" l="1"/>
  <c r="J17" i="1"/>
  <c r="J23" i="1"/>
  <c r="J18" i="1"/>
  <c r="J22" i="1"/>
  <c r="J12" i="1"/>
  <c r="J14" i="1"/>
  <c r="K14" i="1" s="1"/>
  <c r="L14" i="1" s="1"/>
  <c r="J21" i="1"/>
  <c r="J20" i="1"/>
  <c r="J19" i="1"/>
  <c r="J13" i="1"/>
  <c r="J15" i="1"/>
  <c r="C44" i="1"/>
  <c r="K23" i="1" s="1"/>
  <c r="L23" i="1" s="1"/>
  <c r="M23" i="1" s="1"/>
  <c r="Q23" i="1" s="1"/>
  <c r="C36" i="1"/>
  <c r="K17" i="1" s="1"/>
  <c r="L17" i="1" s="1"/>
  <c r="M17" i="1" s="1"/>
  <c r="Q17" i="1" s="1"/>
  <c r="K18" i="1" l="1"/>
  <c r="L18" i="1" s="1"/>
  <c r="M18" i="1" s="1"/>
  <c r="Q18" i="1" s="1"/>
  <c r="M14" i="1"/>
  <c r="Q14" i="1" s="1"/>
  <c r="K19" i="1"/>
  <c r="L19" i="1" s="1"/>
  <c r="M19" i="1" s="1"/>
  <c r="Q19" i="1" s="1"/>
  <c r="K16" i="1"/>
  <c r="L16" i="1" s="1"/>
  <c r="M16" i="1" s="1"/>
  <c r="Q16" i="1" s="1"/>
  <c r="K20" i="1"/>
  <c r="L20" i="1" s="1"/>
  <c r="M20" i="1" s="1"/>
  <c r="Q20" i="1" s="1"/>
  <c r="K21" i="1"/>
  <c r="L21" i="1" s="1"/>
  <c r="M21" i="1" s="1"/>
  <c r="Q21" i="1" s="1"/>
  <c r="K12" i="1"/>
  <c r="L12" i="1" s="1"/>
  <c r="M12" i="1" s="1"/>
  <c r="Q12" i="1" s="1"/>
  <c r="K22" i="1"/>
  <c r="L22" i="1" s="1"/>
  <c r="M22" i="1" s="1"/>
  <c r="Q22" i="1" s="1"/>
  <c r="K15" i="1"/>
  <c r="L15" i="1" s="1"/>
  <c r="M15" i="1" s="1"/>
  <c r="Q15" i="1" s="1"/>
  <c r="K13" i="1"/>
  <c r="L13" i="1" s="1"/>
  <c r="M13" i="1" s="1"/>
  <c r="Q13" i="1" s="1"/>
  <c r="R12" i="1" l="1"/>
  <c r="S12" i="1"/>
  <c r="S18" i="1"/>
  <c r="R18" i="1"/>
  <c r="O18" i="1"/>
  <c r="N18" i="1"/>
  <c r="N12" i="1"/>
  <c r="O12" i="1"/>
  <c r="I7" i="1" l="1"/>
  <c r="J7" i="1" s="1"/>
  <c r="I8" i="1"/>
  <c r="J8" i="1" s="1"/>
  <c r="I9" i="1"/>
  <c r="J9" i="1" s="1"/>
  <c r="I10" i="1"/>
  <c r="J10" i="1" s="1"/>
  <c r="I11" i="1"/>
  <c r="J11" i="1" s="1"/>
  <c r="I6" i="1"/>
  <c r="J6" i="1" s="1"/>
  <c r="K11" i="1" l="1"/>
  <c r="L11" i="1" s="1"/>
  <c r="M11" i="1" s="1"/>
  <c r="Q11" i="1" s="1"/>
  <c r="K9" i="1"/>
  <c r="L9" i="1" s="1"/>
  <c r="M9" i="1" s="1"/>
  <c r="Q9" i="1" s="1"/>
  <c r="K8" i="1"/>
  <c r="L8" i="1" s="1"/>
  <c r="M8" i="1" s="1"/>
  <c r="Q8" i="1" s="1"/>
  <c r="K6" i="1"/>
  <c r="L6" i="1" s="1"/>
  <c r="M6" i="1"/>
  <c r="Q6" i="1" s="1"/>
  <c r="K10" i="1"/>
  <c r="L10" i="1" s="1"/>
  <c r="M10" i="1" s="1"/>
  <c r="Q10" i="1" s="1"/>
  <c r="K7" i="1"/>
  <c r="L7" i="1" s="1"/>
  <c r="M7" i="1" s="1"/>
  <c r="Q7" i="1" s="1"/>
  <c r="R6" i="1" l="1"/>
  <c r="S6" i="1"/>
  <c r="O6" i="1"/>
</calcChain>
</file>

<file path=xl/sharedStrings.xml><?xml version="1.0" encoding="utf-8"?>
<sst xmlns="http://schemas.openxmlformats.org/spreadsheetml/2006/main" count="53" uniqueCount="35">
  <si>
    <t>Replicate</t>
  </si>
  <si>
    <t>[mL]</t>
  </si>
  <si>
    <t>Days Incubated</t>
  </si>
  <si>
    <t>Corrected* CH4 Production Rate</t>
  </si>
  <si>
    <t>Raw Headspace CH4</t>
  </si>
  <si>
    <t>Corrected* Headspace CH4</t>
  </si>
  <si>
    <t>Media Volume</t>
  </si>
  <si>
    <r>
      <t xml:space="preserve">*Corrected </t>
    </r>
    <r>
      <rPr>
        <b/>
        <i/>
        <sz val="12"/>
        <color rgb="FF000000"/>
        <rFont val="Times New Roman"/>
        <family val="1"/>
      </rPr>
      <t>p</t>
    </r>
    <r>
      <rPr>
        <b/>
        <sz val="12"/>
        <color rgb="FF000000"/>
        <rFont val="Times New Roman"/>
        <family val="1"/>
      </rPr>
      <t>CH4</t>
    </r>
  </si>
  <si>
    <t>[nmol]</t>
  </si>
  <si>
    <t>MAC units @ 0˚C</t>
  </si>
  <si>
    <t>P (atm)</t>
  </si>
  <si>
    <t>V (cm^3) headspace</t>
  </si>
  <si>
    <t>n (moles)</t>
  </si>
  <si>
    <t>R (cm^3•atm)/(K•mol)</t>
  </si>
  <si>
    <t>T (K)</t>
  </si>
  <si>
    <t>molar volume (cm^3/mol)</t>
  </si>
  <si>
    <t>serum vials  @ 0˚C</t>
  </si>
  <si>
    <t>serum vials  @ 30˚C</t>
  </si>
  <si>
    <t>CH4 molar mass</t>
  </si>
  <si>
    <t>[ppmv]</t>
  </si>
  <si>
    <t>Corrected*  CH4(aq)</t>
  </si>
  <si>
    <t>K_H @ 0˚C</t>
  </si>
  <si>
    <t>K_H @ 30˚C</t>
  </si>
  <si>
    <t xml:space="preserve"> Std. Dev.</t>
  </si>
  <si>
    <t>Gas Mixture</t>
  </si>
  <si>
    <t>80:20 H2:CO2</t>
  </si>
  <si>
    <t>Temperature (˚C)</t>
  </si>
  <si>
    <t>Pressure (mbar)</t>
  </si>
  <si>
    <t>7-12 mbar</t>
  </si>
  <si>
    <t>Average</t>
  </si>
  <si>
    <t>Cells/Replicate @ End of Experiment†</t>
  </si>
  <si>
    <r>
      <t>[pmol CH4 cell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</si>
  <si>
    <r>
      <t xml:space="preserve">Table S1. </t>
    </r>
    <r>
      <rPr>
        <sz val="12"/>
        <color theme="1"/>
        <rFont val="Times New Roman"/>
        <family val="1"/>
      </rPr>
      <t>CH4 evolution data in 80:20 H2:CO2 treatments. * Corrected = 10 ppm CH4 is the background lower limit of precision of the GC-FID at 7-12 mbar, and thus, those values are reduced by 10. †Cell counts estimated from RNA concentration (see Materials &amp; Methods)</t>
    </r>
  </si>
  <si>
    <r>
      <t>[nmol mL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</si>
  <si>
    <r>
      <t>[nmol CH4 mL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 xml:space="preserve"> d</t>
    </r>
    <r>
      <rPr>
        <b/>
        <vertAlign val="superscript"/>
        <sz val="12"/>
        <color rgb="FF000000"/>
        <rFont val="Times New Roman"/>
        <family val="1"/>
      </rPr>
      <t>-1</t>
    </r>
    <r>
      <rPr>
        <b/>
        <sz val="12"/>
        <color rgb="FF000000"/>
        <rFont val="Times New Roman"/>
        <family val="1"/>
      </rPr>
      <t>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</si>
</sst>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Alignment="1">
      <alignment horizontal="right" vertical="center"/>
    </xf>
    <xf numFmtId="11" fontId="3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11" fontId="3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2" fontId="0" fillId="0" borderId="0" xfId="0" applyNumberFormat="1"/>
    <xf numFmtId="0" fontId="3" fillId="0" borderId="1" xfId="0" applyFont="1" applyBorder="1" applyAlignment="1">
      <alignment horizontal="right" vertical="center"/>
    </xf>
    <xf numFmtId="0" fontId="7" fillId="0" borderId="0" xfId="0" applyFont="1"/>
    <xf numFmtId="0" fontId="6" fillId="0" borderId="2" xfId="0" applyFont="1" applyBorder="1"/>
    <xf numFmtId="0" fontId="7" fillId="0" borderId="8" xfId="0" applyFont="1" applyBorder="1"/>
    <xf numFmtId="0" fontId="7" fillId="0" borderId="9" xfId="0" applyFont="1" applyBorder="1"/>
    <xf numFmtId="11" fontId="3" fillId="0" borderId="9" xfId="0" applyNumberFormat="1" applyFont="1" applyBorder="1"/>
    <xf numFmtId="0" fontId="7" fillId="0" borderId="7" xfId="0" applyFont="1" applyBorder="1" applyAlignment="1">
      <alignment horizontal="center"/>
    </xf>
    <xf numFmtId="11" fontId="7" fillId="0" borderId="4" xfId="0" applyNumberFormat="1" applyFont="1" applyBorder="1"/>
    <xf numFmtId="2" fontId="7" fillId="0" borderId="9" xfId="0" applyNumberFormat="1" applyFont="1" applyBorder="1"/>
    <xf numFmtId="0" fontId="7" fillId="0" borderId="10" xfId="0" applyFont="1" applyBorder="1" applyAlignment="1">
      <alignment horizontal="center"/>
    </xf>
    <xf numFmtId="11" fontId="7" fillId="0" borderId="5" xfId="0" applyNumberFormat="1" applyFont="1" applyBorder="1"/>
    <xf numFmtId="11" fontId="7" fillId="0" borderId="8" xfId="0" applyNumberFormat="1" applyFont="1" applyBorder="1"/>
    <xf numFmtId="11" fontId="7" fillId="0" borderId="10" xfId="0" applyNumberFormat="1" applyFont="1" applyBorder="1"/>
    <xf numFmtId="11" fontId="3" fillId="0" borderId="5" xfId="1" applyNumberFormat="1" applyFont="1" applyBorder="1"/>
    <xf numFmtId="11" fontId="7" fillId="0" borderId="0" xfId="0" applyNumberFormat="1" applyFont="1"/>
    <xf numFmtId="2" fontId="7" fillId="0" borderId="0" xfId="0" applyNumberFormat="1" applyFont="1"/>
    <xf numFmtId="0" fontId="6" fillId="0" borderId="0" xfId="0" applyFont="1" applyAlignment="1">
      <alignment horizontal="left"/>
    </xf>
    <xf numFmtId="11" fontId="7" fillId="0" borderId="0" xfId="1" applyNumberFormat="1" applyFont="1"/>
    <xf numFmtId="0" fontId="3" fillId="0" borderId="10" xfId="0" applyFont="1" applyBorder="1" applyAlignment="1">
      <alignment horizontal="right" vertical="center"/>
    </xf>
    <xf numFmtId="0" fontId="3" fillId="0" borderId="13" xfId="0" applyFont="1" applyBorder="1" applyAlignment="1">
      <alignment horizontal="right" vertical="center"/>
    </xf>
    <xf numFmtId="11" fontId="3" fillId="0" borderId="13" xfId="0" applyNumberFormat="1" applyFont="1" applyBorder="1" applyAlignment="1">
      <alignment horizontal="right" vertical="center"/>
    </xf>
    <xf numFmtId="11" fontId="3" fillId="0" borderId="13" xfId="0" applyNumberFormat="1" applyFont="1" applyBorder="1" applyAlignment="1">
      <alignment vertical="center"/>
    </xf>
    <xf numFmtId="11" fontId="7" fillId="0" borderId="13" xfId="1" applyNumberFormat="1" applyFont="1" applyBorder="1"/>
    <xf numFmtId="0" fontId="0" fillId="0" borderId="13" xfId="0" applyBorder="1"/>
    <xf numFmtId="0" fontId="6" fillId="0" borderId="0" xfId="0" applyFont="1"/>
    <xf numFmtId="0" fontId="7" fillId="0" borderId="7" xfId="0" applyFont="1" applyBorder="1"/>
    <xf numFmtId="0" fontId="6" fillId="0" borderId="0" xfId="0" applyFont="1" applyAlignment="1">
      <alignment wrapText="1"/>
    </xf>
    <xf numFmtId="0" fontId="7" fillId="0" borderId="4" xfId="0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2" fontId="3" fillId="0" borderId="0" xfId="0" applyNumberFormat="1" applyFont="1" applyAlignment="1">
      <alignment horizontal="right" vertical="center"/>
    </xf>
    <xf numFmtId="2" fontId="3" fillId="0" borderId="13" xfId="0" applyNumberFormat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rlharris92/Girguis%20Lab%20Dropbox/Rachel%20Harris/M.%20barkeri%20low%20pressure/PNAS%20Submission/Supplementary%20Materials/SI%20Appendix/Supplementary%20Tables/Table%20S3.xlsx" TargetMode="External"/><Relationship Id="rId1" Type="http://schemas.openxmlformats.org/officeDocument/2006/relationships/externalLinkPath" Target="Table%20S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9">
          <cell r="D9">
            <v>101973614.32729283</v>
          </cell>
          <cell r="E9">
            <v>24133755.390792634</v>
          </cell>
          <cell r="F9">
            <v>100274054.08850461</v>
          </cell>
          <cell r="G9">
            <v>110471415.5212339</v>
          </cell>
          <cell r="H9">
            <v>134265258.8642689</v>
          </cell>
          <cell r="I9">
            <v>65433069.193346232</v>
          </cell>
          <cell r="J9">
            <v>280937307.47169173</v>
          </cell>
          <cell r="K9">
            <v>209045909.37095025</v>
          </cell>
          <cell r="L9">
            <v>397697095.87644202</v>
          </cell>
          <cell r="M9">
            <v>252384695.46004975</v>
          </cell>
          <cell r="N9">
            <v>397697095.87644202</v>
          </cell>
          <cell r="O9">
            <v>438486541.60735911</v>
          </cell>
          <cell r="P9">
            <v>254934035.81823209</v>
          </cell>
          <cell r="Q9">
            <v>265131397.25096136</v>
          </cell>
          <cell r="R9">
            <v>341611607.99643099</v>
          </cell>
          <cell r="S9">
            <v>392598415.16007739</v>
          </cell>
          <cell r="T9">
            <v>428289180.17462993</v>
          </cell>
          <cell r="U9">
            <v>326315565.84733707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C1CEB-289B-0D4A-AEE4-51F5D6DFCFD7}">
  <dimension ref="A1:S47"/>
  <sheetViews>
    <sheetView tabSelected="1" workbookViewId="0">
      <selection activeCell="P14" sqref="P14"/>
    </sheetView>
  </sheetViews>
  <sheetFormatPr baseColWidth="10" defaultRowHeight="16" x14ac:dyDescent="0.2"/>
  <cols>
    <col min="1" max="1" width="10.83203125" customWidth="1"/>
    <col min="2" max="2" width="23.1640625" bestFit="1" customWidth="1"/>
    <col min="3" max="4" width="23.1640625" customWidth="1"/>
    <col min="6" max="6" width="13.6640625" bestFit="1" customWidth="1"/>
    <col min="7" max="7" width="15.5" bestFit="1" customWidth="1"/>
    <col min="8" max="8" width="14.5" customWidth="1"/>
    <col min="9" max="9" width="15.1640625" bestFit="1" customWidth="1"/>
    <col min="10" max="11" width="16.6640625" bestFit="1" customWidth="1"/>
    <col min="12" max="12" width="16.6640625" customWidth="1"/>
    <col min="13" max="13" width="30.1640625" bestFit="1" customWidth="1"/>
    <col min="14" max="14" width="18.5" bestFit="1" customWidth="1"/>
    <col min="15" max="15" width="18.1640625" customWidth="1"/>
    <col min="16" max="16" width="33.5" bestFit="1" customWidth="1"/>
    <col min="17" max="18" width="22.1640625" bestFit="1" customWidth="1"/>
    <col min="19" max="19" width="12.5" bestFit="1" customWidth="1"/>
  </cols>
  <sheetData>
    <row r="1" spans="1:19" x14ac:dyDescent="0.2">
      <c r="A1" s="24" t="s">
        <v>32</v>
      </c>
    </row>
    <row r="2" spans="1:19" ht="17" thickBot="1" x14ac:dyDescent="0.25"/>
    <row r="3" spans="1:19" ht="19" customHeight="1" x14ac:dyDescent="0.2">
      <c r="B3" s="36" t="s">
        <v>27</v>
      </c>
      <c r="C3" s="36" t="s">
        <v>26</v>
      </c>
      <c r="D3" s="36" t="s">
        <v>24</v>
      </c>
      <c r="E3" s="36" t="s">
        <v>0</v>
      </c>
      <c r="F3" s="36" t="s">
        <v>6</v>
      </c>
      <c r="G3" s="36" t="s">
        <v>2</v>
      </c>
      <c r="H3" s="39" t="s">
        <v>4</v>
      </c>
      <c r="I3" s="39" t="s">
        <v>5</v>
      </c>
      <c r="J3" s="39" t="s">
        <v>5</v>
      </c>
      <c r="K3" s="36" t="s">
        <v>7</v>
      </c>
      <c r="L3" s="39" t="s">
        <v>20</v>
      </c>
      <c r="M3" s="36" t="s">
        <v>3</v>
      </c>
      <c r="N3" s="36" t="s">
        <v>29</v>
      </c>
      <c r="O3" s="36" t="s">
        <v>23</v>
      </c>
      <c r="P3" s="36" t="s">
        <v>30</v>
      </c>
      <c r="Q3" s="36" t="s">
        <v>31</v>
      </c>
      <c r="R3" s="36" t="s">
        <v>29</v>
      </c>
      <c r="S3" s="36" t="s">
        <v>23</v>
      </c>
    </row>
    <row r="4" spans="1:19" ht="17" thickBot="1" x14ac:dyDescent="0.25">
      <c r="B4" s="38"/>
      <c r="C4" s="38"/>
      <c r="D4" s="38"/>
      <c r="E4" s="38"/>
      <c r="F4" s="38"/>
      <c r="G4" s="38"/>
      <c r="H4" s="40"/>
      <c r="I4" s="40"/>
      <c r="J4" s="40"/>
      <c r="K4" s="38"/>
      <c r="L4" s="40"/>
      <c r="M4" s="37"/>
      <c r="N4" s="37"/>
      <c r="O4" s="38"/>
      <c r="P4" s="38"/>
      <c r="Q4" s="38"/>
      <c r="R4" s="37"/>
      <c r="S4" s="38"/>
    </row>
    <row r="5" spans="1:19" ht="19" thickBot="1" x14ac:dyDescent="0.25">
      <c r="B5" s="37"/>
      <c r="C5" s="37"/>
      <c r="D5" s="37"/>
      <c r="E5" s="37"/>
      <c r="F5" s="5" t="s">
        <v>1</v>
      </c>
      <c r="G5" s="37"/>
      <c r="H5" s="6" t="s">
        <v>19</v>
      </c>
      <c r="I5" s="3" t="s">
        <v>19</v>
      </c>
      <c r="J5" s="3" t="s">
        <v>8</v>
      </c>
      <c r="K5" s="37"/>
      <c r="L5" s="3" t="s">
        <v>8</v>
      </c>
      <c r="M5" s="5" t="s">
        <v>33</v>
      </c>
      <c r="N5" s="5" t="s">
        <v>34</v>
      </c>
      <c r="O5" s="37"/>
      <c r="P5" s="37"/>
      <c r="Q5" s="37"/>
      <c r="R5" s="5" t="s">
        <v>31</v>
      </c>
      <c r="S5" s="37"/>
    </row>
    <row r="6" spans="1:19" x14ac:dyDescent="0.2">
      <c r="B6" s="50" t="s">
        <v>28</v>
      </c>
      <c r="C6" s="45">
        <v>0</v>
      </c>
      <c r="D6" s="45" t="s">
        <v>25</v>
      </c>
      <c r="E6" s="1">
        <v>1</v>
      </c>
      <c r="F6" s="1">
        <v>10</v>
      </c>
      <c r="G6" s="1">
        <v>14</v>
      </c>
      <c r="H6" s="4">
        <v>242.5</v>
      </c>
      <c r="I6" s="4">
        <f>H6-10</f>
        <v>232.5</v>
      </c>
      <c r="J6" s="25">
        <f t="shared" ref="J6:J11" si="0">I6*($C$27/$C$31)*1000</f>
        <v>18.9197360712879</v>
      </c>
      <c r="K6" s="4">
        <f t="shared" ref="K6:K11" si="1">$C$26*(J6/($C$28*1000000000))</f>
        <v>2.7900000000000004E-6</v>
      </c>
      <c r="L6" s="4">
        <f t="shared" ref="L6:L17" si="2">$H$28*K6*F6</f>
        <v>6.4403299612119328E-8</v>
      </c>
      <c r="M6" s="4">
        <f>(J6+L6)/G6/F6</f>
        <v>0.13514097239779427</v>
      </c>
      <c r="N6" s="53">
        <f>AVERAGE(M6:M11)</f>
        <v>3.6890094830881758E-2</v>
      </c>
      <c r="O6" s="53">
        <f>STDEV(M6:M11)</f>
        <v>5.2453439371281163E-2</v>
      </c>
      <c r="P6" s="4">
        <f>[1]Sheet1!$D$9</f>
        <v>101973614.32729283</v>
      </c>
      <c r="Q6" s="2">
        <f>M6/P6*1000</f>
        <v>1.3252543149451193E-6</v>
      </c>
      <c r="R6" s="2">
        <f>AVERAGE(Q6:Q11)</f>
        <v>6.5361972180559762E-7</v>
      </c>
      <c r="S6" s="22">
        <f>STDEV(Q6:Q11)</f>
        <v>9.7951324669278855E-7</v>
      </c>
    </row>
    <row r="7" spans="1:19" x14ac:dyDescent="0.2">
      <c r="B7" s="51"/>
      <c r="C7" s="46"/>
      <c r="D7" s="46"/>
      <c r="E7" s="1">
        <v>2</v>
      </c>
      <c r="F7" s="1">
        <v>10</v>
      </c>
      <c r="G7" s="1">
        <v>14</v>
      </c>
      <c r="H7" s="2">
        <v>108</v>
      </c>
      <c r="I7" s="4">
        <f t="shared" ref="I7:I11" si="3">H7-10</f>
        <v>98</v>
      </c>
      <c r="J7" s="25">
        <f t="shared" si="0"/>
        <v>7.9747704730589852</v>
      </c>
      <c r="K7" s="4">
        <f t="shared" si="1"/>
        <v>1.176E-6</v>
      </c>
      <c r="L7" s="4">
        <f t="shared" si="2"/>
        <v>2.7146337040807283E-8</v>
      </c>
      <c r="M7" s="4">
        <f t="shared" ref="M7:M23" si="4">(J7+L7)/G7/F7</f>
        <v>5.6962646430038011E-2</v>
      </c>
      <c r="N7" s="7"/>
      <c r="O7" s="53"/>
      <c r="P7" s="4">
        <f>[1]Sheet1!$E$9</f>
        <v>24133755.390792634</v>
      </c>
      <c r="Q7" s="2">
        <f>M7/P7*1000</f>
        <v>2.3602893750953511E-6</v>
      </c>
    </row>
    <row r="8" spans="1:19" x14ac:dyDescent="0.2">
      <c r="B8" s="51"/>
      <c r="C8" s="46"/>
      <c r="D8" s="46"/>
      <c r="E8" s="1">
        <v>3</v>
      </c>
      <c r="F8" s="1">
        <v>10</v>
      </c>
      <c r="G8" s="1">
        <v>14</v>
      </c>
      <c r="H8" s="2">
        <v>17.100000000000001</v>
      </c>
      <c r="I8" s="4">
        <f t="shared" si="3"/>
        <v>7.1000000000000014</v>
      </c>
      <c r="J8" s="25">
        <f t="shared" si="0"/>
        <v>0.57776398325223266</v>
      </c>
      <c r="K8" s="4">
        <f t="shared" si="1"/>
        <v>8.5200000000000009E-8</v>
      </c>
      <c r="L8" s="4">
        <f t="shared" si="2"/>
        <v>1.9667244182625686E-9</v>
      </c>
      <c r="M8" s="4">
        <f t="shared" si="4"/>
        <v>4.1268856087068369E-3</v>
      </c>
      <c r="N8" s="53"/>
      <c r="O8" s="53"/>
      <c r="P8" s="4">
        <f>[1]Sheet1!$F$9</f>
        <v>100274054.08850461</v>
      </c>
      <c r="Q8" s="2">
        <f>M8/P8*1000</f>
        <v>4.1156066204965995E-8</v>
      </c>
    </row>
    <row r="9" spans="1:19" x14ac:dyDescent="0.2">
      <c r="B9" s="51"/>
      <c r="C9" s="46"/>
      <c r="D9" s="46"/>
      <c r="E9" s="1">
        <v>4</v>
      </c>
      <c r="F9" s="1">
        <v>10</v>
      </c>
      <c r="G9" s="1">
        <v>14</v>
      </c>
      <c r="H9" s="2">
        <v>43.6</v>
      </c>
      <c r="I9" s="4">
        <f t="shared" si="3"/>
        <v>33.6</v>
      </c>
      <c r="J9" s="25">
        <f t="shared" si="0"/>
        <v>2.7342070193345092</v>
      </c>
      <c r="K9" s="4">
        <f t="shared" si="1"/>
        <v>4.0319999999999996E-7</v>
      </c>
      <c r="L9" s="4">
        <f t="shared" si="2"/>
        <v>9.3073155568482108E-9</v>
      </c>
      <c r="M9" s="4">
        <f t="shared" si="4"/>
        <v>1.9530050204584461E-2</v>
      </c>
      <c r="N9" s="53"/>
      <c r="O9" s="53"/>
      <c r="P9" s="4">
        <f>[1]Sheet1!$G$9</f>
        <v>110471415.5212339</v>
      </c>
      <c r="Q9" s="2">
        <f>M9/P9*1000</f>
        <v>1.767882679192298E-7</v>
      </c>
    </row>
    <row r="10" spans="1:19" x14ac:dyDescent="0.2">
      <c r="B10" s="51"/>
      <c r="C10" s="46"/>
      <c r="D10" s="46"/>
      <c r="E10" s="1">
        <v>5</v>
      </c>
      <c r="F10" s="1">
        <v>10</v>
      </c>
      <c r="G10" s="1">
        <v>14</v>
      </c>
      <c r="H10" s="2">
        <v>14.2</v>
      </c>
      <c r="I10" s="4">
        <f t="shared" si="3"/>
        <v>4.1999999999999993</v>
      </c>
      <c r="J10" s="25">
        <f t="shared" si="0"/>
        <v>0.34177587741681359</v>
      </c>
      <c r="K10" s="4">
        <f t="shared" si="1"/>
        <v>5.0399999999999995E-8</v>
      </c>
      <c r="L10" s="4">
        <f t="shared" si="2"/>
        <v>1.1634144446060264E-9</v>
      </c>
      <c r="M10" s="4">
        <f t="shared" si="4"/>
        <v>2.4412562755730572E-3</v>
      </c>
      <c r="N10" s="53"/>
      <c r="O10" s="53"/>
      <c r="P10" s="4">
        <f>[1]Sheet1!$H$9</f>
        <v>134265258.8642689</v>
      </c>
      <c r="Q10" s="2">
        <f>M10/P10*1000</f>
        <v>1.8182337681566353E-8</v>
      </c>
    </row>
    <row r="11" spans="1:19" ht="17" thickBot="1" x14ac:dyDescent="0.25">
      <c r="B11" s="52"/>
      <c r="C11" s="46"/>
      <c r="D11" s="46"/>
      <c r="E11" s="26">
        <v>6</v>
      </c>
      <c r="F11" s="27">
        <v>10</v>
      </c>
      <c r="G11" s="27">
        <v>14</v>
      </c>
      <c r="H11" s="28">
        <v>15.4</v>
      </c>
      <c r="I11" s="29">
        <f t="shared" si="3"/>
        <v>5.4</v>
      </c>
      <c r="J11" s="30">
        <f t="shared" si="0"/>
        <v>0.43942612810733184</v>
      </c>
      <c r="K11" s="29">
        <f t="shared" si="1"/>
        <v>6.4799999999999998E-8</v>
      </c>
      <c r="L11" s="29">
        <f t="shared" si="2"/>
        <v>1.4958185716363195E-9</v>
      </c>
      <c r="M11" s="29">
        <f t="shared" si="4"/>
        <v>3.1387580685939319E-3</v>
      </c>
      <c r="N11" s="54"/>
      <c r="O11" s="54"/>
      <c r="P11" s="29">
        <f>[1]Sheet1!$I$9</f>
        <v>65433069.193346232</v>
      </c>
      <c r="Q11" s="28">
        <f>M11/P11</f>
        <v>4.7968987352852257E-11</v>
      </c>
      <c r="R11" s="31"/>
      <c r="S11" s="31"/>
    </row>
    <row r="12" spans="1:19" x14ac:dyDescent="0.2">
      <c r="B12" s="45">
        <v>1500</v>
      </c>
      <c r="C12" s="46"/>
      <c r="D12" s="46"/>
      <c r="E12" s="1">
        <v>1</v>
      </c>
      <c r="F12" s="1">
        <v>35</v>
      </c>
      <c r="G12" s="1">
        <v>14</v>
      </c>
      <c r="H12" s="4">
        <v>214500</v>
      </c>
      <c r="I12" s="4">
        <f t="shared" ref="I12:I23" si="5">H12</f>
        <v>214500</v>
      </c>
      <c r="J12" s="25">
        <f t="shared" ref="J12:J17" si="6">I12*($C$35/$C$39)*1000</f>
        <v>933037.70576517947</v>
      </c>
      <c r="K12" s="4">
        <f t="shared" ref="K12:K17" si="7">$C$34*(J12/($C$36*1000000000))</f>
        <v>0.32174999999999998</v>
      </c>
      <c r="L12" s="4">
        <f t="shared" si="2"/>
        <v>2.5995041496665899E-2</v>
      </c>
      <c r="M12" s="4">
        <f t="shared" si="4"/>
        <v>1904.158636245349</v>
      </c>
      <c r="N12" s="53">
        <f>AVERAGE(M12:M17)</f>
        <v>2004.0270961882861</v>
      </c>
      <c r="O12" s="53">
        <f>STDEV(M12:M17)</f>
        <v>418.94000330881005</v>
      </c>
      <c r="P12" s="4">
        <f>[1]Sheet1!$P$9</f>
        <v>254934035.81823209</v>
      </c>
      <c r="Q12" s="2">
        <f>M12/P12*1000</f>
        <v>7.4692209305587337E-3</v>
      </c>
      <c r="R12" s="2">
        <f>AVERAGE(Q12:Q17)</f>
        <v>5.0034624900264909E-3</v>
      </c>
      <c r="S12" s="22">
        <f>STDEV(Q12:Q17)</f>
        <v>2.6745460080540287E-3</v>
      </c>
    </row>
    <row r="13" spans="1:19" x14ac:dyDescent="0.2">
      <c r="B13" s="46"/>
      <c r="C13" s="46"/>
      <c r="D13" s="46"/>
      <c r="E13" s="1">
        <v>2</v>
      </c>
      <c r="F13" s="1">
        <v>35</v>
      </c>
      <c r="G13" s="1">
        <v>14</v>
      </c>
      <c r="H13" s="2">
        <v>138200</v>
      </c>
      <c r="I13" s="4">
        <f t="shared" si="5"/>
        <v>138200</v>
      </c>
      <c r="J13" s="25">
        <f t="shared" si="6"/>
        <v>601145.97173308989</v>
      </c>
      <c r="K13" s="4">
        <f t="shared" si="7"/>
        <v>0.20729999999999998</v>
      </c>
      <c r="L13" s="4">
        <f t="shared" si="2"/>
        <v>1.6748320442140922E-2</v>
      </c>
      <c r="M13" s="4">
        <f t="shared" si="4"/>
        <v>1226.8285479212457</v>
      </c>
      <c r="N13" s="7"/>
      <c r="O13" s="53"/>
      <c r="P13" s="4">
        <f>[1]Sheet1!$Q$9</f>
        <v>265131397.25096136</v>
      </c>
      <c r="Q13" s="2">
        <f>M13/P13*1000</f>
        <v>4.6272473220513579E-3</v>
      </c>
    </row>
    <row r="14" spans="1:19" x14ac:dyDescent="0.2">
      <c r="B14" s="46"/>
      <c r="C14" s="46"/>
      <c r="D14" s="46"/>
      <c r="E14" s="1">
        <v>3</v>
      </c>
      <c r="F14" s="1">
        <v>35</v>
      </c>
      <c r="G14" s="1">
        <v>14</v>
      </c>
      <c r="H14" s="2">
        <v>270700</v>
      </c>
      <c r="I14" s="4">
        <f t="shared" si="5"/>
        <v>270700</v>
      </c>
      <c r="J14" s="25">
        <f t="shared" si="6"/>
        <v>1177497.9345017904</v>
      </c>
      <c r="K14" s="4">
        <f t="shared" si="7"/>
        <v>0.40605000000000002</v>
      </c>
      <c r="L14" s="4">
        <f t="shared" si="2"/>
        <v>3.2805863557797015E-2</v>
      </c>
      <c r="M14" s="4">
        <f t="shared" si="4"/>
        <v>2403.0570761380691</v>
      </c>
      <c r="N14" s="53"/>
      <c r="O14" s="53"/>
      <c r="P14" s="4">
        <f>[1]Sheet1!$R$9</f>
        <v>341611607.99643099</v>
      </c>
      <c r="Q14" s="2">
        <f>M14/P14*1000</f>
        <v>7.0344713700805361E-3</v>
      </c>
    </row>
    <row r="15" spans="1:19" x14ac:dyDescent="0.2">
      <c r="B15" s="46"/>
      <c r="C15" s="46"/>
      <c r="D15" s="46"/>
      <c r="E15" s="1">
        <v>4</v>
      </c>
      <c r="F15" s="1">
        <v>35</v>
      </c>
      <c r="G15" s="1">
        <v>14</v>
      </c>
      <c r="H15" s="2">
        <v>248500</v>
      </c>
      <c r="I15" s="4">
        <f t="shared" si="5"/>
        <v>248500</v>
      </c>
      <c r="J15" s="25">
        <f t="shared" si="6"/>
        <v>1080931.7943246949</v>
      </c>
      <c r="K15" s="4">
        <f t="shared" si="7"/>
        <v>0.37274999999999997</v>
      </c>
      <c r="L15" s="4">
        <f t="shared" si="2"/>
        <v>3.0115467654645577E-2</v>
      </c>
      <c r="M15" s="4">
        <f t="shared" si="4"/>
        <v>2205.9833151840053</v>
      </c>
      <c r="N15" s="53"/>
      <c r="O15" s="53"/>
      <c r="P15" s="4">
        <f>[1]Sheet1!$S$9</f>
        <v>392598415.16007739</v>
      </c>
      <c r="Q15" s="2">
        <f>M15/P15*1000</f>
        <v>5.6189307699689552E-3</v>
      </c>
    </row>
    <row r="16" spans="1:19" x14ac:dyDescent="0.2">
      <c r="B16" s="46"/>
      <c r="C16" s="46"/>
      <c r="D16" s="46"/>
      <c r="E16" s="1">
        <v>5</v>
      </c>
      <c r="F16" s="1">
        <v>35</v>
      </c>
      <c r="G16" s="1">
        <v>14</v>
      </c>
      <c r="H16" s="2">
        <v>254000</v>
      </c>
      <c r="I16" s="4">
        <f t="shared" si="5"/>
        <v>254000</v>
      </c>
      <c r="J16" s="25">
        <f t="shared" si="6"/>
        <v>1104855.8380622638</v>
      </c>
      <c r="K16" s="4">
        <f t="shared" si="7"/>
        <v>0.38100000000000001</v>
      </c>
      <c r="L16" s="4">
        <f t="shared" si="2"/>
        <v>3.0782007180201115E-2</v>
      </c>
      <c r="M16" s="4">
        <f t="shared" si="4"/>
        <v>2254.8078956005529</v>
      </c>
      <c r="N16" s="53"/>
      <c r="O16" s="53"/>
      <c r="P16" s="4">
        <f>[1]Sheet1!$T$9</f>
        <v>428289180.17462993</v>
      </c>
      <c r="Q16" s="2">
        <f>M16/P16*1000</f>
        <v>5.2646856375899598E-3</v>
      </c>
    </row>
    <row r="17" spans="2:19" ht="17" thickBot="1" x14ac:dyDescent="0.25">
      <c r="B17" s="46"/>
      <c r="C17" s="47"/>
      <c r="D17" s="46"/>
      <c r="E17" s="26">
        <v>6</v>
      </c>
      <c r="F17" s="27">
        <v>35</v>
      </c>
      <c r="G17" s="27">
        <v>14</v>
      </c>
      <c r="H17" s="28">
        <v>228600</v>
      </c>
      <c r="I17" s="29">
        <f t="shared" si="5"/>
        <v>228600</v>
      </c>
      <c r="J17" s="30">
        <f t="shared" si="6"/>
        <v>994370.25425603741</v>
      </c>
      <c r="K17" s="29">
        <f t="shared" si="7"/>
        <v>0.34289999999999998</v>
      </c>
      <c r="L17" s="29">
        <f t="shared" si="2"/>
        <v>2.7703806462181003E-2</v>
      </c>
      <c r="M17" s="29">
        <f t="shared" si="4"/>
        <v>2029.3271060404975</v>
      </c>
      <c r="N17" s="54"/>
      <c r="O17" s="54"/>
      <c r="P17" s="29">
        <f>[1]Sheet1!$U$9</f>
        <v>326315565.84733707</v>
      </c>
      <c r="Q17" s="28">
        <f>M17/P17</f>
        <v>6.2189099094031404E-6</v>
      </c>
      <c r="R17" s="31"/>
      <c r="S17" s="31"/>
    </row>
    <row r="18" spans="2:19" x14ac:dyDescent="0.2">
      <c r="B18" s="46"/>
      <c r="C18" s="45">
        <v>30</v>
      </c>
      <c r="D18" s="46"/>
      <c r="E18" s="1">
        <v>1</v>
      </c>
      <c r="F18" s="1">
        <v>35</v>
      </c>
      <c r="G18" s="1">
        <v>14</v>
      </c>
      <c r="H18" s="4">
        <v>589400</v>
      </c>
      <c r="I18" s="4">
        <f t="shared" si="5"/>
        <v>589400</v>
      </c>
      <c r="J18" s="25">
        <f t="shared" ref="J18:J23" si="8">I18*($C$43/$C$47)*1000</f>
        <v>2310072.7759451913</v>
      </c>
      <c r="K18" s="4">
        <f t="shared" ref="K18:K23" si="9">$C$42*(J18/($C$44*1000000000))</f>
        <v>0.88410000000000022</v>
      </c>
      <c r="L18" s="4">
        <f t="shared" ref="L18:L23" si="10">$H$29*K18*F18</f>
        <v>3.5885755109581793E-2</v>
      </c>
      <c r="M18" s="4">
        <f t="shared" si="4"/>
        <v>4714.4343098590743</v>
      </c>
      <c r="N18" s="53">
        <f>AVERAGE(M18:M23)</f>
        <v>4513.0003588864174</v>
      </c>
      <c r="O18" s="53">
        <f>STDEV(M18:M23)</f>
        <v>1063.2867088640328</v>
      </c>
      <c r="P18" s="4">
        <f>[1]Sheet1!$J$9</f>
        <v>280937307.47169173</v>
      </c>
      <c r="Q18" s="2">
        <f>M18/P18*1000</f>
        <v>1.6781090244961921E-2</v>
      </c>
      <c r="R18" s="2">
        <f>AVERAGE(Q18:Q23)</f>
        <v>1.3787431458761394E-2</v>
      </c>
      <c r="S18" s="22">
        <f>STDEV(Q18:Q23)</f>
        <v>7.5118126060384951E-3</v>
      </c>
    </row>
    <row r="19" spans="2:19" x14ac:dyDescent="0.2">
      <c r="B19" s="46"/>
      <c r="C19" s="46"/>
      <c r="D19" s="46"/>
      <c r="E19" s="1">
        <v>2</v>
      </c>
      <c r="F19" s="1">
        <v>35</v>
      </c>
      <c r="G19" s="1">
        <v>14</v>
      </c>
      <c r="H19" s="2">
        <v>493300</v>
      </c>
      <c r="I19" s="4">
        <f t="shared" si="5"/>
        <v>493300</v>
      </c>
      <c r="J19" s="25">
        <f t="shared" si="8"/>
        <v>1933421.9551641718</v>
      </c>
      <c r="K19" s="4">
        <f t="shared" si="9"/>
        <v>0.73995000000000033</v>
      </c>
      <c r="L19" s="4">
        <f t="shared" si="10"/>
        <v>3.0034684417300138E-2</v>
      </c>
      <c r="M19" s="4">
        <f t="shared" si="4"/>
        <v>3945.7591534670532</v>
      </c>
      <c r="O19" s="1"/>
      <c r="P19" s="4">
        <f>[1]Sheet1!$K$9</f>
        <v>209045909.37095025</v>
      </c>
      <c r="Q19" s="2">
        <f>M19/P19*1000</f>
        <v>1.8875084259435741E-2</v>
      </c>
    </row>
    <row r="20" spans="2:19" x14ac:dyDescent="0.2">
      <c r="B20" s="46"/>
      <c r="C20" s="46"/>
      <c r="D20" s="46"/>
      <c r="E20" s="1">
        <v>3</v>
      </c>
      <c r="F20" s="1">
        <v>35</v>
      </c>
      <c r="G20" s="1">
        <v>14</v>
      </c>
      <c r="H20" s="2">
        <v>720600</v>
      </c>
      <c r="I20" s="4">
        <f t="shared" si="5"/>
        <v>720600</v>
      </c>
      <c r="J20" s="25">
        <f t="shared" si="8"/>
        <v>2824293.2513507036</v>
      </c>
      <c r="K20" s="4">
        <f t="shared" si="9"/>
        <v>1.0809000000000004</v>
      </c>
      <c r="L20" s="4">
        <f t="shared" si="10"/>
        <v>4.3873897407473099E-2</v>
      </c>
      <c r="M20" s="4">
        <f t="shared" si="4"/>
        <v>5763.8638678053076</v>
      </c>
      <c r="N20" s="1"/>
      <c r="O20" s="1"/>
      <c r="P20" s="4">
        <f>[1]Sheet1!$L$9</f>
        <v>397697095.87644202</v>
      </c>
      <c r="Q20" s="2">
        <f>M20/P20*1000</f>
        <v>1.4493100220163653E-2</v>
      </c>
    </row>
    <row r="21" spans="2:19" x14ac:dyDescent="0.2">
      <c r="B21" s="46"/>
      <c r="C21" s="46"/>
      <c r="D21" s="46"/>
      <c r="E21" s="1">
        <v>4</v>
      </c>
      <c r="F21" s="1">
        <v>35</v>
      </c>
      <c r="G21" s="1">
        <v>14</v>
      </c>
      <c r="H21" s="2">
        <v>662500</v>
      </c>
      <c r="I21" s="4">
        <f t="shared" si="5"/>
        <v>662500</v>
      </c>
      <c r="J21" s="25">
        <f t="shared" si="8"/>
        <v>2596578.2389950613</v>
      </c>
      <c r="K21" s="4">
        <f t="shared" si="9"/>
        <v>0.99375000000000036</v>
      </c>
      <c r="L21" s="4">
        <f t="shared" si="10"/>
        <v>4.033646549049532E-2</v>
      </c>
      <c r="M21" s="4">
        <f t="shared" si="4"/>
        <v>5299.1393455745447</v>
      </c>
      <c r="N21" s="1"/>
      <c r="O21" s="1"/>
      <c r="P21" s="4">
        <f>[1]Sheet1!$M$9</f>
        <v>252384695.46004975</v>
      </c>
      <c r="Q21" s="2">
        <f>M21/P21*1000</f>
        <v>2.0996278462587489E-2</v>
      </c>
    </row>
    <row r="22" spans="2:19" x14ac:dyDescent="0.2">
      <c r="B22" s="46"/>
      <c r="C22" s="46"/>
      <c r="D22" s="46"/>
      <c r="E22" s="1">
        <v>5</v>
      </c>
      <c r="F22" s="1">
        <v>35</v>
      </c>
      <c r="G22" s="1">
        <v>14</v>
      </c>
      <c r="H22" s="2">
        <v>575400</v>
      </c>
      <c r="I22" s="4">
        <f t="shared" si="5"/>
        <v>575400</v>
      </c>
      <c r="J22" s="25">
        <f t="shared" si="8"/>
        <v>2255201.6886305786</v>
      </c>
      <c r="K22" s="4">
        <f t="shared" si="9"/>
        <v>0.8631000000000002</v>
      </c>
      <c r="L22" s="4">
        <f t="shared" si="10"/>
        <v>3.5033361876575103E-2</v>
      </c>
      <c r="M22" s="4">
        <f t="shared" si="4"/>
        <v>4602.4524972733489</v>
      </c>
      <c r="N22" s="1"/>
      <c r="O22" s="1"/>
      <c r="P22" s="4">
        <f>[1]Sheet1!$N$9</f>
        <v>397697095.87644202</v>
      </c>
      <c r="Q22" s="2">
        <f>M22/P22*1000</f>
        <v>1.1572758627091548E-2</v>
      </c>
    </row>
    <row r="23" spans="2:19" ht="17" thickBot="1" x14ac:dyDescent="0.25">
      <c r="B23" s="47"/>
      <c r="C23" s="47"/>
      <c r="D23" s="47"/>
      <c r="E23" s="26">
        <v>6</v>
      </c>
      <c r="F23" s="27">
        <v>35</v>
      </c>
      <c r="G23" s="27">
        <v>14</v>
      </c>
      <c r="H23" s="28">
        <v>344100</v>
      </c>
      <c r="I23" s="29">
        <f t="shared" si="5"/>
        <v>344100</v>
      </c>
      <c r="J23" s="30">
        <f t="shared" si="8"/>
        <v>1348652.9389255859</v>
      </c>
      <c r="K23" s="29">
        <f t="shared" si="9"/>
        <v>0.51615000000000022</v>
      </c>
      <c r="L23" s="29">
        <f t="shared" si="10"/>
        <v>2.0950607962685948E-2</v>
      </c>
      <c r="M23" s="29">
        <f t="shared" si="4"/>
        <v>2752.3529793391713</v>
      </c>
      <c r="N23" s="27"/>
      <c r="O23" s="31"/>
      <c r="P23" s="29">
        <f>[1]Sheet1!$O$9</f>
        <v>438486541.60735911</v>
      </c>
      <c r="Q23" s="28">
        <f>M23/P23</f>
        <v>6.2769383280268468E-6</v>
      </c>
      <c r="R23" s="31"/>
      <c r="S23" s="31"/>
    </row>
    <row r="24" spans="2:19" ht="17" thickBot="1" x14ac:dyDescent="0.25"/>
    <row r="25" spans="2:19" ht="17" thickBot="1" x14ac:dyDescent="0.25">
      <c r="B25" s="48" t="s">
        <v>9</v>
      </c>
      <c r="C25" s="49"/>
      <c r="D25" s="32"/>
      <c r="E25" s="32"/>
      <c r="F25" s="9"/>
      <c r="G25" s="10" t="s">
        <v>18</v>
      </c>
      <c r="H25" s="9"/>
    </row>
    <row r="26" spans="2:19" ht="17" thickBot="1" x14ac:dyDescent="0.25">
      <c r="B26" s="33" t="s">
        <v>10</v>
      </c>
      <c r="C26" s="15">
        <v>1.2E-2</v>
      </c>
      <c r="D26" s="9"/>
      <c r="F26" s="9"/>
      <c r="G26" s="8">
        <v>16.044</v>
      </c>
      <c r="H26" s="9"/>
      <c r="I26" s="7"/>
      <c r="N26">
        <f>1-N12/N18</f>
        <v>0.55594351056449298</v>
      </c>
    </row>
    <row r="27" spans="2:19" ht="17" thickBot="1" x14ac:dyDescent="0.25">
      <c r="B27" s="11" t="s">
        <v>11</v>
      </c>
      <c r="C27" s="12">
        <v>152</v>
      </c>
      <c r="D27" s="9"/>
      <c r="F27" s="9"/>
      <c r="G27" s="9"/>
      <c r="H27" s="9"/>
      <c r="I27" s="7"/>
    </row>
    <row r="28" spans="2:19" x14ac:dyDescent="0.2">
      <c r="B28" s="11" t="s">
        <v>12</v>
      </c>
      <c r="C28" s="13">
        <f>(C26*C27)/(C29*C30)</f>
        <v>8.1375208908765151E-5</v>
      </c>
      <c r="D28" s="9"/>
      <c r="F28" s="9"/>
      <c r="G28" s="14" t="s">
        <v>21</v>
      </c>
      <c r="H28" s="15">
        <v>2.3083619932659253E-3</v>
      </c>
    </row>
    <row r="29" spans="2:19" ht="17" thickBot="1" x14ac:dyDescent="0.25">
      <c r="B29" s="11" t="s">
        <v>13</v>
      </c>
      <c r="C29" s="16">
        <v>82.06</v>
      </c>
      <c r="D29" s="9"/>
      <c r="F29" s="9"/>
      <c r="G29" s="17" t="s">
        <v>22</v>
      </c>
      <c r="H29" s="18">
        <v>1.159718684362848E-3</v>
      </c>
    </row>
    <row r="30" spans="2:19" x14ac:dyDescent="0.2">
      <c r="B30" s="19" t="s">
        <v>14</v>
      </c>
      <c r="C30" s="12">
        <v>273.14999999999998</v>
      </c>
      <c r="D30" s="22"/>
      <c r="F30" s="9"/>
      <c r="G30" s="9"/>
      <c r="H30" s="9"/>
    </row>
    <row r="31" spans="2:19" ht="17" thickBot="1" x14ac:dyDescent="0.25">
      <c r="B31" s="20" t="s">
        <v>15</v>
      </c>
      <c r="C31" s="21">
        <f>C29*C30/C26</f>
        <v>1867890.7499999998</v>
      </c>
      <c r="D31" s="22"/>
      <c r="F31" s="9"/>
      <c r="G31" s="9"/>
      <c r="H31" s="9"/>
    </row>
    <row r="32" spans="2:19" ht="17" thickBot="1" x14ac:dyDescent="0.25">
      <c r="B32" s="9"/>
      <c r="C32" s="9"/>
      <c r="D32" s="9"/>
      <c r="E32" s="9"/>
      <c r="F32" s="9"/>
      <c r="G32" s="9"/>
      <c r="H32" s="9"/>
    </row>
    <row r="33" spans="2:8" ht="17" thickBot="1" x14ac:dyDescent="0.25">
      <c r="B33" s="41" t="s">
        <v>16</v>
      </c>
      <c r="C33" s="42"/>
      <c r="D33" s="32"/>
      <c r="E33" s="32"/>
      <c r="F33" s="9"/>
      <c r="G33" s="9"/>
      <c r="H33" s="9"/>
    </row>
    <row r="34" spans="2:8" x14ac:dyDescent="0.2">
      <c r="B34" s="33" t="s">
        <v>10</v>
      </c>
      <c r="C34" s="35">
        <v>1.5</v>
      </c>
      <c r="D34" s="9"/>
      <c r="F34" s="9"/>
      <c r="G34" s="9"/>
      <c r="H34" s="9"/>
    </row>
    <row r="35" spans="2:8" x14ac:dyDescent="0.2">
      <c r="B35" s="11" t="s">
        <v>11</v>
      </c>
      <c r="C35" s="16">
        <v>65</v>
      </c>
      <c r="D35" s="9"/>
      <c r="F35" s="9"/>
      <c r="G35" s="22"/>
      <c r="H35" s="9"/>
    </row>
    <row r="36" spans="2:8" x14ac:dyDescent="0.2">
      <c r="B36" s="11" t="s">
        <v>12</v>
      </c>
      <c r="C36" s="13">
        <f>(C34*C35)/(C37*C38)</f>
        <v>4.3498261341034005E-3</v>
      </c>
      <c r="D36" s="9"/>
      <c r="F36" s="9"/>
      <c r="G36" s="22"/>
      <c r="H36" s="9"/>
    </row>
    <row r="37" spans="2:8" x14ac:dyDescent="0.2">
      <c r="B37" s="11" t="s">
        <v>13</v>
      </c>
      <c r="C37" s="16">
        <v>82.06</v>
      </c>
      <c r="D37" s="9"/>
      <c r="F37" s="9"/>
      <c r="G37" s="23"/>
      <c r="H37" s="9"/>
    </row>
    <row r="38" spans="2:8" x14ac:dyDescent="0.2">
      <c r="B38" s="19" t="s">
        <v>14</v>
      </c>
      <c r="C38" s="16">
        <f>273.15</f>
        <v>273.14999999999998</v>
      </c>
      <c r="D38" s="22"/>
      <c r="F38" s="9"/>
      <c r="G38" s="9"/>
      <c r="H38" s="9"/>
    </row>
    <row r="39" spans="2:8" ht="17" thickBot="1" x14ac:dyDescent="0.25">
      <c r="B39" s="20" t="s">
        <v>15</v>
      </c>
      <c r="C39" s="21">
        <f>C37*C38/C34</f>
        <v>14943.125999999998</v>
      </c>
      <c r="D39" s="22"/>
      <c r="F39" s="9"/>
      <c r="G39" s="9"/>
      <c r="H39" s="9"/>
    </row>
    <row r="40" spans="2:8" ht="17" thickBot="1" x14ac:dyDescent="0.25">
      <c r="B40" s="9"/>
      <c r="C40" s="9"/>
      <c r="D40" s="9"/>
      <c r="E40" s="9"/>
      <c r="F40" s="9"/>
      <c r="G40" s="9"/>
      <c r="H40" s="9"/>
    </row>
    <row r="41" spans="2:8" ht="17" customHeight="1" thickBot="1" x14ac:dyDescent="0.25">
      <c r="B41" s="43" t="s">
        <v>17</v>
      </c>
      <c r="C41" s="44"/>
      <c r="D41" s="34"/>
      <c r="E41" s="34"/>
      <c r="F41" s="9"/>
      <c r="G41" s="9"/>
      <c r="H41" s="9"/>
    </row>
    <row r="42" spans="2:8" x14ac:dyDescent="0.2">
      <c r="B42" s="11" t="s">
        <v>10</v>
      </c>
      <c r="C42" s="12">
        <v>1.5</v>
      </c>
      <c r="D42" s="9"/>
      <c r="F42" s="9"/>
      <c r="G42" s="9"/>
      <c r="H42" s="9"/>
    </row>
    <row r="43" spans="2:8" x14ac:dyDescent="0.2">
      <c r="B43" s="11" t="s">
        <v>11</v>
      </c>
      <c r="C43" s="16">
        <v>65</v>
      </c>
      <c r="D43" s="9"/>
      <c r="F43" s="9"/>
      <c r="G43" s="9"/>
      <c r="H43" s="9"/>
    </row>
    <row r="44" spans="2:8" x14ac:dyDescent="0.2">
      <c r="B44" s="11" t="s">
        <v>12</v>
      </c>
      <c r="C44" s="13">
        <f>(C42*C43)/(C45*C46)</f>
        <v>3.919363379615186E-3</v>
      </c>
      <c r="D44" s="9"/>
      <c r="F44" s="9"/>
      <c r="G44" s="9"/>
      <c r="H44" s="9"/>
    </row>
    <row r="45" spans="2:8" x14ac:dyDescent="0.2">
      <c r="B45" s="11" t="s">
        <v>13</v>
      </c>
      <c r="C45" s="16">
        <v>82.06</v>
      </c>
      <c r="D45" s="9"/>
      <c r="F45" s="9"/>
      <c r="G45" s="9"/>
      <c r="H45" s="9"/>
    </row>
    <row r="46" spans="2:8" x14ac:dyDescent="0.2">
      <c r="B46" s="19" t="s">
        <v>14</v>
      </c>
      <c r="C46" s="16">
        <f>273.15+30</f>
        <v>303.14999999999998</v>
      </c>
      <c r="D46" s="22"/>
      <c r="F46" s="9"/>
      <c r="G46" s="9"/>
      <c r="H46" s="9"/>
    </row>
    <row r="47" spans="2:8" ht="17" thickBot="1" x14ac:dyDescent="0.25">
      <c r="B47" s="20" t="s">
        <v>15</v>
      </c>
      <c r="C47" s="21">
        <f>C45*C46/C42</f>
        <v>16584.325999999997</v>
      </c>
      <c r="D47" s="22"/>
      <c r="F47" s="9"/>
      <c r="G47" s="9"/>
      <c r="H47" s="9"/>
    </row>
  </sheetData>
  <mergeCells count="26">
    <mergeCell ref="B33:C33"/>
    <mergeCell ref="B41:C41"/>
    <mergeCell ref="S3:S5"/>
    <mergeCell ref="Q3:Q5"/>
    <mergeCell ref="R3:R4"/>
    <mergeCell ref="D6:D23"/>
    <mergeCell ref="C6:C17"/>
    <mergeCell ref="C18:C23"/>
    <mergeCell ref="B12:B23"/>
    <mergeCell ref="B25:C25"/>
    <mergeCell ref="L3:L4"/>
    <mergeCell ref="N3:N4"/>
    <mergeCell ref="O3:O5"/>
    <mergeCell ref="B6:B11"/>
    <mergeCell ref="D3:D5"/>
    <mergeCell ref="C3:C5"/>
    <mergeCell ref="M3:M4"/>
    <mergeCell ref="P3:P5"/>
    <mergeCell ref="H3:H4"/>
    <mergeCell ref="I3:I4"/>
    <mergeCell ref="B3:B5"/>
    <mergeCell ref="E3:E5"/>
    <mergeCell ref="F3:F4"/>
    <mergeCell ref="G3:G5"/>
    <mergeCell ref="K3:K5"/>
    <mergeCell ref="J3:J4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2023-07-10T12:54:11Z</dcterms:created>
  <dcterms:modified xsi:type="dcterms:W3CDTF">2023-07-10T21:18:06Z</dcterms:modified>
</cp:coreProperties>
</file>