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0AD734DF-F4DA-6A4C-8C6A-4192963052AD}" xr6:coauthVersionLast="47" xr6:coauthVersionMax="47" xr10:uidLastSave="{00000000-0000-0000-0000-000000000000}"/>
  <bookViews>
    <workbookView xWindow="-38620" yWindow="-14420" windowWidth="23380" windowHeight="16740" xr2:uid="{D898E8E8-C45A-9E4E-B6FF-044B25B218D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" i="1" l="1"/>
  <c r="P6" i="1" l="1"/>
  <c r="Q6" i="1" s="1"/>
  <c r="P10" i="1"/>
  <c r="P11" i="1"/>
  <c r="P12" i="1"/>
  <c r="P16" i="1"/>
  <c r="P17" i="1"/>
  <c r="P13" i="1"/>
  <c r="P14" i="1"/>
  <c r="P15" i="1"/>
  <c r="P7" i="1"/>
  <c r="P8" i="1"/>
  <c r="M6" i="1" l="1"/>
  <c r="N6" i="1"/>
  <c r="M10" i="1"/>
  <c r="I17" i="1"/>
  <c r="I16" i="1"/>
  <c r="I15" i="1"/>
  <c r="I14" i="1"/>
  <c r="I13" i="1"/>
  <c r="I12" i="1"/>
  <c r="I11" i="1"/>
  <c r="I10" i="1"/>
  <c r="I6" i="1" l="1"/>
  <c r="I7" i="1"/>
  <c r="I8" i="1"/>
  <c r="I9" i="1"/>
  <c r="C22" i="1"/>
  <c r="C25" i="1"/>
  <c r="C40" i="1"/>
  <c r="C41" i="1" s="1"/>
  <c r="C32" i="1"/>
  <c r="C33" i="1" s="1"/>
  <c r="J13" i="1" l="1"/>
  <c r="J7" i="1"/>
  <c r="K7" i="1" s="1"/>
  <c r="L7" i="1" s="1"/>
  <c r="M7" i="1" s="1"/>
  <c r="Q7" i="1" s="1"/>
  <c r="J17" i="1"/>
  <c r="J8" i="1"/>
  <c r="K8" i="1" s="1"/>
  <c r="L8" i="1" s="1"/>
  <c r="J15" i="1"/>
  <c r="J11" i="1"/>
  <c r="J10" i="1"/>
  <c r="K10" i="1" s="1"/>
  <c r="L10" i="1" s="1"/>
  <c r="Q10" i="1" s="1"/>
  <c r="J12" i="1"/>
  <c r="J16" i="1"/>
  <c r="J14" i="1"/>
  <c r="J9" i="1"/>
  <c r="K9" i="1" s="1"/>
  <c r="L9" i="1" s="1"/>
  <c r="M9" i="1" s="1"/>
  <c r="J6" i="1"/>
  <c r="K6" i="1" s="1"/>
  <c r="L6" i="1" s="1"/>
  <c r="C38" i="1"/>
  <c r="K17" i="1" s="1"/>
  <c r="L17" i="1" s="1"/>
  <c r="M17" i="1" s="1"/>
  <c r="Q17" i="1" s="1"/>
  <c r="C30" i="1"/>
  <c r="K13" i="1" l="1"/>
  <c r="L13" i="1" s="1"/>
  <c r="M13" i="1" s="1"/>
  <c r="Q13" i="1" s="1"/>
  <c r="M8" i="1"/>
  <c r="Q8" i="1" s="1"/>
  <c r="K15" i="1"/>
  <c r="L15" i="1" s="1"/>
  <c r="M15" i="1" s="1"/>
  <c r="Q15" i="1" s="1"/>
  <c r="K16" i="1"/>
  <c r="L16" i="1" s="1"/>
  <c r="M16" i="1" s="1"/>
  <c r="Q16" i="1" s="1"/>
  <c r="K14" i="1"/>
  <c r="L14" i="1" s="1"/>
  <c r="M14" i="1" s="1"/>
  <c r="K12" i="1"/>
  <c r="L12" i="1" s="1"/>
  <c r="M12" i="1" s="1"/>
  <c r="K11" i="1"/>
  <c r="L11" i="1" s="1"/>
  <c r="M11" i="1" s="1"/>
  <c r="Q11" i="1" s="1"/>
  <c r="Q9" i="1"/>
  <c r="R6" i="1" l="1"/>
  <c r="S6" i="1"/>
  <c r="Q12" i="1"/>
  <c r="R10" i="1" s="1"/>
  <c r="O10" i="1"/>
  <c r="Q14" i="1"/>
  <c r="R14" i="1" s="1"/>
  <c r="O14" i="1"/>
  <c r="N14" i="1"/>
  <c r="O6" i="1"/>
  <c r="N10" i="1"/>
  <c r="S10" i="1" l="1"/>
  <c r="S14" i="1"/>
</calcChain>
</file>

<file path=xl/sharedStrings.xml><?xml version="1.0" encoding="utf-8"?>
<sst xmlns="http://schemas.openxmlformats.org/spreadsheetml/2006/main" count="53" uniqueCount="35">
  <si>
    <t>Replicate</t>
  </si>
  <si>
    <t>[mL]</t>
  </si>
  <si>
    <t>Days Incubated</t>
  </si>
  <si>
    <t>Corrected* CH4 Production Rate</t>
  </si>
  <si>
    <t>Raw Headspace CH4</t>
  </si>
  <si>
    <t>Corrected* Headspace CH4</t>
  </si>
  <si>
    <t>Media Volume</t>
  </si>
  <si>
    <r>
      <t xml:space="preserve">*Corrected </t>
    </r>
    <r>
      <rPr>
        <b/>
        <i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CH4</t>
    </r>
  </si>
  <si>
    <t>[nmol]</t>
  </si>
  <si>
    <t>MAC units @ 0˚C</t>
  </si>
  <si>
    <t>P (atm)</t>
  </si>
  <si>
    <t>V (cm^3) headspace</t>
  </si>
  <si>
    <t>n (moles)</t>
  </si>
  <si>
    <t>R (cm^3•atm)/(K•mol)</t>
  </si>
  <si>
    <t>T (K)</t>
  </si>
  <si>
    <t>molar volume (cm^3/mol)</t>
  </si>
  <si>
    <t>serum vials  @ 0˚C</t>
  </si>
  <si>
    <t>serum vials  @ 30˚C</t>
  </si>
  <si>
    <t>CH4 molar mass</t>
  </si>
  <si>
    <t>[ppmv]</t>
  </si>
  <si>
    <t>Corrected*  CH4(aq)</t>
  </si>
  <si>
    <t>K_H @ 0˚C</t>
  </si>
  <si>
    <t>K_H @ 30˚C</t>
  </si>
  <si>
    <t xml:space="preserve"> Std. Dev.</t>
  </si>
  <si>
    <t>Gas Mixture</t>
  </si>
  <si>
    <t>Temperature (˚C)</t>
  </si>
  <si>
    <t>Pressure (mbar)</t>
  </si>
  <si>
    <t>7-12 mbar</t>
  </si>
  <si>
    <t>Average</t>
  </si>
  <si>
    <t>Cells/Replicate @ End of Experiment†</t>
  </si>
  <si>
    <r>
      <t>[pmol CH4 cell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 xml:space="preserve"> d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>]</t>
    </r>
  </si>
  <si>
    <t>Mars gas mix (92.4% CO2, 2.9% H2, 2.59% N2, 1.94% Ar, 0.16% O2, 0.03% H2O)</t>
  </si>
  <si>
    <r>
      <t>[nmol mL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 xml:space="preserve"> d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>]</t>
    </r>
  </si>
  <si>
    <r>
      <t>[nmol CH4 mL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 xml:space="preserve"> d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>]</t>
    </r>
  </si>
  <si>
    <r>
      <t>Table S2.</t>
    </r>
    <r>
      <rPr>
        <sz val="12"/>
        <color theme="1"/>
        <rFont val="Times New Roman"/>
        <family val="1"/>
      </rPr>
      <t xml:space="preserve"> CH4 evolution data in Mars gas mix treatments. * Corrected = 10 ppm CH4 is the background lower limit of precision of the GC-FID at 7-12 mbar, and thus, those values are reduced by 10. †Cell counts estimated from RNA concentration (see Materials &amp; Methods). #VALUE! = No quantifiable RNA was recovered from 0C/7-12mbar/Mars gas mix Rep 1 and 30C/1500mbar/Mars gas mix Rep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</si>
</sst>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2" fontId="0" fillId="0" borderId="0" xfId="0" applyNumberFormat="1"/>
    <xf numFmtId="0" fontId="3" fillId="0" borderId="1" xfId="0" applyFont="1" applyBorder="1" applyAlignment="1">
      <alignment horizontal="right" vertical="center"/>
    </xf>
    <xf numFmtId="0" fontId="7" fillId="0" borderId="0" xfId="0" applyFont="1"/>
    <xf numFmtId="0" fontId="6" fillId="0" borderId="2" xfId="0" applyFont="1" applyBorder="1"/>
    <xf numFmtId="0" fontId="7" fillId="0" borderId="9" xfId="0" applyFont="1" applyBorder="1"/>
    <xf numFmtId="0" fontId="7" fillId="0" borderId="10" xfId="0" applyFont="1" applyBorder="1"/>
    <xf numFmtId="11" fontId="3" fillId="0" borderId="10" xfId="0" applyNumberFormat="1" applyFont="1" applyBorder="1"/>
    <xf numFmtId="0" fontId="7" fillId="0" borderId="8" xfId="0" applyFont="1" applyBorder="1" applyAlignment="1">
      <alignment horizontal="center"/>
    </xf>
    <xf numFmtId="11" fontId="7" fillId="0" borderId="5" xfId="0" applyNumberFormat="1" applyFont="1" applyBorder="1"/>
    <xf numFmtId="2" fontId="7" fillId="0" borderId="10" xfId="0" applyNumberFormat="1" applyFont="1" applyBorder="1"/>
    <xf numFmtId="0" fontId="7" fillId="0" borderId="11" xfId="0" applyFont="1" applyBorder="1" applyAlignment="1">
      <alignment horizontal="center"/>
    </xf>
    <xf numFmtId="11" fontId="7" fillId="0" borderId="6" xfId="0" applyNumberFormat="1" applyFont="1" applyBorder="1"/>
    <xf numFmtId="11" fontId="7" fillId="0" borderId="9" xfId="0" applyNumberFormat="1" applyFont="1" applyBorder="1"/>
    <xf numFmtId="11" fontId="7" fillId="0" borderId="11" xfId="0" applyNumberFormat="1" applyFont="1" applyBorder="1"/>
    <xf numFmtId="11" fontId="3" fillId="0" borderId="6" xfId="1" applyNumberFormat="1" applyFont="1" applyBorder="1"/>
    <xf numFmtId="11" fontId="7" fillId="0" borderId="0" xfId="0" applyNumberFormat="1" applyFont="1"/>
    <xf numFmtId="2" fontId="7" fillId="0" borderId="0" xfId="0" applyNumberFormat="1" applyFont="1"/>
    <xf numFmtId="0" fontId="6" fillId="0" borderId="0" xfId="0" applyFont="1" applyAlignment="1">
      <alignment horizontal="left"/>
    </xf>
    <xf numFmtId="0" fontId="3" fillId="0" borderId="11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11" fontId="7" fillId="0" borderId="14" xfId="1" applyNumberFormat="1" applyFont="1" applyBorder="1"/>
    <xf numFmtId="0" fontId="6" fillId="0" borderId="0" xfId="0" applyFont="1"/>
    <xf numFmtId="0" fontId="7" fillId="0" borderId="8" xfId="0" applyFont="1" applyBorder="1"/>
    <xf numFmtId="0" fontId="6" fillId="0" borderId="0" xfId="0" applyFont="1" applyAlignment="1">
      <alignment wrapText="1"/>
    </xf>
    <xf numFmtId="0" fontId="7" fillId="0" borderId="5" xfId="0" applyFont="1" applyBorder="1"/>
    <xf numFmtId="0" fontId="3" fillId="0" borderId="4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11" fontId="7" fillId="0" borderId="4" xfId="0" applyNumberFormat="1" applyFont="1" applyBorder="1" applyAlignment="1">
      <alignment vertical="center"/>
    </xf>
    <xf numFmtId="11" fontId="7" fillId="0" borderId="0" xfId="0" applyNumberFormat="1" applyFont="1" applyAlignment="1">
      <alignment horizontal="right" vertical="center"/>
    </xf>
    <xf numFmtId="11" fontId="7" fillId="0" borderId="14" xfId="0" applyNumberFormat="1" applyFont="1" applyBorder="1" applyAlignment="1">
      <alignment horizontal="right" vertical="center"/>
    </xf>
    <xf numFmtId="11" fontId="7" fillId="0" borderId="0" xfId="0" applyNumberFormat="1" applyFont="1" applyAlignment="1">
      <alignment vertical="center"/>
    </xf>
    <xf numFmtId="11" fontId="7" fillId="0" borderId="14" xfId="0" applyNumberFormat="1" applyFont="1" applyBorder="1" applyAlignment="1">
      <alignment vertical="center"/>
    </xf>
    <xf numFmtId="11" fontId="7" fillId="0" borderId="4" xfId="1" applyNumberFormat="1" applyFont="1" applyBorder="1"/>
    <xf numFmtId="11" fontId="7" fillId="0" borderId="4" xfId="0" applyNumberFormat="1" applyFont="1" applyBorder="1" applyAlignment="1">
      <alignment horizontal="right" vertical="center"/>
    </xf>
    <xf numFmtId="11" fontId="7" fillId="0" borderId="4" xfId="0" applyNumberFormat="1" applyFont="1" applyBorder="1"/>
    <xf numFmtId="11" fontId="7" fillId="0" borderId="0" xfId="1" applyNumberFormat="1" applyFont="1" applyBorder="1"/>
    <xf numFmtId="11" fontId="1" fillId="0" borderId="0" xfId="0" applyNumberFormat="1" applyFont="1"/>
    <xf numFmtId="11" fontId="1" fillId="0" borderId="14" xfId="0" applyNumberFormat="1" applyFont="1" applyBorder="1"/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2" fontId="1" fillId="0" borderId="0" xfId="0" applyNumberFormat="1" applyFont="1"/>
    <xf numFmtId="2" fontId="7" fillId="0" borderId="14" xfId="0" applyNumberFormat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rlharris92/Girguis%20Lab%20Dropbox/Rachel%20Harris/M.%20barkeri%20low%20pressure/PNAS%20Submission/Supplementary%20Materials/SI%20Appendix/Supplementary%20Tables/Table%20S3.xlsx" TargetMode="External"/><Relationship Id="rId1" Type="http://schemas.openxmlformats.org/officeDocument/2006/relationships/externalLinkPath" Target="Table%20S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9">
          <cell r="V9" t="e">
            <v>#VALUE!</v>
          </cell>
          <cell r="W9">
            <v>7817977.0984257841</v>
          </cell>
          <cell r="X9">
            <v>5608548.7880011052</v>
          </cell>
          <cell r="Y9">
            <v>3399120.4775764276</v>
          </cell>
          <cell r="Z9">
            <v>11726965.647638677</v>
          </cell>
          <cell r="AA9">
            <v>10707229.504365746</v>
          </cell>
          <cell r="AB9">
            <v>10197361.432729283</v>
          </cell>
          <cell r="AC9">
            <v>18100316.543094475</v>
          </cell>
          <cell r="AD9" t="e">
            <v>#VALUE!</v>
          </cell>
          <cell r="AE9">
            <v>12236833.719275137</v>
          </cell>
          <cell r="AF9">
            <v>16825646.364003316</v>
          </cell>
          <cell r="AG9">
            <v>11726965.647638677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C1CEB-289B-0D4A-AEE4-51F5D6DFCFD7}">
  <dimension ref="A1:S41"/>
  <sheetViews>
    <sheetView tabSelected="1" topLeftCell="F1" workbookViewId="0">
      <selection activeCell="A2" sqref="A2"/>
    </sheetView>
  </sheetViews>
  <sheetFormatPr baseColWidth="10" defaultRowHeight="16" x14ac:dyDescent="0.2"/>
  <cols>
    <col min="1" max="1" width="10.83203125" customWidth="1"/>
    <col min="2" max="2" width="23.1640625" bestFit="1" customWidth="1"/>
    <col min="3" max="4" width="23.1640625" customWidth="1"/>
    <col min="6" max="6" width="13.6640625" bestFit="1" customWidth="1"/>
    <col min="7" max="7" width="15.5" bestFit="1" customWidth="1"/>
    <col min="8" max="8" width="14.5" customWidth="1"/>
    <col min="9" max="9" width="15.1640625" bestFit="1" customWidth="1"/>
    <col min="10" max="11" width="16.6640625" bestFit="1" customWidth="1"/>
    <col min="12" max="12" width="16.6640625" customWidth="1"/>
    <col min="13" max="13" width="30.1640625" bestFit="1" customWidth="1"/>
    <col min="14" max="14" width="18.5" bestFit="1" customWidth="1"/>
    <col min="15" max="15" width="18.1640625" customWidth="1"/>
    <col min="16" max="16" width="33.5" bestFit="1" customWidth="1"/>
    <col min="17" max="18" width="22.1640625" bestFit="1" customWidth="1"/>
    <col min="19" max="19" width="12.5" bestFit="1" customWidth="1"/>
  </cols>
  <sheetData>
    <row r="1" spans="1:19" x14ac:dyDescent="0.2">
      <c r="A1" s="21" t="s">
        <v>34</v>
      </c>
    </row>
    <row r="2" spans="1:19" ht="17" thickBot="1" x14ac:dyDescent="0.25"/>
    <row r="3" spans="1:19" ht="19" customHeight="1" x14ac:dyDescent="0.2">
      <c r="B3" s="46" t="s">
        <v>26</v>
      </c>
      <c r="C3" s="46" t="s">
        <v>25</v>
      </c>
      <c r="D3" s="46" t="s">
        <v>24</v>
      </c>
      <c r="E3" s="46" t="s">
        <v>0</v>
      </c>
      <c r="F3" s="46" t="s">
        <v>6</v>
      </c>
      <c r="G3" s="46" t="s">
        <v>2</v>
      </c>
      <c r="H3" s="57" t="s">
        <v>4</v>
      </c>
      <c r="I3" s="57" t="s">
        <v>5</v>
      </c>
      <c r="J3" s="57" t="s">
        <v>5</v>
      </c>
      <c r="K3" s="46" t="s">
        <v>7</v>
      </c>
      <c r="L3" s="57" t="s">
        <v>20</v>
      </c>
      <c r="M3" s="46" t="s">
        <v>3</v>
      </c>
      <c r="N3" s="46" t="s">
        <v>28</v>
      </c>
      <c r="O3" s="46" t="s">
        <v>23</v>
      </c>
      <c r="P3" s="46" t="s">
        <v>29</v>
      </c>
      <c r="Q3" s="46" t="s">
        <v>30</v>
      </c>
      <c r="R3" s="46" t="s">
        <v>28</v>
      </c>
      <c r="S3" s="46" t="s">
        <v>23</v>
      </c>
    </row>
    <row r="4" spans="1:19" ht="17" thickBot="1" x14ac:dyDescent="0.25">
      <c r="B4" s="47"/>
      <c r="C4" s="47"/>
      <c r="D4" s="47"/>
      <c r="E4" s="47"/>
      <c r="F4" s="47"/>
      <c r="G4" s="47"/>
      <c r="H4" s="58"/>
      <c r="I4" s="58"/>
      <c r="J4" s="58"/>
      <c r="K4" s="47"/>
      <c r="L4" s="58"/>
      <c r="M4" s="48"/>
      <c r="N4" s="48"/>
      <c r="O4" s="47"/>
      <c r="P4" s="47"/>
      <c r="Q4" s="47"/>
      <c r="R4" s="48"/>
      <c r="S4" s="47"/>
    </row>
    <row r="5" spans="1:19" ht="19" thickBot="1" x14ac:dyDescent="0.25">
      <c r="B5" s="48"/>
      <c r="C5" s="48"/>
      <c r="D5" s="48"/>
      <c r="E5" s="48"/>
      <c r="F5" s="2" t="s">
        <v>1</v>
      </c>
      <c r="G5" s="48"/>
      <c r="H5" s="3" t="s">
        <v>19</v>
      </c>
      <c r="I5" s="1" t="s">
        <v>19</v>
      </c>
      <c r="J5" s="1" t="s">
        <v>8</v>
      </c>
      <c r="K5" s="48"/>
      <c r="L5" s="1" t="s">
        <v>8</v>
      </c>
      <c r="M5" s="2" t="s">
        <v>32</v>
      </c>
      <c r="N5" s="2" t="s">
        <v>33</v>
      </c>
      <c r="O5" s="48"/>
      <c r="P5" s="48"/>
      <c r="Q5" s="48"/>
      <c r="R5" s="2" t="s">
        <v>30</v>
      </c>
      <c r="S5" s="48"/>
    </row>
    <row r="6" spans="1:19" x14ac:dyDescent="0.2">
      <c r="B6" s="59" t="s">
        <v>27</v>
      </c>
      <c r="C6" s="52">
        <v>0</v>
      </c>
      <c r="D6" s="49" t="s">
        <v>31</v>
      </c>
      <c r="E6" s="29">
        <v>1</v>
      </c>
      <c r="F6" s="29">
        <v>10</v>
      </c>
      <c r="G6" s="29">
        <v>14</v>
      </c>
      <c r="H6" s="31">
        <v>14.8</v>
      </c>
      <c r="I6" s="31">
        <f>H6-10</f>
        <v>4.8000000000000007</v>
      </c>
      <c r="J6" s="36">
        <f>I6*($C$21/$C$25)*1000</f>
        <v>0.39060100276207277</v>
      </c>
      <c r="K6" s="31">
        <f>$C$20*(J6/($C$22*1000000000))</f>
        <v>5.7600000000000006E-8</v>
      </c>
      <c r="L6" s="31">
        <f t="shared" ref="L6:L13" si="0">$H$22*K6*F6</f>
        <v>1.3296165081211732E-9</v>
      </c>
      <c r="M6" s="31">
        <f>(J6+L6)/G6/F6</f>
        <v>2.7900071720834948E-3</v>
      </c>
      <c r="N6" s="37">
        <f>AVERAGE(M6:M9)</f>
        <v>4.9842315626283263E-3</v>
      </c>
      <c r="O6" s="37">
        <f>STDEV(M6:M9)</f>
        <v>2.8138716420605609E-3</v>
      </c>
      <c r="P6" s="31" t="e">
        <f>[1]Sheet1!$V$9</f>
        <v>#VALUE!</v>
      </c>
      <c r="Q6" s="37" t="e">
        <f t="shared" ref="Q6:Q17" si="1">M6/P6*1000</f>
        <v>#VALUE!</v>
      </c>
      <c r="R6" s="37">
        <f>AVERAGE(Q7:Q9)</f>
        <v>1.0695683045818569E-6</v>
      </c>
      <c r="S6" s="38">
        <f>STDEV(Q7:Q9)</f>
        <v>4.898633712227744E-7</v>
      </c>
    </row>
    <row r="7" spans="1:19" x14ac:dyDescent="0.2">
      <c r="B7" s="60"/>
      <c r="C7" s="53"/>
      <c r="D7" s="50"/>
      <c r="E7" s="30">
        <v>2</v>
      </c>
      <c r="F7" s="30">
        <v>10</v>
      </c>
      <c r="G7" s="30">
        <v>14</v>
      </c>
      <c r="H7" s="32">
        <v>25.3</v>
      </c>
      <c r="I7" s="34">
        <f t="shared" ref="I7:I9" si="2">H7-10</f>
        <v>15.3</v>
      </c>
      <c r="J7" s="39">
        <f>I7*($C$21/$C$25)*1000</f>
        <v>1.2450406963041067</v>
      </c>
      <c r="K7" s="34">
        <f>$C$20*(J7/($C$22*1000000000))</f>
        <v>1.836E-7</v>
      </c>
      <c r="L7" s="34">
        <f t="shared" si="0"/>
        <v>4.238152619636239E-9</v>
      </c>
      <c r="M7" s="34">
        <f t="shared" ref="M7:M17" si="3">(J7+L7)/G7/F7</f>
        <v>8.8931478610161391E-3</v>
      </c>
      <c r="N7" s="62"/>
      <c r="O7" s="61"/>
      <c r="P7" s="34">
        <f>[1]Sheet1!$W$9</f>
        <v>7817977.0984257841</v>
      </c>
      <c r="Q7" s="32">
        <f t="shared" si="1"/>
        <v>1.137525442842094E-6</v>
      </c>
      <c r="R7" s="40"/>
      <c r="S7" s="40"/>
    </row>
    <row r="8" spans="1:19" x14ac:dyDescent="0.2">
      <c r="B8" s="60"/>
      <c r="C8" s="53"/>
      <c r="D8" s="50"/>
      <c r="E8" s="30">
        <v>3</v>
      </c>
      <c r="F8" s="30">
        <v>10</v>
      </c>
      <c r="G8" s="30">
        <v>14</v>
      </c>
      <c r="H8" s="32">
        <v>15.3</v>
      </c>
      <c r="I8" s="34">
        <f t="shared" si="2"/>
        <v>5.3000000000000007</v>
      </c>
      <c r="J8" s="39">
        <f>I8*($C$21/$C$25)*1000</f>
        <v>0.43128860721645534</v>
      </c>
      <c r="K8" s="34">
        <f>$C$20*(J8/($C$22*1000000000))</f>
        <v>6.36E-8</v>
      </c>
      <c r="L8" s="34">
        <f t="shared" si="0"/>
        <v>1.4681182277171284E-9</v>
      </c>
      <c r="M8" s="34">
        <f t="shared" si="3"/>
        <v>3.0806329191755254E-3</v>
      </c>
      <c r="N8" s="61"/>
      <c r="O8" s="61"/>
      <c r="P8" s="34">
        <f>[1]Sheet1!$X$9</f>
        <v>5608548.7880011052</v>
      </c>
      <c r="Q8" s="32">
        <f t="shared" si="1"/>
        <v>5.4927451567617853E-7</v>
      </c>
      <c r="R8" s="40"/>
      <c r="S8" s="40"/>
    </row>
    <row r="9" spans="1:19" ht="17" thickBot="1" x14ac:dyDescent="0.25">
      <c r="B9" s="60"/>
      <c r="C9" s="53"/>
      <c r="D9" s="50"/>
      <c r="E9" s="22">
        <v>4</v>
      </c>
      <c r="F9" s="23">
        <v>10</v>
      </c>
      <c r="G9" s="23">
        <v>14</v>
      </c>
      <c r="H9" s="33">
        <v>18.899999999999999</v>
      </c>
      <c r="I9" s="35">
        <f t="shared" si="2"/>
        <v>8.8999999999999986</v>
      </c>
      <c r="J9" s="24">
        <f>I9*($C$21/$C$25)*1000</f>
        <v>0.72423935928800975</v>
      </c>
      <c r="K9" s="35">
        <f>$C$20*(J9/($C$22*1000000000))</f>
        <v>1.0679999999999998E-7</v>
      </c>
      <c r="L9" s="35">
        <f t="shared" si="0"/>
        <v>2.4653306088080082E-9</v>
      </c>
      <c r="M9" s="35">
        <f t="shared" si="3"/>
        <v>5.173138298238145E-3</v>
      </c>
      <c r="N9" s="63"/>
      <c r="O9" s="63"/>
      <c r="P9" s="35">
        <f>[1]Sheet1!$Y$9</f>
        <v>3399120.4775764276</v>
      </c>
      <c r="Q9" s="33">
        <f t="shared" si="1"/>
        <v>1.521904955227298E-6</v>
      </c>
      <c r="R9" s="41"/>
      <c r="S9" s="41"/>
    </row>
    <row r="10" spans="1:19" x14ac:dyDescent="0.2">
      <c r="B10" s="52">
        <v>1500</v>
      </c>
      <c r="C10" s="53"/>
      <c r="D10" s="50"/>
      <c r="E10" s="30">
        <v>1</v>
      </c>
      <c r="F10" s="30">
        <v>35</v>
      </c>
      <c r="G10" s="30">
        <v>14</v>
      </c>
      <c r="H10" s="34">
        <v>4.5</v>
      </c>
      <c r="I10" s="34">
        <f t="shared" ref="I10:I17" si="4">H10</f>
        <v>4.5</v>
      </c>
      <c r="J10" s="39">
        <f>I10*($C$29/$C$33)*1000</f>
        <v>19.574217603465303</v>
      </c>
      <c r="K10" s="34">
        <f>$C$28*(J10/($C$30*1000000000))</f>
        <v>6.7499999999999997E-6</v>
      </c>
      <c r="L10" s="34">
        <f t="shared" si="0"/>
        <v>5.4535052090907481E-7</v>
      </c>
      <c r="M10" s="34">
        <f>(J10+L10)/G10/F10</f>
        <v>3.9947383977175156E-2</v>
      </c>
      <c r="N10" s="61">
        <f>AVERAGE(M10:M13)</f>
        <v>8.5664945639942258E-2</v>
      </c>
      <c r="O10" s="61">
        <f>STDEV(M10:M13)</f>
        <v>3.1044813758529403E-2</v>
      </c>
      <c r="P10" s="34" t="e">
        <f>[1]Sheet1!$AD$9</f>
        <v>#VALUE!</v>
      </c>
      <c r="Q10" s="32" t="e">
        <f t="shared" si="1"/>
        <v>#VALUE!</v>
      </c>
      <c r="R10" s="32">
        <f>AVERAGE(Q11:Q13)</f>
        <v>7.6493272173128098E-6</v>
      </c>
      <c r="S10" s="19">
        <f>STDEV(Q11:Q13)</f>
        <v>1.7159237511350476E-6</v>
      </c>
    </row>
    <row r="11" spans="1:19" x14ac:dyDescent="0.2">
      <c r="B11" s="53"/>
      <c r="C11" s="53"/>
      <c r="D11" s="50"/>
      <c r="E11" s="30">
        <v>2</v>
      </c>
      <c r="F11" s="30">
        <v>35</v>
      </c>
      <c r="G11" s="30">
        <v>14</v>
      </c>
      <c r="H11" s="32">
        <v>12.3</v>
      </c>
      <c r="I11" s="34">
        <f t="shared" si="4"/>
        <v>12.3</v>
      </c>
      <c r="J11" s="39">
        <f>I11*($C$29/$C$33)*1000</f>
        <v>53.50286144947183</v>
      </c>
      <c r="K11" s="34">
        <f>$C$28*(J11/($C$30*1000000000))</f>
        <v>1.8450000000000001E-5</v>
      </c>
      <c r="L11" s="34">
        <f t="shared" si="0"/>
        <v>1.4906247571514714E-6</v>
      </c>
      <c r="M11" s="34">
        <f t="shared" si="3"/>
        <v>0.10918951620427873</v>
      </c>
      <c r="N11" s="62"/>
      <c r="O11" s="61"/>
      <c r="P11" s="34">
        <f>[1]Sheet1!$AE$9</f>
        <v>12236833.719275137</v>
      </c>
      <c r="Q11" s="32">
        <f t="shared" si="1"/>
        <v>8.9230203424507014E-6</v>
      </c>
      <c r="R11" s="40"/>
      <c r="S11" s="40"/>
    </row>
    <row r="12" spans="1:19" x14ac:dyDescent="0.2">
      <c r="B12" s="53"/>
      <c r="C12" s="53"/>
      <c r="D12" s="50"/>
      <c r="E12" s="30">
        <v>3</v>
      </c>
      <c r="F12" s="30">
        <v>35</v>
      </c>
      <c r="G12" s="30">
        <v>14</v>
      </c>
      <c r="H12" s="32">
        <v>10.8</v>
      </c>
      <c r="I12" s="34">
        <f t="shared" si="4"/>
        <v>10.8</v>
      </c>
      <c r="J12" s="39">
        <f>I12*($C$29/$C$33)*1000</f>
        <v>46.978122248316723</v>
      </c>
      <c r="K12" s="34">
        <f>$C$28*(J12/($C$30*1000000000))</f>
        <v>1.6199999999999997E-5</v>
      </c>
      <c r="L12" s="34">
        <f t="shared" si="0"/>
        <v>1.3088412501817796E-6</v>
      </c>
      <c r="M12" s="34">
        <f t="shared" si="3"/>
        <v>9.587372154522035E-2</v>
      </c>
      <c r="N12" s="61"/>
      <c r="O12" s="61"/>
      <c r="P12" s="34">
        <f>[1]Sheet1!$AF$9</f>
        <v>16825646.364003316</v>
      </c>
      <c r="Q12" s="32">
        <f t="shared" si="1"/>
        <v>5.6980706399685183E-6</v>
      </c>
      <c r="R12" s="40"/>
      <c r="S12" s="40"/>
    </row>
    <row r="13" spans="1:19" ht="17" thickBot="1" x14ac:dyDescent="0.25">
      <c r="B13" s="53"/>
      <c r="C13" s="53"/>
      <c r="D13" s="50"/>
      <c r="E13" s="22">
        <v>4</v>
      </c>
      <c r="F13" s="23">
        <v>35</v>
      </c>
      <c r="G13" s="23">
        <v>14</v>
      </c>
      <c r="H13" s="33">
        <v>11</v>
      </c>
      <c r="I13" s="35">
        <f t="shared" si="4"/>
        <v>11</v>
      </c>
      <c r="J13" s="24">
        <f>I13*($C$29/$C$33)*1000</f>
        <v>47.848087475137405</v>
      </c>
      <c r="K13" s="35">
        <f>$C$28*(J13/($C$30*1000000000))</f>
        <v>1.6500000000000001E-5</v>
      </c>
      <c r="L13" s="35">
        <f t="shared" si="0"/>
        <v>1.333079051111072E-6</v>
      </c>
      <c r="M13" s="35">
        <f t="shared" si="3"/>
        <v>9.76491608330948E-2</v>
      </c>
      <c r="N13" s="63"/>
      <c r="O13" s="63"/>
      <c r="P13" s="35">
        <f>[1]Sheet1!$AG$9</f>
        <v>11726965.647638677</v>
      </c>
      <c r="Q13" s="33">
        <f t="shared" si="1"/>
        <v>8.3268906695192115E-6</v>
      </c>
      <c r="R13" s="41"/>
      <c r="S13" s="41"/>
    </row>
    <row r="14" spans="1:19" x14ac:dyDescent="0.2">
      <c r="B14" s="53"/>
      <c r="C14" s="52">
        <v>30</v>
      </c>
      <c r="D14" s="50"/>
      <c r="E14" s="30">
        <v>1</v>
      </c>
      <c r="F14" s="30">
        <v>35</v>
      </c>
      <c r="G14" s="30">
        <v>14</v>
      </c>
      <c r="H14" s="34">
        <v>2060</v>
      </c>
      <c r="I14" s="34">
        <f t="shared" si="4"/>
        <v>2060</v>
      </c>
      <c r="J14" s="39">
        <f>I14*($C$37/$C$41)*1000</f>
        <v>8073.8885620072851</v>
      </c>
      <c r="K14" s="34">
        <f>$C$36*(J14/($C$38*1000000000))</f>
        <v>3.0900000000000007E-3</v>
      </c>
      <c r="L14" s="34">
        <f>$H$23*K14*F14</f>
        <v>1.2542357571384205E-4</v>
      </c>
      <c r="M14" s="34">
        <f t="shared" si="3"/>
        <v>16.477323851899715</v>
      </c>
      <c r="N14" s="61">
        <f>AVERAGE(M14:M17)</f>
        <v>27.215579808780962</v>
      </c>
      <c r="O14" s="61">
        <f>STDEV(M14:M17)</f>
        <v>7.3505043916809889</v>
      </c>
      <c r="P14" s="34">
        <f>[1]Sheet1!$Z$9</f>
        <v>11726965.647638677</v>
      </c>
      <c r="Q14" s="32">
        <f t="shared" si="1"/>
        <v>1.4050799112912521E-3</v>
      </c>
      <c r="R14" s="32">
        <f>AVERAGE(Q14:Q17)</f>
        <v>2.2480834269529878E-3</v>
      </c>
      <c r="S14" s="19">
        <f>STDEV(Q14:Q17)</f>
        <v>8.2635010272754609E-4</v>
      </c>
    </row>
    <row r="15" spans="1:19" x14ac:dyDescent="0.2">
      <c r="B15" s="53"/>
      <c r="C15" s="53"/>
      <c r="D15" s="50"/>
      <c r="E15" s="30">
        <v>2</v>
      </c>
      <c r="F15" s="30">
        <v>35</v>
      </c>
      <c r="G15" s="30">
        <v>14</v>
      </c>
      <c r="H15" s="32">
        <v>3570</v>
      </c>
      <c r="I15" s="34">
        <f t="shared" si="4"/>
        <v>3570</v>
      </c>
      <c r="J15" s="39">
        <f>I15*($C$37/$C$41)*1000</f>
        <v>13992.127265226218</v>
      </c>
      <c r="K15" s="34">
        <f>$C$36*(J15/($C$38*1000000000))</f>
        <v>5.3550000000000021E-3</v>
      </c>
      <c r="L15" s="34">
        <f>$H$23*K15*F15</f>
        <v>2.1736027441670688E-4</v>
      </c>
      <c r="M15" s="34">
        <f t="shared" si="3"/>
        <v>28.555362209360187</v>
      </c>
      <c r="N15" s="40"/>
      <c r="O15" s="32"/>
      <c r="P15" s="34">
        <f>[1]Sheet1!$AA$9</f>
        <v>10707229.504365746</v>
      </c>
      <c r="Q15" s="32">
        <f t="shared" si="1"/>
        <v>2.6669235209460184E-3</v>
      </c>
      <c r="R15" s="40"/>
      <c r="S15" s="40"/>
    </row>
    <row r="16" spans="1:19" x14ac:dyDescent="0.2">
      <c r="B16" s="53"/>
      <c r="C16" s="53"/>
      <c r="D16" s="50"/>
      <c r="E16" s="30">
        <v>3</v>
      </c>
      <c r="F16" s="30">
        <v>35</v>
      </c>
      <c r="G16" s="30">
        <v>14</v>
      </c>
      <c r="H16" s="32">
        <v>4070</v>
      </c>
      <c r="I16" s="34">
        <f t="shared" si="4"/>
        <v>4070</v>
      </c>
      <c r="J16" s="39">
        <f>I16*($C$37/$C$41)*1000</f>
        <v>15951.80895503381</v>
      </c>
      <c r="K16" s="34">
        <f>$C$36*(J16/($C$38*1000000000))</f>
        <v>6.1050000000000011E-3</v>
      </c>
      <c r="L16" s="34">
        <f>$H$23*K16*F16</f>
        <v>2.4780288988123157E-4</v>
      </c>
      <c r="M16" s="34">
        <f t="shared" si="3"/>
        <v>32.554712658850406</v>
      </c>
      <c r="N16" s="32"/>
      <c r="O16" s="32"/>
      <c r="P16" s="34">
        <f>[1]Sheet1!$AB$9</f>
        <v>10197361.432729283</v>
      </c>
      <c r="Q16" s="32">
        <f t="shared" si="1"/>
        <v>3.1924643324265567E-3</v>
      </c>
      <c r="R16" s="40"/>
      <c r="S16" s="40"/>
    </row>
    <row r="17" spans="2:19" ht="17" thickBot="1" x14ac:dyDescent="0.25">
      <c r="B17" s="54"/>
      <c r="C17" s="54"/>
      <c r="D17" s="51"/>
      <c r="E17" s="23">
        <v>4</v>
      </c>
      <c r="F17" s="23">
        <v>35</v>
      </c>
      <c r="G17" s="23">
        <v>14</v>
      </c>
      <c r="H17" s="33">
        <v>3910</v>
      </c>
      <c r="I17" s="35">
        <f t="shared" si="4"/>
        <v>3910</v>
      </c>
      <c r="J17" s="24">
        <f>I17*($C$37/$C$41)*1000</f>
        <v>15324.71081429538</v>
      </c>
      <c r="K17" s="35">
        <f>$C$36*(J17/($C$38*1000000000))</f>
        <v>5.8650000000000022E-3</v>
      </c>
      <c r="L17" s="35">
        <f>$H$23*K17*F17</f>
        <v>2.380612529325837E-4</v>
      </c>
      <c r="M17" s="35">
        <f t="shared" si="3"/>
        <v>31.274920515013537</v>
      </c>
      <c r="N17" s="33"/>
      <c r="O17" s="33"/>
      <c r="P17" s="35">
        <f>[1]Sheet1!$AC$9</f>
        <v>18100316.543094475</v>
      </c>
      <c r="Q17" s="33">
        <f t="shared" si="1"/>
        <v>1.7278659431481248E-3</v>
      </c>
      <c r="R17" s="41"/>
      <c r="S17" s="41"/>
    </row>
    <row r="18" spans="2:19" ht="17" thickBot="1" x14ac:dyDescent="0.25"/>
    <row r="19" spans="2:19" ht="17" thickBot="1" x14ac:dyDescent="0.25">
      <c r="B19" s="55" t="s">
        <v>9</v>
      </c>
      <c r="C19" s="56"/>
      <c r="D19" s="25"/>
      <c r="E19" s="25"/>
      <c r="F19" s="6"/>
      <c r="G19" s="7" t="s">
        <v>18</v>
      </c>
      <c r="H19" s="6"/>
    </row>
    <row r="20" spans="2:19" ht="17" thickBot="1" x14ac:dyDescent="0.25">
      <c r="B20" s="26" t="s">
        <v>10</v>
      </c>
      <c r="C20" s="12">
        <v>1.2E-2</v>
      </c>
      <c r="D20" s="6"/>
      <c r="F20" s="6"/>
      <c r="G20" s="5">
        <v>16.044</v>
      </c>
      <c r="H20" s="6"/>
      <c r="I20" s="4"/>
    </row>
    <row r="21" spans="2:19" ht="17" thickBot="1" x14ac:dyDescent="0.25">
      <c r="B21" s="8" t="s">
        <v>11</v>
      </c>
      <c r="C21" s="9">
        <v>152</v>
      </c>
      <c r="D21" s="6"/>
      <c r="F21" s="6"/>
      <c r="G21" s="6"/>
      <c r="H21" s="6"/>
      <c r="I21" s="4"/>
    </row>
    <row r="22" spans="2:19" x14ac:dyDescent="0.2">
      <c r="B22" s="8" t="s">
        <v>12</v>
      </c>
      <c r="C22" s="10">
        <f>(C20*C21)/(C23*C24)</f>
        <v>8.1375208908765151E-5</v>
      </c>
      <c r="D22" s="6"/>
      <c r="F22" s="6"/>
      <c r="G22" s="11" t="s">
        <v>21</v>
      </c>
      <c r="H22" s="12">
        <v>2.3083619932659253E-3</v>
      </c>
    </row>
    <row r="23" spans="2:19" ht="17" thickBot="1" x14ac:dyDescent="0.25">
      <c r="B23" s="8" t="s">
        <v>13</v>
      </c>
      <c r="C23" s="13">
        <v>82.06</v>
      </c>
      <c r="D23" s="6"/>
      <c r="F23" s="6"/>
      <c r="G23" s="14" t="s">
        <v>22</v>
      </c>
      <c r="H23" s="15">
        <v>1.159718684362848E-3</v>
      </c>
    </row>
    <row r="24" spans="2:19" x14ac:dyDescent="0.2">
      <c r="B24" s="16" t="s">
        <v>14</v>
      </c>
      <c r="C24" s="9">
        <v>273.14999999999998</v>
      </c>
      <c r="D24" s="19"/>
      <c r="F24" s="6"/>
      <c r="G24" s="6"/>
      <c r="H24" s="6"/>
    </row>
    <row r="25" spans="2:19" ht="17" thickBot="1" x14ac:dyDescent="0.25">
      <c r="B25" s="17" t="s">
        <v>15</v>
      </c>
      <c r="C25" s="18">
        <f>C23*C24/C20</f>
        <v>1867890.7499999998</v>
      </c>
      <c r="D25" s="19"/>
      <c r="F25" s="6"/>
      <c r="G25" s="6"/>
      <c r="H25" s="6"/>
    </row>
    <row r="26" spans="2:19" ht="17" thickBot="1" x14ac:dyDescent="0.25">
      <c r="B26" s="6"/>
      <c r="C26" s="6"/>
      <c r="D26" s="6"/>
      <c r="E26" s="6"/>
      <c r="F26" s="6"/>
      <c r="G26" s="6"/>
      <c r="H26" s="6"/>
    </row>
    <row r="27" spans="2:19" ht="17" thickBot="1" x14ac:dyDescent="0.25">
      <c r="B27" s="42" t="s">
        <v>16</v>
      </c>
      <c r="C27" s="43"/>
      <c r="D27" s="25"/>
      <c r="E27" s="25"/>
      <c r="F27" s="6"/>
      <c r="G27" s="6"/>
      <c r="H27" s="6"/>
    </row>
    <row r="28" spans="2:19" x14ac:dyDescent="0.2">
      <c r="B28" s="26" t="s">
        <v>10</v>
      </c>
      <c r="C28" s="28">
        <v>1.5</v>
      </c>
      <c r="D28" s="6"/>
      <c r="F28" s="6"/>
      <c r="G28" s="6"/>
      <c r="H28" s="6"/>
    </row>
    <row r="29" spans="2:19" x14ac:dyDescent="0.2">
      <c r="B29" s="8" t="s">
        <v>11</v>
      </c>
      <c r="C29" s="13">
        <v>65</v>
      </c>
      <c r="D29" s="6"/>
      <c r="F29" s="6"/>
      <c r="G29" s="19"/>
      <c r="H29" s="6"/>
    </row>
    <row r="30" spans="2:19" x14ac:dyDescent="0.2">
      <c r="B30" s="8" t="s">
        <v>12</v>
      </c>
      <c r="C30" s="10">
        <f>(C28*C29)/(C31*C32)</f>
        <v>4.3498261341034005E-3</v>
      </c>
      <c r="D30" s="6"/>
      <c r="F30" s="6"/>
      <c r="G30" s="19"/>
      <c r="H30" s="6"/>
    </row>
    <row r="31" spans="2:19" x14ac:dyDescent="0.2">
      <c r="B31" s="8" t="s">
        <v>13</v>
      </c>
      <c r="C31" s="13">
        <v>82.06</v>
      </c>
      <c r="D31" s="6"/>
      <c r="F31" s="6"/>
      <c r="G31" s="20"/>
      <c r="H31" s="6"/>
    </row>
    <row r="32" spans="2:19" x14ac:dyDescent="0.2">
      <c r="B32" s="16" t="s">
        <v>14</v>
      </c>
      <c r="C32" s="13">
        <f>273.15</f>
        <v>273.14999999999998</v>
      </c>
      <c r="D32" s="19"/>
      <c r="F32" s="6"/>
      <c r="G32" s="6"/>
      <c r="H32" s="6"/>
    </row>
    <row r="33" spans="2:8" ht="17" thickBot="1" x14ac:dyDescent="0.25">
      <c r="B33" s="17" t="s">
        <v>15</v>
      </c>
      <c r="C33" s="18">
        <f>C31*C32/C28</f>
        <v>14943.125999999998</v>
      </c>
      <c r="D33" s="19"/>
      <c r="F33" s="6"/>
      <c r="G33" s="6"/>
      <c r="H33" s="6"/>
    </row>
    <row r="34" spans="2:8" ht="17" thickBot="1" x14ac:dyDescent="0.25">
      <c r="B34" s="6"/>
      <c r="C34" s="6"/>
      <c r="D34" s="6"/>
      <c r="E34" s="6"/>
      <c r="F34" s="6"/>
      <c r="G34" s="6"/>
      <c r="H34" s="6"/>
    </row>
    <row r="35" spans="2:8" ht="17" customHeight="1" thickBot="1" x14ac:dyDescent="0.25">
      <c r="B35" s="44" t="s">
        <v>17</v>
      </c>
      <c r="C35" s="45"/>
      <c r="D35" s="27"/>
      <c r="E35" s="27"/>
      <c r="F35" s="6"/>
      <c r="G35" s="6"/>
      <c r="H35" s="6"/>
    </row>
    <row r="36" spans="2:8" x14ac:dyDescent="0.2">
      <c r="B36" s="8" t="s">
        <v>10</v>
      </c>
      <c r="C36" s="9">
        <v>1.5</v>
      </c>
      <c r="D36" s="6"/>
      <c r="F36" s="6"/>
      <c r="G36" s="6"/>
      <c r="H36" s="6"/>
    </row>
    <row r="37" spans="2:8" x14ac:dyDescent="0.2">
      <c r="B37" s="8" t="s">
        <v>11</v>
      </c>
      <c r="C37" s="13">
        <v>65</v>
      </c>
      <c r="D37" s="6"/>
      <c r="F37" s="6"/>
      <c r="G37" s="6"/>
      <c r="H37" s="6"/>
    </row>
    <row r="38" spans="2:8" x14ac:dyDescent="0.2">
      <c r="B38" s="8" t="s">
        <v>12</v>
      </c>
      <c r="C38" s="10">
        <f>(C36*C37)/(C39*C40)</f>
        <v>3.919363379615186E-3</v>
      </c>
      <c r="D38" s="6"/>
      <c r="F38" s="6"/>
      <c r="G38" s="6"/>
      <c r="H38" s="6"/>
    </row>
    <row r="39" spans="2:8" x14ac:dyDescent="0.2">
      <c r="B39" s="8" t="s">
        <v>13</v>
      </c>
      <c r="C39" s="13">
        <v>82.06</v>
      </c>
      <c r="D39" s="6"/>
      <c r="F39" s="6"/>
      <c r="G39" s="6"/>
      <c r="H39" s="6"/>
    </row>
    <row r="40" spans="2:8" x14ac:dyDescent="0.2">
      <c r="B40" s="16" t="s">
        <v>14</v>
      </c>
      <c r="C40" s="13">
        <f>273.15+30</f>
        <v>303.14999999999998</v>
      </c>
      <c r="D40" s="19"/>
      <c r="F40" s="6"/>
      <c r="G40" s="6"/>
      <c r="H40" s="6"/>
    </row>
    <row r="41" spans="2:8" ht="17" thickBot="1" x14ac:dyDescent="0.25">
      <c r="B41" s="17" t="s">
        <v>15</v>
      </c>
      <c r="C41" s="18">
        <f>C39*C40/C36</f>
        <v>16584.325999999997</v>
      </c>
      <c r="D41" s="19"/>
      <c r="F41" s="6"/>
      <c r="G41" s="6"/>
      <c r="H41" s="6"/>
    </row>
  </sheetData>
  <mergeCells count="26">
    <mergeCell ref="M3:M4"/>
    <mergeCell ref="P3:P5"/>
    <mergeCell ref="H3:H4"/>
    <mergeCell ref="I3:I4"/>
    <mergeCell ref="B3:B5"/>
    <mergeCell ref="E3:E5"/>
    <mergeCell ref="F3:F4"/>
    <mergeCell ref="G3:G5"/>
    <mergeCell ref="K3:K5"/>
    <mergeCell ref="J3:J4"/>
    <mergeCell ref="B27:C27"/>
    <mergeCell ref="B35:C35"/>
    <mergeCell ref="S3:S5"/>
    <mergeCell ref="Q3:Q5"/>
    <mergeCell ref="R3:R4"/>
    <mergeCell ref="D6:D17"/>
    <mergeCell ref="C6:C13"/>
    <mergeCell ref="C14:C17"/>
    <mergeCell ref="B10:B17"/>
    <mergeCell ref="B19:C19"/>
    <mergeCell ref="L3:L4"/>
    <mergeCell ref="N3:N4"/>
    <mergeCell ref="O3:O5"/>
    <mergeCell ref="B6:B9"/>
    <mergeCell ref="D3:D5"/>
    <mergeCell ref="C3:C5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2023-07-10T12:54:11Z</dcterms:created>
  <dcterms:modified xsi:type="dcterms:W3CDTF">2023-07-10T21:18:07Z</dcterms:modified>
</cp:coreProperties>
</file>