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ntwerpen.sharepoint.com/sites/VlaeminckLab/Personal Folders/Spiller, Marc/RESEARCH/SI nutrient cycling/submission/"/>
    </mc:Choice>
  </mc:AlternateContent>
  <xr:revisionPtr revIDLastSave="291" documentId="8_{97AC7E8C-3513-4FC4-9C2D-611423AB8485}" xr6:coauthVersionLast="47" xr6:coauthVersionMax="47" xr10:uidLastSave="{942006C3-D3E3-47FB-B61A-6C47210BE93C}"/>
  <bookViews>
    <workbookView xWindow="-96" yWindow="-96" windowWidth="23232" windowHeight="12432" xr2:uid="{A37364E0-9D43-46DA-803D-3FCD8DE6CC0F}"/>
  </bookViews>
  <sheets>
    <sheet name="scenario calculations" sheetId="2" r:id="rId1"/>
    <sheet name="NIF &amp; Recovery" sheetId="3" r:id="rId2"/>
  </sheets>
  <definedNames>
    <definedName name="solver_adj" localSheetId="0" hidden="1">'scenario calculations'!#REF!</definedName>
    <definedName name="solver_cvg" localSheetId="0" hidden="1">"""0,0001"""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"""0,075"""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'scenario calculations'!#REF!</definedName>
    <definedName name="solver_pre" localSheetId="0" hidden="1">"""0,000001"""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1</definedName>
    <definedName name="solver_typ" localSheetId="0" hidden="1">3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2" l="1"/>
  <c r="B9" i="2"/>
  <c r="C9" i="3"/>
  <c r="D9" i="3" s="1"/>
  <c r="C8" i="3"/>
  <c r="D8" i="3" s="1"/>
  <c r="C7" i="3"/>
  <c r="D7" i="3" s="1"/>
  <c r="C6" i="3"/>
  <c r="D6" i="3" s="1"/>
  <c r="C5" i="3"/>
  <c r="D5" i="3" s="1"/>
  <c r="C4" i="3"/>
  <c r="D4" i="3" s="1"/>
  <c r="C3" i="3"/>
  <c r="D3" i="3" s="1"/>
  <c r="E12" i="2"/>
  <c r="C4" i="2"/>
  <c r="B4" i="2"/>
  <c r="B17" i="2" s="1"/>
  <c r="D17" i="2" s="1"/>
  <c r="C16" i="2" l="1"/>
  <c r="D16" i="2"/>
  <c r="G16" i="2" s="1"/>
  <c r="F16" i="2"/>
  <c r="E16" i="2" l="1"/>
  <c r="H16" i="2" s="1"/>
  <c r="E17" i="2" l="1"/>
  <c r="H17" i="2" s="1"/>
  <c r="C11" i="2" l="1"/>
  <c r="C13" i="2"/>
  <c r="D13" i="2" s="1"/>
  <c r="C12" i="2"/>
  <c r="C17" i="2" l="1"/>
  <c r="F17" i="2"/>
  <c r="F13" i="2"/>
  <c r="E13" i="2"/>
  <c r="D11" i="2"/>
  <c r="B20" i="2"/>
  <c r="B22" i="2" s="1"/>
  <c r="C6" i="2"/>
  <c r="B14" i="2"/>
  <c r="C10" i="2"/>
  <c r="C9" i="2" s="1"/>
  <c r="C14" i="2" s="1"/>
  <c r="G13" i="2" l="1"/>
  <c r="F11" i="2"/>
  <c r="D4" i="2"/>
  <c r="E11" i="2"/>
  <c r="H13" i="2"/>
  <c r="G17" i="2"/>
  <c r="G11" i="2" l="1"/>
  <c r="P10" i="2"/>
  <c r="D6" i="2"/>
  <c r="O7" i="2" s="1"/>
  <c r="E4" i="2"/>
  <c r="H11" i="2"/>
  <c r="F4" i="2"/>
  <c r="D7" i="2"/>
  <c r="D8" i="2"/>
  <c r="D5" i="2" l="1"/>
  <c r="M6" i="2" s="1"/>
  <c r="N7" i="2"/>
  <c r="N6" i="2"/>
  <c r="P19" i="2"/>
  <c r="P16" i="2"/>
  <c r="D14" i="2"/>
  <c r="F8" i="2"/>
  <c r="H4" i="2"/>
  <c r="E6" i="2"/>
  <c r="O13" i="2" s="1"/>
  <c r="F6" i="2"/>
  <c r="O10" i="2" s="1"/>
  <c r="Q7" i="2"/>
  <c r="Q10" i="2"/>
  <c r="Q13" i="2"/>
  <c r="Q19" i="2"/>
  <c r="Q16" i="2"/>
  <c r="G4" i="2"/>
  <c r="P13" i="2"/>
  <c r="P7" i="2"/>
  <c r="E8" i="2"/>
  <c r="R6" i="2"/>
  <c r="M42" i="2" s="1"/>
  <c r="N10" i="2" l="1"/>
  <c r="N9" i="2"/>
  <c r="N13" i="2"/>
  <c r="N12" i="2"/>
  <c r="G7" i="2"/>
  <c r="G5" i="2"/>
  <c r="M15" i="2" s="1"/>
  <c r="E5" i="2"/>
  <c r="M12" i="2" s="1"/>
  <c r="R12" i="2" s="1"/>
  <c r="N30" i="2" s="1"/>
  <c r="F5" i="2"/>
  <c r="M9" i="2" s="1"/>
  <c r="M44" i="2" s="1"/>
  <c r="E14" i="2"/>
  <c r="G6" i="2"/>
  <c r="Q43" i="2"/>
  <c r="O45" i="2"/>
  <c r="O50" i="2"/>
  <c r="P45" i="2"/>
  <c r="P50" i="2"/>
  <c r="Q50" i="2"/>
  <c r="M47" i="2"/>
  <c r="P51" i="2"/>
  <c r="P42" i="2"/>
  <c r="M51" i="2"/>
  <c r="M45" i="2"/>
  <c r="P44" i="2"/>
  <c r="Q48" i="2"/>
  <c r="M43" i="2"/>
  <c r="P48" i="2"/>
  <c r="O42" i="2"/>
  <c r="Q42" i="2"/>
  <c r="P46" i="2"/>
  <c r="O46" i="2"/>
  <c r="O44" i="2"/>
  <c r="R42" i="2"/>
  <c r="O48" i="2"/>
  <c r="M49" i="2"/>
  <c r="P49" i="2"/>
  <c r="R24" i="2"/>
  <c r="Q46" i="2"/>
  <c r="Q44" i="2"/>
  <c r="N24" i="2"/>
  <c r="N42" i="2"/>
  <c r="O47" i="2"/>
  <c r="P47" i="2"/>
  <c r="Q49" i="2"/>
  <c r="H7" i="2"/>
  <c r="H8" i="2" s="1"/>
  <c r="Q45" i="2"/>
  <c r="M24" i="2"/>
  <c r="N46" i="2"/>
  <c r="F14" i="2"/>
  <c r="M46" i="2"/>
  <c r="P43" i="2"/>
  <c r="O43" i="2"/>
  <c r="G8" i="2"/>
  <c r="Q51" i="2"/>
  <c r="Q47" i="2"/>
  <c r="R9" i="2"/>
  <c r="M27" i="2" s="1"/>
  <c r="N44" i="2"/>
  <c r="N19" i="2" l="1"/>
  <c r="N18" i="2"/>
  <c r="N16" i="2"/>
  <c r="N15" i="2"/>
  <c r="O16" i="2"/>
  <c r="O49" i="2" s="1"/>
  <c r="G14" i="2"/>
  <c r="N27" i="2"/>
  <c r="R15" i="2"/>
  <c r="M33" i="2" s="1"/>
  <c r="M48" i="2"/>
  <c r="N48" i="2"/>
  <c r="N50" i="2"/>
  <c r="N45" i="2"/>
  <c r="R10" i="2"/>
  <c r="N28" i="2" s="1"/>
  <c r="R7" i="2"/>
  <c r="N43" i="2"/>
  <c r="R27" i="2"/>
  <c r="R44" i="2"/>
  <c r="H6" i="2"/>
  <c r="O19" i="2" s="1"/>
  <c r="H5" i="2"/>
  <c r="M18" i="2" s="1"/>
  <c r="N47" i="2"/>
  <c r="R13" i="2"/>
  <c r="R46" i="2"/>
  <c r="R30" i="2"/>
  <c r="M30" i="2"/>
  <c r="N33" i="2" l="1"/>
  <c r="R16" i="2"/>
  <c r="N34" i="2" s="1"/>
  <c r="N49" i="2"/>
  <c r="R47" i="2"/>
  <c r="R31" i="2"/>
  <c r="Q31" i="2"/>
  <c r="O31" i="2"/>
  <c r="P31" i="2"/>
  <c r="R19" i="2"/>
  <c r="N37" i="2" s="1"/>
  <c r="N51" i="2"/>
  <c r="N31" i="2"/>
  <c r="O51" i="2"/>
  <c r="R43" i="2"/>
  <c r="R25" i="2"/>
  <c r="Q25" i="2"/>
  <c r="P25" i="2"/>
  <c r="O25" i="2"/>
  <c r="N25" i="2"/>
  <c r="H14" i="2"/>
  <c r="R45" i="2"/>
  <c r="P28" i="2"/>
  <c r="R28" i="2"/>
  <c r="O28" i="2"/>
  <c r="Q28" i="2"/>
  <c r="R33" i="2"/>
  <c r="R48" i="2"/>
  <c r="P37" i="2" l="1"/>
  <c r="R51" i="2"/>
  <c r="R37" i="2"/>
  <c r="Q37" i="2"/>
  <c r="M50" i="2"/>
  <c r="R18" i="2"/>
  <c r="M36" i="2" s="1"/>
  <c r="O37" i="2"/>
  <c r="P34" i="2"/>
  <c r="R34" i="2"/>
  <c r="R49" i="2"/>
  <c r="Q34" i="2"/>
  <c r="O34" i="2"/>
  <c r="R36" i="2" l="1"/>
  <c r="R50" i="2"/>
  <c r="N36" i="2"/>
</calcChain>
</file>

<file path=xl/sharedStrings.xml><?xml version="1.0" encoding="utf-8"?>
<sst xmlns="http://schemas.openxmlformats.org/spreadsheetml/2006/main" count="97" uniqueCount="48">
  <si>
    <t>Independent variables</t>
  </si>
  <si>
    <t>NUE</t>
  </si>
  <si>
    <t>recovered stream</t>
  </si>
  <si>
    <t>overconsumption</t>
  </si>
  <si>
    <t>N [kgN/cap.yr]</t>
  </si>
  <si>
    <t>Baseline</t>
  </si>
  <si>
    <t>Retail consumption losses</t>
  </si>
  <si>
    <t>No expo</t>
  </si>
  <si>
    <t>Efficiency</t>
  </si>
  <si>
    <t>Circularity</t>
  </si>
  <si>
    <t>Sufficiency</t>
  </si>
  <si>
    <t>ALL</t>
  </si>
  <si>
    <t>Total inputs</t>
  </si>
  <si>
    <t>Comparison of scenarios</t>
  </si>
  <si>
    <t>Recovered</t>
  </si>
  <si>
    <t>Losses</t>
  </si>
  <si>
    <t>Recommended intake</t>
  </si>
  <si>
    <t>Overconsumption</t>
  </si>
  <si>
    <t>Primary inputs</t>
  </si>
  <si>
    <t>Primary</t>
  </si>
  <si>
    <t>Total</t>
  </si>
  <si>
    <t>Total losses incl. stock</t>
  </si>
  <si>
    <t>IN</t>
  </si>
  <si>
    <t>Recoverable streams</t>
  </si>
  <si>
    <t>OUT</t>
  </si>
  <si>
    <t>Recovered streams</t>
  </si>
  <si>
    <t>N contained in food (i.e. NUE)</t>
  </si>
  <si>
    <t>Plant food products exported</t>
  </si>
  <si>
    <t>Plant food products consumed locally</t>
  </si>
  <si>
    <t>Animal food products exported</t>
  </si>
  <si>
    <t>Sc3: sufficiency</t>
  </si>
  <si>
    <t xml:space="preserve">Efficiency </t>
  </si>
  <si>
    <t>Animal food products consumed locally</t>
  </si>
  <si>
    <t>Check</t>
  </si>
  <si>
    <t>NIF plant products (localised)</t>
  </si>
  <si>
    <t>NIF animal products (localised)</t>
  </si>
  <si>
    <t>Input</t>
  </si>
  <si>
    <t>Output</t>
  </si>
  <si>
    <t>Sc1: circularity</t>
  </si>
  <si>
    <t xml:space="preserve">Sc2: efficiency </t>
  </si>
  <si>
    <t>Current N intake</t>
  </si>
  <si>
    <t>Recommened</t>
  </si>
  <si>
    <t>N intake reduction</t>
  </si>
  <si>
    <t>NIF (i.e. 1/NUE)</t>
  </si>
  <si>
    <t>Production</t>
  </si>
  <si>
    <t>% recoverable N</t>
  </si>
  <si>
    <t>Loss+recovery</t>
  </si>
  <si>
    <t>Example to demonstrate that there is a none-linear relationship of efficiency to recoverable substance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</si>
</sst>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.0"/>
    <numFmt numFmtId="165" formatCode="0.000"/>
    <numFmt numFmtId="166" formatCode="_ * #,##0_ ;_ * \-#,##0_ ;_ * &quot;-&quot;??_ ;_ @_ "/>
    <numFmt numFmtId="167" formatCode="0.000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6" fillId="3" borderId="0" xfId="0" applyFont="1" applyFill="1" applyAlignment="1">
      <alignment horizontal="left"/>
    </xf>
    <xf numFmtId="2" fontId="0" fillId="0" borderId="0" xfId="0" applyNumberFormat="1"/>
    <xf numFmtId="9" fontId="0" fillId="0" borderId="0" xfId="2" applyFont="1"/>
    <xf numFmtId="1" fontId="0" fillId="0" borderId="0" xfId="0" applyNumberFormat="1"/>
    <xf numFmtId="2" fontId="0" fillId="0" borderId="0" xfId="0" applyNumberFormat="1" applyAlignment="1">
      <alignment horizontal="center"/>
    </xf>
    <xf numFmtId="166" fontId="0" fillId="0" borderId="0" xfId="1" applyNumberFormat="1" applyFont="1"/>
    <xf numFmtId="164" fontId="2" fillId="0" borderId="0" xfId="0" applyNumberFormat="1" applyFont="1" applyAlignment="1">
      <alignment horizontal="center"/>
    </xf>
    <xf numFmtId="9" fontId="2" fillId="0" borderId="0" xfId="2" applyFont="1" applyAlignment="1">
      <alignment horizontal="center"/>
    </xf>
    <xf numFmtId="0" fontId="0" fillId="4" borderId="0" xfId="0" applyFill="1"/>
    <xf numFmtId="10" fontId="2" fillId="0" borderId="0" xfId="2" applyNumberFormat="1" applyFont="1" applyFill="1" applyAlignment="1">
      <alignment horizontal="center"/>
    </xf>
    <xf numFmtId="9" fontId="2" fillId="0" borderId="0" xfId="2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164" fontId="0" fillId="0" borderId="0" xfId="0" applyNumberFormat="1" applyFill="1" applyAlignment="1">
      <alignment horizontal="center"/>
    </xf>
    <xf numFmtId="2" fontId="0" fillId="0" borderId="0" xfId="0" applyNumberFormat="1" applyFill="1"/>
    <xf numFmtId="164" fontId="0" fillId="0" borderId="0" xfId="0" applyNumberFormat="1" applyFill="1"/>
    <xf numFmtId="0" fontId="0" fillId="0" borderId="1" xfId="0" applyFill="1" applyBorder="1"/>
    <xf numFmtId="167" fontId="0" fillId="0" borderId="2" xfId="0" applyNumberForma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5" fontId="0" fillId="0" borderId="0" xfId="0" applyNumberFormat="1" applyFill="1" applyAlignment="1">
      <alignment horizontal="center"/>
    </xf>
    <xf numFmtId="2" fontId="0" fillId="0" borderId="0" xfId="0" applyNumberFormat="1" applyFill="1" applyAlignment="1">
      <alignment horizontal="center"/>
    </xf>
    <xf numFmtId="165" fontId="0" fillId="0" borderId="0" xfId="0" applyNumberFormat="1" applyFill="1"/>
    <xf numFmtId="164" fontId="7" fillId="0" borderId="0" xfId="0" applyNumberFormat="1" applyFont="1" applyFill="1" applyAlignment="1">
      <alignment horizontal="center"/>
    </xf>
    <xf numFmtId="0" fontId="2" fillId="0" borderId="0" xfId="0" applyFont="1" applyFill="1"/>
    <xf numFmtId="0" fontId="5" fillId="0" borderId="0" xfId="0" applyFont="1" applyFill="1"/>
    <xf numFmtId="0" fontId="4" fillId="2" borderId="0" xfId="0" applyFont="1" applyFill="1" applyAlignment="1">
      <alignment horizontal="center"/>
    </xf>
    <xf numFmtId="0" fontId="6" fillId="3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8" fillId="0" borderId="0" xfId="0" applyFont="1" applyFill="1"/>
    <xf numFmtId="9" fontId="8" fillId="0" borderId="0" xfId="2" applyFont="1" applyFill="1"/>
    <xf numFmtId="9" fontId="0" fillId="0" borderId="0" xfId="2" applyFont="1" applyFill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A6A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565278850586644E-2"/>
          <c:y val="5.0862134551289122E-2"/>
          <c:w val="0.88332819402761786"/>
          <c:h val="0.77040095397998787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'scenario calculations'!$N$5</c:f>
              <c:strCache>
                <c:ptCount val="1"/>
                <c:pt idx="0">
                  <c:v>Recovered</c:v>
                </c:pt>
              </c:strCache>
            </c:strRef>
          </c:tx>
          <c:spPr>
            <a:pattFill prst="pct60">
              <a:fgClr>
                <a:schemeClr val="accent6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'scenario calculations'!$K$6:$L$18</c:f>
              <c:multiLvlStrCache>
                <c:ptCount val="13"/>
                <c:lvl>
                  <c:pt idx="0">
                    <c:v>IN</c:v>
                  </c:pt>
                  <c:pt idx="1">
                    <c:v>OUT</c:v>
                  </c:pt>
                  <c:pt idx="3">
                    <c:v>IN</c:v>
                  </c:pt>
                  <c:pt idx="4">
                    <c:v>OUT</c:v>
                  </c:pt>
                  <c:pt idx="6">
                    <c:v>IN</c:v>
                  </c:pt>
                  <c:pt idx="7">
                    <c:v>OUT</c:v>
                  </c:pt>
                  <c:pt idx="9">
                    <c:v>IN</c:v>
                  </c:pt>
                  <c:pt idx="10">
                    <c:v>OUT</c:v>
                  </c:pt>
                  <c:pt idx="12">
                    <c:v>IN</c:v>
                  </c:pt>
                </c:lvl>
                <c:lvl>
                  <c:pt idx="0">
                    <c:v>Baseline</c:v>
                  </c:pt>
                  <c:pt idx="3">
                    <c:v>Circularity</c:v>
                  </c:pt>
                  <c:pt idx="6">
                    <c:v>Efficiency </c:v>
                  </c:pt>
                  <c:pt idx="9">
                    <c:v>Sufficiency</c:v>
                  </c:pt>
                  <c:pt idx="12">
                    <c:v>ALL</c:v>
                  </c:pt>
                </c:lvl>
              </c:multiLvlStrCache>
            </c:multiLvlStrRef>
          </c:cat>
          <c:val>
            <c:numRef>
              <c:f>'scenario calculations'!$N$6:$N$19</c:f>
              <c:numCache>
                <c:formatCode>0</c:formatCode>
                <c:ptCount val="14"/>
                <c:pt idx="0">
                  <c:v>7.8906421691568296</c:v>
                </c:pt>
                <c:pt idx="1">
                  <c:v>7.8906421691568296</c:v>
                </c:pt>
                <c:pt idx="3">
                  <c:v>14.353223332239262</c:v>
                </c:pt>
                <c:pt idx="4">
                  <c:v>14.353223332239262</c:v>
                </c:pt>
                <c:pt idx="6">
                  <c:v>5.3567040929677248</c:v>
                </c:pt>
                <c:pt idx="7">
                  <c:v>5.3567040929677248</c:v>
                </c:pt>
                <c:pt idx="9">
                  <c:v>5.2392593879713356</c:v>
                </c:pt>
                <c:pt idx="10">
                  <c:v>5.2392593879713356</c:v>
                </c:pt>
                <c:pt idx="12">
                  <c:v>7.1477319411050653</c:v>
                </c:pt>
                <c:pt idx="13">
                  <c:v>7.1477319411050653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8E-4060-B298-E221CB5594E5}"/>
            </c:ext>
          </c:extLst>
        </c:ser>
        <c:ser>
          <c:idx val="0"/>
          <c:order val="1"/>
          <c:tx>
            <c:strRef>
              <c:f>'scenario calculations'!$M$5</c:f>
              <c:strCache>
                <c:ptCount val="1"/>
                <c:pt idx="0">
                  <c:v>Primary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'scenario calculations'!$K$6:$L$18</c:f>
              <c:multiLvlStrCache>
                <c:ptCount val="13"/>
                <c:lvl>
                  <c:pt idx="0">
                    <c:v>IN</c:v>
                  </c:pt>
                  <c:pt idx="1">
                    <c:v>OUT</c:v>
                  </c:pt>
                  <c:pt idx="3">
                    <c:v>IN</c:v>
                  </c:pt>
                  <c:pt idx="4">
                    <c:v>OUT</c:v>
                  </c:pt>
                  <c:pt idx="6">
                    <c:v>IN</c:v>
                  </c:pt>
                  <c:pt idx="7">
                    <c:v>OUT</c:v>
                  </c:pt>
                  <c:pt idx="9">
                    <c:v>IN</c:v>
                  </c:pt>
                  <c:pt idx="10">
                    <c:v>OUT</c:v>
                  </c:pt>
                  <c:pt idx="12">
                    <c:v>IN</c:v>
                  </c:pt>
                </c:lvl>
                <c:lvl>
                  <c:pt idx="0">
                    <c:v>Baseline</c:v>
                  </c:pt>
                  <c:pt idx="3">
                    <c:v>Circularity</c:v>
                  </c:pt>
                  <c:pt idx="6">
                    <c:v>Efficiency </c:v>
                  </c:pt>
                  <c:pt idx="9">
                    <c:v>Sufficiency</c:v>
                  </c:pt>
                  <c:pt idx="12">
                    <c:v>ALL</c:v>
                  </c:pt>
                </c:lvl>
              </c:multiLvlStrCache>
            </c:multiLvlStrRef>
          </c:cat>
          <c:val>
            <c:numRef>
              <c:f>'scenario calculations'!$M$6:$M$19</c:f>
              <c:numCache>
                <c:formatCode>0</c:formatCode>
                <c:ptCount val="14"/>
                <c:pt idx="0">
                  <c:v>14.546858722893418</c:v>
                </c:pt>
                <c:pt idx="3">
                  <c:v>8.0842775598109871</c:v>
                </c:pt>
                <c:pt idx="6">
                  <c:v>11.471421576069961</c:v>
                </c:pt>
                <c:pt idx="9">
                  <c:v>9.6588800373336596</c:v>
                </c:pt>
                <c:pt idx="12">
                  <c:v>4.0258726278736807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8E-4060-B298-E221CB5594E5}"/>
            </c:ext>
          </c:extLst>
        </c:ser>
        <c:ser>
          <c:idx val="3"/>
          <c:order val="2"/>
          <c:tx>
            <c:strRef>
              <c:f>'scenario calculations'!$O$5</c:f>
              <c:strCache>
                <c:ptCount val="1"/>
                <c:pt idx="0">
                  <c:v>Losses</c:v>
                </c:pt>
              </c:strCache>
            </c:strRef>
          </c:tx>
          <c:spPr>
            <a:solidFill>
              <a:srgbClr val="CC66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'scenario calculations'!$K$6:$L$18</c:f>
              <c:multiLvlStrCache>
                <c:ptCount val="13"/>
                <c:lvl>
                  <c:pt idx="0">
                    <c:v>IN</c:v>
                  </c:pt>
                  <c:pt idx="1">
                    <c:v>OUT</c:v>
                  </c:pt>
                  <c:pt idx="3">
                    <c:v>IN</c:v>
                  </c:pt>
                  <c:pt idx="4">
                    <c:v>OUT</c:v>
                  </c:pt>
                  <c:pt idx="6">
                    <c:v>IN</c:v>
                  </c:pt>
                  <c:pt idx="7">
                    <c:v>OUT</c:v>
                  </c:pt>
                  <c:pt idx="9">
                    <c:v>IN</c:v>
                  </c:pt>
                  <c:pt idx="10">
                    <c:v>OUT</c:v>
                  </c:pt>
                  <c:pt idx="12">
                    <c:v>IN</c:v>
                  </c:pt>
                </c:lvl>
                <c:lvl>
                  <c:pt idx="0">
                    <c:v>Baseline</c:v>
                  </c:pt>
                  <c:pt idx="3">
                    <c:v>Circularity</c:v>
                  </c:pt>
                  <c:pt idx="6">
                    <c:v>Efficiency </c:v>
                  </c:pt>
                  <c:pt idx="9">
                    <c:v>Sufficiency</c:v>
                  </c:pt>
                  <c:pt idx="12">
                    <c:v>ALL</c:v>
                  </c:pt>
                </c:lvl>
              </c:multiLvlStrCache>
            </c:multiLvlStrRef>
          </c:cat>
          <c:val>
            <c:numRef>
              <c:f>'scenario calculations'!$O$6:$O$19</c:f>
              <c:numCache>
                <c:formatCode>0</c:formatCode>
                <c:ptCount val="14"/>
                <c:pt idx="1">
                  <c:v>9.5768574028479136</c:v>
                </c:pt>
                <c:pt idx="4">
                  <c:v>3.1142762397654815</c:v>
                </c:pt>
                <c:pt idx="7">
                  <c:v>6.5014215760699603</c:v>
                </c:pt>
                <c:pt idx="10">
                  <c:v>6.3588791608446913</c:v>
                </c:pt>
                <c:pt idx="13">
                  <c:v>0.72587262787368045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18E-4060-B298-E221CB5594E5}"/>
            </c:ext>
          </c:extLst>
        </c:ser>
        <c:ser>
          <c:idx val="2"/>
          <c:order val="3"/>
          <c:tx>
            <c:strRef>
              <c:f>'scenario calculations'!$P$5</c:f>
              <c:strCache>
                <c:ptCount val="1"/>
                <c:pt idx="0">
                  <c:v>Overconsumption</c:v>
                </c:pt>
              </c:strCache>
            </c:strRef>
          </c:tx>
          <c:spPr>
            <a:pattFill prst="narHorz">
              <a:fgClr>
                <a:srgbClr val="C00000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'scenario calculations'!$K$6:$L$18</c:f>
              <c:multiLvlStrCache>
                <c:ptCount val="13"/>
                <c:lvl>
                  <c:pt idx="0">
                    <c:v>IN</c:v>
                  </c:pt>
                  <c:pt idx="1">
                    <c:v>OUT</c:v>
                  </c:pt>
                  <c:pt idx="3">
                    <c:v>IN</c:v>
                  </c:pt>
                  <c:pt idx="4">
                    <c:v>OUT</c:v>
                  </c:pt>
                  <c:pt idx="6">
                    <c:v>IN</c:v>
                  </c:pt>
                  <c:pt idx="7">
                    <c:v>OUT</c:v>
                  </c:pt>
                  <c:pt idx="9">
                    <c:v>IN</c:v>
                  </c:pt>
                  <c:pt idx="10">
                    <c:v>OUT</c:v>
                  </c:pt>
                  <c:pt idx="12">
                    <c:v>IN</c:v>
                  </c:pt>
                </c:lvl>
                <c:lvl>
                  <c:pt idx="0">
                    <c:v>Baseline</c:v>
                  </c:pt>
                  <c:pt idx="3">
                    <c:v>Circularity</c:v>
                  </c:pt>
                  <c:pt idx="6">
                    <c:v>Efficiency </c:v>
                  </c:pt>
                  <c:pt idx="9">
                    <c:v>Sufficiency</c:v>
                  </c:pt>
                  <c:pt idx="12">
                    <c:v>ALL</c:v>
                  </c:pt>
                </c:lvl>
              </c:multiLvlStrCache>
            </c:multiLvlStrRef>
          </c:cat>
          <c:val>
            <c:numRef>
              <c:f>'scenario calculations'!$P$6:$P$19</c:f>
              <c:numCache>
                <c:formatCode>0</c:formatCode>
                <c:ptCount val="14"/>
                <c:pt idx="1">
                  <c:v>1.6699999999999995</c:v>
                </c:pt>
                <c:pt idx="4">
                  <c:v>1.67</c:v>
                </c:pt>
                <c:pt idx="7">
                  <c:v>1.6699999999999995</c:v>
                </c:pt>
                <c:pt idx="10">
                  <c:v>0</c:v>
                </c:pt>
                <c:pt idx="1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18E-4060-B298-E221CB5594E5}"/>
            </c:ext>
          </c:extLst>
        </c:ser>
        <c:ser>
          <c:idx val="4"/>
          <c:order val="4"/>
          <c:tx>
            <c:strRef>
              <c:f>'scenario calculations'!$Q$5</c:f>
              <c:strCache>
                <c:ptCount val="1"/>
                <c:pt idx="0">
                  <c:v>Recommended intake</c:v>
                </c:pt>
              </c:strCache>
            </c:strRef>
          </c:tx>
          <c:spPr>
            <a:pattFill prst="dkUpDiag">
              <a:fgClr>
                <a:srgbClr val="C5153B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dLbls>
            <c:spPr>
              <a:solidFill>
                <a:srgbClr val="A6A6A6">
                  <a:alpha val="52941"/>
                </a:srgb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'scenario calculations'!$K$6:$L$18</c:f>
              <c:multiLvlStrCache>
                <c:ptCount val="13"/>
                <c:lvl>
                  <c:pt idx="0">
                    <c:v>IN</c:v>
                  </c:pt>
                  <c:pt idx="1">
                    <c:v>OUT</c:v>
                  </c:pt>
                  <c:pt idx="3">
                    <c:v>IN</c:v>
                  </c:pt>
                  <c:pt idx="4">
                    <c:v>OUT</c:v>
                  </c:pt>
                  <c:pt idx="6">
                    <c:v>IN</c:v>
                  </c:pt>
                  <c:pt idx="7">
                    <c:v>OUT</c:v>
                  </c:pt>
                  <c:pt idx="9">
                    <c:v>IN</c:v>
                  </c:pt>
                  <c:pt idx="10">
                    <c:v>OUT</c:v>
                  </c:pt>
                  <c:pt idx="12">
                    <c:v>IN</c:v>
                  </c:pt>
                </c:lvl>
                <c:lvl>
                  <c:pt idx="0">
                    <c:v>Baseline</c:v>
                  </c:pt>
                  <c:pt idx="3">
                    <c:v>Circularity</c:v>
                  </c:pt>
                  <c:pt idx="6">
                    <c:v>Efficiency </c:v>
                  </c:pt>
                  <c:pt idx="9">
                    <c:v>Sufficiency</c:v>
                  </c:pt>
                  <c:pt idx="12">
                    <c:v>ALL</c:v>
                  </c:pt>
                </c:lvl>
              </c:multiLvlStrCache>
            </c:multiLvlStrRef>
          </c:cat>
          <c:val>
            <c:numRef>
              <c:f>'scenario calculations'!$Q$6:$Q$19</c:f>
              <c:numCache>
                <c:formatCode>0</c:formatCode>
                <c:ptCount val="14"/>
                <c:pt idx="1">
                  <c:v>3.3000000000000003</c:v>
                </c:pt>
                <c:pt idx="4">
                  <c:v>3.3000000000000003</c:v>
                </c:pt>
                <c:pt idx="7">
                  <c:v>3.3000000000000003</c:v>
                </c:pt>
                <c:pt idx="10">
                  <c:v>3.3000000000000003</c:v>
                </c:pt>
                <c:pt idx="13">
                  <c:v>3.3000000000000003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18E-4060-B298-E221CB5594E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2"/>
        <c:overlap val="100"/>
        <c:axId val="928393360"/>
        <c:axId val="928392400"/>
      </c:barChart>
      <c:catAx>
        <c:axId val="928393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ova" panose="020B0504020202020204" pitchFamily="34" charset="0"/>
                <a:ea typeface="+mn-ea"/>
                <a:cs typeface="+mn-cs"/>
              </a:defRPr>
            </a:pPr>
            <a:endParaRPr lang="nl-BE"/>
          </a:p>
        </c:txPr>
        <c:crossAx val="928392400"/>
        <c:crosses val="autoZero"/>
        <c:auto val="1"/>
        <c:lblAlgn val="ctr"/>
        <c:lblOffset val="100"/>
        <c:noMultiLvlLbl val="0"/>
      </c:catAx>
      <c:valAx>
        <c:axId val="928392400"/>
        <c:scaling>
          <c:orientation val="minMax"/>
          <c:max val="2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 Nova" panose="020B0504020202020204" pitchFamily="34" charset="0"/>
                    <a:ea typeface="+mn-ea"/>
                    <a:cs typeface="+mn-cs"/>
                  </a:defRPr>
                </a:pPr>
                <a:r>
                  <a:rPr lang="nl-BE" b="1">
                    <a:latin typeface="Arial Nova" panose="020B0504020202020204" pitchFamily="34" charset="0"/>
                  </a:rPr>
                  <a:t>kgN</a:t>
                </a:r>
                <a:r>
                  <a:rPr lang="nl-BE" b="1" baseline="0">
                    <a:latin typeface="Arial Nova" panose="020B0504020202020204" pitchFamily="34" charset="0"/>
                  </a:rPr>
                  <a:t> cap </a:t>
                </a:r>
                <a:r>
                  <a:rPr lang="nl-BE" b="1" baseline="30000">
                    <a:latin typeface="Arial Nova" panose="020B0504020202020204" pitchFamily="34" charset="0"/>
                  </a:rPr>
                  <a:t>-1</a:t>
                </a:r>
                <a:r>
                  <a:rPr lang="nl-BE" b="1" baseline="0">
                    <a:latin typeface="Arial Nova" panose="020B0504020202020204" pitchFamily="34" charset="0"/>
                  </a:rPr>
                  <a:t> year</a:t>
                </a:r>
                <a:r>
                  <a:rPr lang="nl-BE" b="1" baseline="30000">
                    <a:latin typeface="Arial Nova" panose="020B0504020202020204" pitchFamily="34" charset="0"/>
                  </a:rPr>
                  <a:t>-1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 Nova" panose="020B0504020202020204" pitchFamily="34" charset="0"/>
                  <a:ea typeface="+mn-ea"/>
                  <a:cs typeface="+mn-cs"/>
                </a:defRPr>
              </a:pPr>
              <a:endParaRPr lang="nl-BE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Nova" panose="020B0504020202020204" pitchFamily="34" charset="0"/>
                <a:ea typeface="+mn-ea"/>
                <a:cs typeface="+mn-cs"/>
              </a:defRPr>
            </a:pPr>
            <a:endParaRPr lang="nl-BE"/>
          </a:p>
        </c:txPr>
        <c:crossAx val="928393360"/>
        <c:crosses val="autoZero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6854982255923068"/>
          <c:y val="2.964654846423237E-2"/>
          <c:w val="0.32093837674899967"/>
          <c:h val="0.2932238910234020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 Nova" panose="020B0504020202020204" pitchFamily="34" charset="0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1"/>
          <c:order val="0"/>
          <c:tx>
            <c:strRef>
              <c:f>'scenario calculations'!$N$23</c:f>
              <c:strCache>
                <c:ptCount val="1"/>
                <c:pt idx="0">
                  <c:v>Recovered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'scenario calculations'!$K$23:$L$36</c:f>
              <c:multiLvlStrCache>
                <c:ptCount val="14"/>
                <c:lvl>
                  <c:pt idx="1">
                    <c:v>Input</c:v>
                  </c:pt>
                  <c:pt idx="2">
                    <c:v>Output</c:v>
                  </c:pt>
                  <c:pt idx="4">
                    <c:v>Input</c:v>
                  </c:pt>
                  <c:pt idx="5">
                    <c:v>Output</c:v>
                  </c:pt>
                  <c:pt idx="7">
                    <c:v>Input</c:v>
                  </c:pt>
                  <c:pt idx="8">
                    <c:v>Output</c:v>
                  </c:pt>
                  <c:pt idx="10">
                    <c:v>Input</c:v>
                  </c:pt>
                  <c:pt idx="11">
                    <c:v>Output</c:v>
                  </c:pt>
                  <c:pt idx="13">
                    <c:v>Input</c:v>
                  </c:pt>
                </c:lvl>
                <c:lvl>
                  <c:pt idx="0">
                    <c:v>Baseline</c:v>
                  </c:pt>
                  <c:pt idx="3">
                    <c:v>Sc1: circularity</c:v>
                  </c:pt>
                  <c:pt idx="6">
                    <c:v>Sc2: efficiency </c:v>
                  </c:pt>
                  <c:pt idx="9">
                    <c:v>Sc3: sufficiency</c:v>
                  </c:pt>
                  <c:pt idx="12">
                    <c:v>ALL</c:v>
                  </c:pt>
                </c:lvl>
              </c:multiLvlStrCache>
            </c:multiLvlStrRef>
          </c:cat>
          <c:val>
            <c:numRef>
              <c:f>'scenario calculations'!$N$24:$N$37</c:f>
              <c:numCache>
                <c:formatCode>0%</c:formatCode>
                <c:ptCount val="14"/>
                <c:pt idx="0">
                  <c:v>0.35167206040992449</c:v>
                </c:pt>
                <c:pt idx="1">
                  <c:v>0.35167208109953479</c:v>
                </c:pt>
                <c:pt idx="3">
                  <c:v>0.63969795037756194</c:v>
                </c:pt>
                <c:pt idx="4">
                  <c:v>0.6396979880123439</c:v>
                </c:pt>
                <c:pt idx="6">
                  <c:v>0.31831852211702955</c:v>
                </c:pt>
                <c:pt idx="7">
                  <c:v>0.31831852211702955</c:v>
                </c:pt>
                <c:pt idx="9">
                  <c:v>0.35167206040992444</c:v>
                </c:pt>
                <c:pt idx="10">
                  <c:v>0.35167208109953479</c:v>
                </c:pt>
                <c:pt idx="12">
                  <c:v>0.63969795037756194</c:v>
                </c:pt>
                <c:pt idx="13">
                  <c:v>0.63969795037756194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DE-4936-A596-B222691A2843}"/>
            </c:ext>
          </c:extLst>
        </c:ser>
        <c:ser>
          <c:idx val="0"/>
          <c:order val="1"/>
          <c:tx>
            <c:strRef>
              <c:f>'scenario calculations'!$M$23</c:f>
              <c:strCache>
                <c:ptCount val="1"/>
                <c:pt idx="0">
                  <c:v>Primary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'scenario calculations'!$K$23:$L$36</c:f>
              <c:multiLvlStrCache>
                <c:ptCount val="14"/>
                <c:lvl>
                  <c:pt idx="1">
                    <c:v>Input</c:v>
                  </c:pt>
                  <c:pt idx="2">
                    <c:v>Output</c:v>
                  </c:pt>
                  <c:pt idx="4">
                    <c:v>Input</c:v>
                  </c:pt>
                  <c:pt idx="5">
                    <c:v>Output</c:v>
                  </c:pt>
                  <c:pt idx="7">
                    <c:v>Input</c:v>
                  </c:pt>
                  <c:pt idx="8">
                    <c:v>Output</c:v>
                  </c:pt>
                  <c:pt idx="10">
                    <c:v>Input</c:v>
                  </c:pt>
                  <c:pt idx="11">
                    <c:v>Output</c:v>
                  </c:pt>
                  <c:pt idx="13">
                    <c:v>Input</c:v>
                  </c:pt>
                </c:lvl>
                <c:lvl>
                  <c:pt idx="0">
                    <c:v>Baseline</c:v>
                  </c:pt>
                  <c:pt idx="3">
                    <c:v>Sc1: circularity</c:v>
                  </c:pt>
                  <c:pt idx="6">
                    <c:v>Sc2: efficiency </c:v>
                  </c:pt>
                  <c:pt idx="9">
                    <c:v>Sc3: sufficiency</c:v>
                  </c:pt>
                  <c:pt idx="12">
                    <c:v>ALL</c:v>
                  </c:pt>
                </c:lvl>
              </c:multiLvlStrCache>
            </c:multiLvlStrRef>
          </c:cat>
          <c:val>
            <c:numRef>
              <c:f>'scenario calculations'!$M$24:$M$37</c:f>
              <c:numCache>
                <c:formatCode>0%</c:formatCode>
                <c:ptCount val="14"/>
                <c:pt idx="0">
                  <c:v>0.64832793959007551</c:v>
                </c:pt>
                <c:pt idx="3">
                  <c:v>0.36030204962243806</c:v>
                </c:pt>
                <c:pt idx="6">
                  <c:v>0.68168147788297051</c:v>
                </c:pt>
                <c:pt idx="9">
                  <c:v>0.64832793959007551</c:v>
                </c:pt>
                <c:pt idx="12">
                  <c:v>0.36030204962243806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3DE-4936-A596-B222691A2843}"/>
            </c:ext>
          </c:extLst>
        </c:ser>
        <c:ser>
          <c:idx val="2"/>
          <c:order val="2"/>
          <c:tx>
            <c:strRef>
              <c:f>'scenario calculations'!$O$23</c:f>
              <c:strCache>
                <c:ptCount val="1"/>
                <c:pt idx="0">
                  <c:v>Losses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'scenario calculations'!$K$23:$L$36</c:f>
              <c:multiLvlStrCache>
                <c:ptCount val="14"/>
                <c:lvl>
                  <c:pt idx="1">
                    <c:v>Input</c:v>
                  </c:pt>
                  <c:pt idx="2">
                    <c:v>Output</c:v>
                  </c:pt>
                  <c:pt idx="4">
                    <c:v>Input</c:v>
                  </c:pt>
                  <c:pt idx="5">
                    <c:v>Output</c:v>
                  </c:pt>
                  <c:pt idx="7">
                    <c:v>Input</c:v>
                  </c:pt>
                  <c:pt idx="8">
                    <c:v>Output</c:v>
                  </c:pt>
                  <c:pt idx="10">
                    <c:v>Input</c:v>
                  </c:pt>
                  <c:pt idx="11">
                    <c:v>Output</c:v>
                  </c:pt>
                  <c:pt idx="13">
                    <c:v>Input</c:v>
                  </c:pt>
                </c:lvl>
                <c:lvl>
                  <c:pt idx="0">
                    <c:v>Baseline</c:v>
                  </c:pt>
                  <c:pt idx="3">
                    <c:v>Sc1: circularity</c:v>
                  </c:pt>
                  <c:pt idx="6">
                    <c:v>Sc2: efficiency </c:v>
                  </c:pt>
                  <c:pt idx="9">
                    <c:v>Sc3: sufficiency</c:v>
                  </c:pt>
                  <c:pt idx="12">
                    <c:v>ALL</c:v>
                  </c:pt>
                </c:lvl>
              </c:multiLvlStrCache>
            </c:multiLvlStrRef>
          </c:cat>
          <c:val>
            <c:numRef>
              <c:f>'scenario calculations'!$O$24:$O$37</c:f>
              <c:numCache>
                <c:formatCode>0%</c:formatCode>
                <c:ptCount val="14"/>
                <c:pt idx="1">
                  <c:v>0.42682373640229299</c:v>
                </c:pt>
                <c:pt idx="4">
                  <c:v>0.13879782948948385</c:v>
                </c:pt>
                <c:pt idx="7">
                  <c:v>0.38634258526081849</c:v>
                </c:pt>
                <c:pt idx="10">
                  <c:v>0.42682373640229293</c:v>
                </c:pt>
                <c:pt idx="13">
                  <c:v>6.4963157000286112E-2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3DE-4936-A596-B222691A2843}"/>
            </c:ext>
          </c:extLst>
        </c:ser>
        <c:ser>
          <c:idx val="3"/>
          <c:order val="3"/>
          <c:tx>
            <c:strRef>
              <c:f>'scenario calculations'!$P$23</c:f>
              <c:strCache>
                <c:ptCount val="1"/>
                <c:pt idx="0">
                  <c:v>Overconsumption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'scenario calculations'!$K$23:$L$36</c:f>
              <c:multiLvlStrCache>
                <c:ptCount val="14"/>
                <c:lvl>
                  <c:pt idx="1">
                    <c:v>Input</c:v>
                  </c:pt>
                  <c:pt idx="2">
                    <c:v>Output</c:v>
                  </c:pt>
                  <c:pt idx="4">
                    <c:v>Input</c:v>
                  </c:pt>
                  <c:pt idx="5">
                    <c:v>Output</c:v>
                  </c:pt>
                  <c:pt idx="7">
                    <c:v>Input</c:v>
                  </c:pt>
                  <c:pt idx="8">
                    <c:v>Output</c:v>
                  </c:pt>
                  <c:pt idx="10">
                    <c:v>Input</c:v>
                  </c:pt>
                  <c:pt idx="11">
                    <c:v>Output</c:v>
                  </c:pt>
                  <c:pt idx="13">
                    <c:v>Input</c:v>
                  </c:pt>
                </c:lvl>
                <c:lvl>
                  <c:pt idx="0">
                    <c:v>Baseline</c:v>
                  </c:pt>
                  <c:pt idx="3">
                    <c:v>Sc1: circularity</c:v>
                  </c:pt>
                  <c:pt idx="6">
                    <c:v>Sc2: efficiency </c:v>
                  </c:pt>
                  <c:pt idx="9">
                    <c:v>Sc3: sufficiency</c:v>
                  </c:pt>
                  <c:pt idx="12">
                    <c:v>ALL</c:v>
                  </c:pt>
                </c:lvl>
              </c:multiLvlStrCache>
            </c:multiLvlStrRef>
          </c:cat>
          <c:val>
            <c:numRef>
              <c:f>'scenario calculations'!$P$24:$P$37</c:f>
              <c:numCache>
                <c:formatCode>0%</c:formatCode>
                <c:ptCount val="14"/>
                <c:pt idx="1">
                  <c:v>7.4428970779063894E-2</c:v>
                </c:pt>
                <c:pt idx="4">
                  <c:v>7.4428970779063908E-2</c:v>
                </c:pt>
                <c:pt idx="7">
                  <c:v>9.923862186700072E-2</c:v>
                </c:pt>
                <c:pt idx="10">
                  <c:v>0</c:v>
                </c:pt>
                <c:pt idx="1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3DE-4936-A596-B222691A2843}"/>
            </c:ext>
          </c:extLst>
        </c:ser>
        <c:ser>
          <c:idx val="4"/>
          <c:order val="4"/>
          <c:tx>
            <c:strRef>
              <c:f>'scenario calculations'!$Q$23</c:f>
              <c:strCache>
                <c:ptCount val="1"/>
                <c:pt idx="0">
                  <c:v>Recommended intake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'scenario calculations'!$K$23:$L$36</c:f>
              <c:multiLvlStrCache>
                <c:ptCount val="14"/>
                <c:lvl>
                  <c:pt idx="1">
                    <c:v>Input</c:v>
                  </c:pt>
                  <c:pt idx="2">
                    <c:v>Output</c:v>
                  </c:pt>
                  <c:pt idx="4">
                    <c:v>Input</c:v>
                  </c:pt>
                  <c:pt idx="5">
                    <c:v>Output</c:v>
                  </c:pt>
                  <c:pt idx="7">
                    <c:v>Input</c:v>
                  </c:pt>
                  <c:pt idx="8">
                    <c:v>Output</c:v>
                  </c:pt>
                  <c:pt idx="10">
                    <c:v>Input</c:v>
                  </c:pt>
                  <c:pt idx="11">
                    <c:v>Output</c:v>
                  </c:pt>
                  <c:pt idx="13">
                    <c:v>Input</c:v>
                  </c:pt>
                </c:lvl>
                <c:lvl>
                  <c:pt idx="0">
                    <c:v>Baseline</c:v>
                  </c:pt>
                  <c:pt idx="3">
                    <c:v>Sc1: circularity</c:v>
                  </c:pt>
                  <c:pt idx="6">
                    <c:v>Sc2: efficiency </c:v>
                  </c:pt>
                  <c:pt idx="9">
                    <c:v>Sc3: sufficiency</c:v>
                  </c:pt>
                  <c:pt idx="12">
                    <c:v>ALL</c:v>
                  </c:pt>
                </c:lvl>
              </c:multiLvlStrCache>
            </c:multiLvlStrRef>
          </c:cat>
          <c:val>
            <c:numRef>
              <c:f>'scenario calculations'!$Q$24:$Q$37</c:f>
              <c:numCache>
                <c:formatCode>0%</c:formatCode>
                <c:ptCount val="14"/>
                <c:pt idx="1">
                  <c:v>0.14707521171910834</c:v>
                </c:pt>
                <c:pt idx="4">
                  <c:v>0.14707521171910834</c:v>
                </c:pt>
                <c:pt idx="7">
                  <c:v>0.19610027075515121</c:v>
                </c:pt>
                <c:pt idx="10">
                  <c:v>0.22150418249817222</c:v>
                </c:pt>
                <c:pt idx="13">
                  <c:v>0.29533889262215196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3DE-4936-A596-B222691A284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36"/>
        <c:overlap val="100"/>
        <c:axId val="21733648"/>
        <c:axId val="21739056"/>
      </c:barChart>
      <c:catAx>
        <c:axId val="21733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0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739056"/>
        <c:crosses val="autoZero"/>
        <c:auto val="1"/>
        <c:lblAlgn val="ctr"/>
        <c:lblOffset val="100"/>
        <c:noMultiLvlLbl val="0"/>
      </c:catAx>
      <c:valAx>
        <c:axId val="21739056"/>
        <c:scaling>
          <c:orientation val="minMax"/>
        </c:scaling>
        <c:delete val="0"/>
        <c:axPos val="l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7336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621981627296588"/>
          <c:y val="5.0331731869137496E-2"/>
          <c:w val="0.75362882764654415"/>
          <c:h val="0.84352199626385072"/>
        </c:manualLayout>
      </c:layout>
      <c:lineChart>
        <c:grouping val="standard"/>
        <c:varyColors val="0"/>
        <c:ser>
          <c:idx val="0"/>
          <c:order val="0"/>
          <c:tx>
            <c:strRef>
              <c:f>'NIF &amp; Recovery'!$A$2</c:f>
              <c:strCache>
                <c:ptCount val="1"/>
                <c:pt idx="0">
                  <c:v>NIF (i.e. 1/NUE)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'NIF &amp; Recovery'!$A$3:$A$9</c:f>
              <c:numCache>
                <c:formatCode>General</c:formatCode>
                <c:ptCount val="7"/>
                <c:pt idx="0">
                  <c:v>4</c:v>
                </c:pt>
                <c:pt idx="1">
                  <c:v>3.5</c:v>
                </c:pt>
                <c:pt idx="2">
                  <c:v>3</c:v>
                </c:pt>
                <c:pt idx="3">
                  <c:v>2.5</c:v>
                </c:pt>
                <c:pt idx="4">
                  <c:v>2</c:v>
                </c:pt>
                <c:pt idx="5">
                  <c:v>1.5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29-4EE2-A33C-8CD33162F96E}"/>
            </c:ext>
          </c:extLst>
        </c:ser>
        <c:ser>
          <c:idx val="1"/>
          <c:order val="1"/>
          <c:tx>
            <c:strRef>
              <c:f>'NIF &amp; Recovery'!$B$2</c:f>
              <c:strCache>
                <c:ptCount val="1"/>
                <c:pt idx="0">
                  <c:v>Production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'NIF &amp; Recovery'!$B$3:$B$9</c:f>
              <c:numCache>
                <c:formatCode>General</c:formatCode>
                <c:ptCount val="7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C29-4EE2-A33C-8CD33162F96E}"/>
            </c:ext>
          </c:extLst>
        </c:ser>
        <c:ser>
          <c:idx val="2"/>
          <c:order val="2"/>
          <c:tx>
            <c:strRef>
              <c:f>'NIF &amp; Recovery'!$C$2</c:f>
              <c:strCache>
                <c:ptCount val="1"/>
                <c:pt idx="0">
                  <c:v>Loss+recovery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'NIF &amp; Recovery'!$C$3:$C$9</c:f>
              <c:numCache>
                <c:formatCode>General</c:formatCode>
                <c:ptCount val="7"/>
                <c:pt idx="0">
                  <c:v>3</c:v>
                </c:pt>
                <c:pt idx="1">
                  <c:v>2.5</c:v>
                </c:pt>
                <c:pt idx="2">
                  <c:v>2</c:v>
                </c:pt>
                <c:pt idx="3">
                  <c:v>1.5</c:v>
                </c:pt>
                <c:pt idx="4">
                  <c:v>1</c:v>
                </c:pt>
                <c:pt idx="5">
                  <c:v>0.5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C29-4EE2-A33C-8CD33162F9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7061040"/>
        <c:axId val="523259456"/>
      </c:lineChart>
      <c:lineChart>
        <c:grouping val="standard"/>
        <c:varyColors val="0"/>
        <c:ser>
          <c:idx val="3"/>
          <c:order val="3"/>
          <c:tx>
            <c:strRef>
              <c:f>'NIF &amp; Recovery'!$D$2</c:f>
              <c:strCache>
                <c:ptCount val="1"/>
                <c:pt idx="0">
                  <c:v>% recoverable N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'NIF &amp; Recovery'!$D$3:$D$9</c:f>
              <c:numCache>
                <c:formatCode>0%</c:formatCode>
                <c:ptCount val="7"/>
                <c:pt idx="0">
                  <c:v>0.75</c:v>
                </c:pt>
                <c:pt idx="1">
                  <c:v>0.7142857142857143</c:v>
                </c:pt>
                <c:pt idx="2">
                  <c:v>0.66666666666666663</c:v>
                </c:pt>
                <c:pt idx="3">
                  <c:v>0.6</c:v>
                </c:pt>
                <c:pt idx="4">
                  <c:v>0.5</c:v>
                </c:pt>
                <c:pt idx="5">
                  <c:v>0.33333333333333331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C29-4EE2-A33C-8CD33162F9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80503072"/>
        <c:axId val="1880508064"/>
      </c:lineChart>
      <c:catAx>
        <c:axId val="287061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523259456"/>
        <c:crosses val="autoZero"/>
        <c:auto val="1"/>
        <c:lblAlgn val="ctr"/>
        <c:lblOffset val="100"/>
        <c:noMultiLvlLbl val="0"/>
      </c:catAx>
      <c:valAx>
        <c:axId val="52325945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nl-BE"/>
                  <a:t>NIF/ Production/ losses</a:t>
                </a:r>
                <a:r>
                  <a:rPr lang="nl-BE" baseline="0"/>
                  <a:t> + recovery [kg N]</a:t>
                </a:r>
                <a:endParaRPr lang="nl-BE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l-B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87061040"/>
        <c:crosses val="autoZero"/>
        <c:crossBetween val="between"/>
      </c:valAx>
      <c:valAx>
        <c:axId val="1880508064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 recovery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l-BE"/>
            </a:p>
          </c:txPr>
        </c:title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880503072"/>
        <c:crosses val="max"/>
        <c:crossBetween val="between"/>
      </c:valAx>
      <c:catAx>
        <c:axId val="1880503072"/>
        <c:scaling>
          <c:orientation val="minMax"/>
        </c:scaling>
        <c:delete val="1"/>
        <c:axPos val="b"/>
        <c:majorTickMark val="out"/>
        <c:minorTickMark val="none"/>
        <c:tickLblPos val="nextTo"/>
        <c:crossAx val="188050806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487423447069121"/>
          <c:y val="6.1883891143668809E-2"/>
          <c:w val="0.24123687664041996"/>
          <c:h val="0.3088559709034311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434340</xdr:colOff>
      <xdr:row>3</xdr:row>
      <xdr:rowOff>116046</xdr:rowOff>
    </xdr:from>
    <xdr:to>
      <xdr:col>30</xdr:col>
      <xdr:colOff>286703</xdr:colOff>
      <xdr:row>19</xdr:row>
      <xdr:rowOff>144780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A33C084-E966-4E54-B591-3572964738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63817</xdr:colOff>
      <xdr:row>23</xdr:row>
      <xdr:rowOff>112395</xdr:rowOff>
    </xdr:from>
    <xdr:to>
      <xdr:col>30</xdr:col>
      <xdr:colOff>188595</xdr:colOff>
      <xdr:row>44</xdr:row>
      <xdr:rowOff>36195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A71DA3A-FC92-4889-B30E-F2D675EAE4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135255</xdr:colOff>
      <xdr:row>3</xdr:row>
      <xdr:rowOff>25717</xdr:rowOff>
    </xdr:from>
    <xdr:to>
      <xdr:col>12</xdr:col>
      <xdr:colOff>440055</xdr:colOff>
      <xdr:row>18</xdr:row>
      <xdr:rowOff>58102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86D561D-7C10-4969-B7AE-9032C0B3DC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46751-B484-4406-B70D-C7CAC0E09667}">
  <dimension ref="A1:AK51"/>
  <sheetViews>
    <sheetView tabSelected="1" zoomScale="115" zoomScaleNormal="115" workbookViewId="0">
      <pane xSplit="2" ySplit="3" topLeftCell="R4" activePane="bottomRight" state="frozen"/>
      <selection pane="topRight" activeCell="D1" sqref="D1"/>
      <selection pane="bottomLeft" activeCell="A3" sqref="A3"/>
      <selection pane="bottomRight" activeCell="W18" sqref="W18"/>
    </sheetView>
  </sheetViews>
  <sheetFormatPr defaultRowHeight="14.4" x14ac:dyDescent="0.3"/>
  <cols>
    <col min="1" max="1" width="34.21875" customWidth="1"/>
    <col min="2" max="2" width="12" style="2" customWidth="1"/>
    <col min="3" max="4" width="11" style="2" customWidth="1"/>
    <col min="5" max="6" width="11" bestFit="1" customWidth="1"/>
    <col min="7" max="7" width="11.21875" customWidth="1"/>
    <col min="8" max="8" width="11" bestFit="1" customWidth="1"/>
    <col min="9" max="9" width="7.77734375" customWidth="1"/>
    <col min="10" max="10" width="7.21875" customWidth="1"/>
    <col min="12" max="12" width="9.5546875" customWidth="1"/>
    <col min="14" max="15" width="10.5546875" customWidth="1"/>
    <col min="16" max="16" width="13.6640625" customWidth="1"/>
    <col min="17" max="17" width="13.77734375" customWidth="1"/>
    <col min="33" max="33" width="14" customWidth="1"/>
    <col min="16370" max="16370" width="8.77734375" bestFit="1" customWidth="1"/>
    <col min="16371" max="16384" width="8.77734375" customWidth="1"/>
  </cols>
  <sheetData>
    <row r="1" spans="1:37" s="1" customFormat="1" x14ac:dyDescent="0.3">
      <c r="A1" s="1" t="s">
        <v>0</v>
      </c>
      <c r="B1" s="2"/>
      <c r="C1" s="2"/>
      <c r="D1" s="2"/>
      <c r="E1" s="1" t="s">
        <v>1</v>
      </c>
      <c r="F1" s="1" t="s">
        <v>2</v>
      </c>
      <c r="G1" s="1" t="s">
        <v>3</v>
      </c>
      <c r="I1" s="32"/>
    </row>
    <row r="2" spans="1:37" x14ac:dyDescent="0.3">
      <c r="A2" s="3" t="s">
        <v>4</v>
      </c>
      <c r="B2" s="4" t="s">
        <v>5</v>
      </c>
      <c r="C2" s="4" t="s">
        <v>6</v>
      </c>
      <c r="D2" s="4" t="s">
        <v>7</v>
      </c>
      <c r="E2" s="34"/>
      <c r="F2" s="34"/>
      <c r="G2" s="34"/>
      <c r="H2" s="34"/>
      <c r="I2" s="33"/>
    </row>
    <row r="3" spans="1:37" x14ac:dyDescent="0.3">
      <c r="E3" s="5" t="s">
        <v>8</v>
      </c>
      <c r="F3" s="5" t="s">
        <v>9</v>
      </c>
      <c r="G3" s="5" t="s">
        <v>10</v>
      </c>
      <c r="H3" s="5" t="s">
        <v>11</v>
      </c>
      <c r="I3" s="33"/>
    </row>
    <row r="4" spans="1:37" ht="18" x14ac:dyDescent="0.35">
      <c r="A4" s="20" t="s">
        <v>12</v>
      </c>
      <c r="B4" s="21">
        <f>B5+B8</f>
        <v>92.7</v>
      </c>
      <c r="C4" s="21">
        <f>C5+C8</f>
        <v>92.7</v>
      </c>
      <c r="D4" s="22">
        <f>D11*D16+D13*D17</f>
        <v>22.437500892050249</v>
      </c>
      <c r="E4" s="23">
        <f>(E10+E11)*E16+(E12+E13)*E17</f>
        <v>16.828125669037686</v>
      </c>
      <c r="F4" s="24">
        <f>D4</f>
        <v>22.437500892050249</v>
      </c>
      <c r="G4" s="23">
        <f>G11*G16+G13*G17</f>
        <v>14.898139425304995</v>
      </c>
      <c r="H4" s="23">
        <f>(H10+H11)*H16+(H12+H13)*H17</f>
        <v>11.173604568978746</v>
      </c>
      <c r="K4" s="35" t="s">
        <v>13</v>
      </c>
      <c r="L4" s="35"/>
      <c r="M4" s="35"/>
      <c r="N4" s="35"/>
      <c r="O4" s="35"/>
      <c r="P4" s="35"/>
      <c r="Q4" s="8"/>
      <c r="R4" s="8"/>
    </row>
    <row r="5" spans="1:37" x14ac:dyDescent="0.3">
      <c r="A5" s="20" t="s">
        <v>18</v>
      </c>
      <c r="B5" s="21">
        <v>60.1</v>
      </c>
      <c r="C5" s="21">
        <v>60.1</v>
      </c>
      <c r="D5" s="22">
        <f>D4-D8</f>
        <v>14.546858722893418</v>
      </c>
      <c r="E5" s="23">
        <f>E4-E8</f>
        <v>11.471421576069961</v>
      </c>
      <c r="F5" s="24">
        <f>F4-F8</f>
        <v>8.0842775598109871</v>
      </c>
      <c r="G5" s="23">
        <f>G4-G8</f>
        <v>9.6588800373336596</v>
      </c>
      <c r="H5" s="23">
        <f>H4-H8</f>
        <v>4.0258726278736807</v>
      </c>
      <c r="M5" t="s">
        <v>19</v>
      </c>
      <c r="N5" t="s">
        <v>14</v>
      </c>
      <c r="O5" t="s">
        <v>15</v>
      </c>
      <c r="P5" t="s">
        <v>17</v>
      </c>
      <c r="Q5" t="s">
        <v>16</v>
      </c>
      <c r="R5" t="s">
        <v>20</v>
      </c>
      <c r="AH5" s="9"/>
      <c r="AI5" s="9"/>
      <c r="AJ5" s="9"/>
      <c r="AK5" s="9"/>
    </row>
    <row r="6" spans="1:37" x14ac:dyDescent="0.3">
      <c r="A6" s="20" t="s">
        <v>21</v>
      </c>
      <c r="B6" s="22">
        <f>27.9+10.6</f>
        <v>38.5</v>
      </c>
      <c r="C6" s="22">
        <f>(B11+B13)-(C11+C13)+B6</f>
        <v>40.630000000000003</v>
      </c>
      <c r="D6" s="22">
        <f>$C6*($D$4/$C$4)-0.2574</f>
        <v>9.5768574028479136</v>
      </c>
      <c r="E6" s="23">
        <f>D6/(D8+D6)*(E4-E10-E11-E12-E13)</f>
        <v>6.5014215760699603</v>
      </c>
      <c r="F6" s="23">
        <f>D6-(D7-D8)</f>
        <v>3.1142762397654815</v>
      </c>
      <c r="G6" s="23">
        <f>($D6/$D4)*G4</f>
        <v>6.3588791608446913</v>
      </c>
      <c r="H6" s="23">
        <f>H4-H8-H11-H13</f>
        <v>0.72587262787368045</v>
      </c>
      <c r="K6" t="s">
        <v>5</v>
      </c>
      <c r="L6" t="s">
        <v>22</v>
      </c>
      <c r="M6" s="11">
        <f>D5</f>
        <v>14.546858722893418</v>
      </c>
      <c r="N6" s="11">
        <f>D8</f>
        <v>7.8906421691568296</v>
      </c>
      <c r="O6" s="11"/>
      <c r="R6" s="11">
        <f>M6+N6</f>
        <v>22.437500892050249</v>
      </c>
      <c r="AH6" s="9"/>
      <c r="AI6" s="9"/>
      <c r="AJ6" s="9"/>
      <c r="AK6" s="9"/>
    </row>
    <row r="7" spans="1:37" x14ac:dyDescent="0.3">
      <c r="A7" s="20" t="s">
        <v>23</v>
      </c>
      <c r="B7" s="21">
        <v>59.3</v>
      </c>
      <c r="C7" s="21">
        <v>59.3</v>
      </c>
      <c r="D7" s="22">
        <f>$C7*($D$4/$C$4)</f>
        <v>14.353223332239262</v>
      </c>
      <c r="E7" s="20"/>
      <c r="F7" s="20"/>
      <c r="G7" s="23">
        <f>(D7/D4)*G4</f>
        <v>9.5303092548067543</v>
      </c>
      <c r="H7" s="23">
        <f>($D7/$D4)*H4</f>
        <v>7.1477319411050653</v>
      </c>
      <c r="J7" s="10"/>
      <c r="L7" t="s">
        <v>24</v>
      </c>
      <c r="M7" s="11"/>
      <c r="N7" s="11">
        <f>D8</f>
        <v>7.8906421691568296</v>
      </c>
      <c r="O7" s="11">
        <f>D6</f>
        <v>9.5768574028479136</v>
      </c>
      <c r="P7" s="11">
        <f>(D11+D13)-(G11+G13)</f>
        <v>1.6699999999999995</v>
      </c>
      <c r="Q7" s="11">
        <f>G11+G13</f>
        <v>3.3000000000000003</v>
      </c>
      <c r="R7" s="11">
        <f>N7+O7+P7+Q7</f>
        <v>22.437499572004743</v>
      </c>
      <c r="AH7" s="9"/>
      <c r="AI7" s="9"/>
      <c r="AJ7" s="9"/>
      <c r="AK7" s="9"/>
    </row>
    <row r="8" spans="1:37" x14ac:dyDescent="0.3">
      <c r="A8" s="20" t="s">
        <v>25</v>
      </c>
      <c r="B8" s="21">
        <v>32.6</v>
      </c>
      <c r="C8" s="21">
        <v>32.6</v>
      </c>
      <c r="D8" s="22">
        <f>$C8*($D$4/$C$4)</f>
        <v>7.8906421691568296</v>
      </c>
      <c r="E8" s="24">
        <f>D8/(D8+D6)*(E4-E10-E11-E12-E13)</f>
        <v>5.3567040929677248</v>
      </c>
      <c r="F8" s="24">
        <f>D7</f>
        <v>14.353223332239262</v>
      </c>
      <c r="G8" s="24">
        <f>(G4/$D$4)*$D$8</f>
        <v>5.2392593879713356</v>
      </c>
      <c r="H8" s="23">
        <f>H7</f>
        <v>7.1477319411050653</v>
      </c>
      <c r="P8" s="11"/>
      <c r="Q8" s="11"/>
      <c r="AH8" s="9"/>
      <c r="AI8" s="9"/>
      <c r="AJ8" s="9"/>
      <c r="AK8" s="9"/>
    </row>
    <row r="9" spans="1:37" x14ac:dyDescent="0.3">
      <c r="A9" s="20" t="s">
        <v>26</v>
      </c>
      <c r="B9" s="22">
        <f>B4*B24</f>
        <v>0</v>
      </c>
      <c r="C9" s="22">
        <f>C10+C11+C12+C13</f>
        <v>19.47</v>
      </c>
      <c r="D9" s="22"/>
      <c r="E9" s="20"/>
      <c r="F9" s="20"/>
      <c r="G9" s="20"/>
      <c r="H9" s="20"/>
      <c r="J9" s="10"/>
      <c r="K9" t="s">
        <v>9</v>
      </c>
      <c r="L9" t="s">
        <v>22</v>
      </c>
      <c r="M9" s="11">
        <f>F5</f>
        <v>8.0842775598109871</v>
      </c>
      <c r="N9" s="11">
        <f>F8</f>
        <v>14.353223332239262</v>
      </c>
      <c r="O9" s="11"/>
      <c r="P9" s="11"/>
      <c r="Q9" s="11"/>
      <c r="R9" s="11">
        <f>M9+N9</f>
        <v>22.437500892050249</v>
      </c>
      <c r="AH9" s="9"/>
      <c r="AI9" s="9"/>
      <c r="AJ9" s="9"/>
      <c r="AK9" s="9"/>
    </row>
    <row r="10" spans="1:37" x14ac:dyDescent="0.3">
      <c r="A10" s="20" t="s">
        <v>27</v>
      </c>
      <c r="B10" s="22">
        <v>5.3</v>
      </c>
      <c r="C10" s="22">
        <f>B10</f>
        <v>5.3</v>
      </c>
      <c r="D10" s="21">
        <v>0</v>
      </c>
      <c r="E10" s="20">
        <v>0</v>
      </c>
      <c r="F10" s="20">
        <v>0</v>
      </c>
      <c r="G10" s="20">
        <v>0</v>
      </c>
      <c r="H10" s="20">
        <v>0</v>
      </c>
      <c r="L10" t="s">
        <v>24</v>
      </c>
      <c r="M10" s="11"/>
      <c r="N10" s="11">
        <f>F8</f>
        <v>14.353223332239262</v>
      </c>
      <c r="O10" s="11">
        <f>F6</f>
        <v>3.1142762397654815</v>
      </c>
      <c r="P10" s="11">
        <f>F11+F13-G11-G13</f>
        <v>1.67</v>
      </c>
      <c r="Q10" s="11">
        <f>G11+G13</f>
        <v>3.3000000000000003</v>
      </c>
      <c r="R10" s="11">
        <f>N10+O10+P10+Q10</f>
        <v>22.437499572004743</v>
      </c>
    </row>
    <row r="11" spans="1:37" x14ac:dyDescent="0.3">
      <c r="A11" s="20" t="s">
        <v>28</v>
      </c>
      <c r="B11" s="22">
        <v>2</v>
      </c>
      <c r="C11" s="22">
        <f>B11-(B11*0.3)</f>
        <v>1.4</v>
      </c>
      <c r="D11" s="22">
        <f>C11</f>
        <v>1.4</v>
      </c>
      <c r="E11" s="24">
        <f>$D11</f>
        <v>1.4</v>
      </c>
      <c r="F11" s="24">
        <f>$D11</f>
        <v>1.4</v>
      </c>
      <c r="G11" s="24">
        <f>$F$11*(1-$B$22)</f>
        <v>0.92957746478873238</v>
      </c>
      <c r="H11" s="24">
        <f>$F$11*(1-$B$22)</f>
        <v>0.92957746478873238</v>
      </c>
      <c r="J11" s="10"/>
      <c r="P11" s="11"/>
      <c r="Q11" s="11"/>
    </row>
    <row r="12" spans="1:37" x14ac:dyDescent="0.3">
      <c r="A12" s="20" t="s">
        <v>29</v>
      </c>
      <c r="B12" s="22">
        <v>9.1999999999999993</v>
      </c>
      <c r="C12" s="22">
        <f>B12</f>
        <v>9.1999999999999993</v>
      </c>
      <c r="D12" s="21">
        <v>0</v>
      </c>
      <c r="E12" s="20">
        <f>D12</f>
        <v>0</v>
      </c>
      <c r="F12" s="20">
        <v>0</v>
      </c>
      <c r="G12" s="20">
        <v>0</v>
      </c>
      <c r="H12" s="20">
        <v>0</v>
      </c>
      <c r="K12" t="s">
        <v>31</v>
      </c>
      <c r="L12" t="s">
        <v>22</v>
      </c>
      <c r="M12" s="11">
        <f>E5</f>
        <v>11.471421576069961</v>
      </c>
      <c r="N12" s="11">
        <f>E8</f>
        <v>5.3567040929677248</v>
      </c>
      <c r="O12" s="11"/>
      <c r="P12" s="11"/>
      <c r="Q12" s="11"/>
      <c r="R12" s="11">
        <f>M12+N12</f>
        <v>16.828125669037686</v>
      </c>
    </row>
    <row r="13" spans="1:37" ht="15" thickBot="1" x14ac:dyDescent="0.35">
      <c r="A13" s="20" t="s">
        <v>32</v>
      </c>
      <c r="B13" s="22">
        <v>5.0999999999999996</v>
      </c>
      <c r="C13" s="22">
        <f>B13-(B13*0.3)</f>
        <v>3.57</v>
      </c>
      <c r="D13" s="22">
        <f>C13</f>
        <v>3.57</v>
      </c>
      <c r="E13" s="24">
        <f>$D13</f>
        <v>3.57</v>
      </c>
      <c r="F13" s="24">
        <f t="shared" ref="F13" si="0">$D13</f>
        <v>3.57</v>
      </c>
      <c r="G13" s="24">
        <f>$F$13*(1-$B$22)</f>
        <v>2.3704225352112678</v>
      </c>
      <c r="H13" s="24">
        <f>$F$13*(1-$B$22)</f>
        <v>2.3704225352112678</v>
      </c>
      <c r="J13" s="10"/>
      <c r="L13" t="s">
        <v>24</v>
      </c>
      <c r="M13" s="11"/>
      <c r="N13" s="11">
        <f>E8</f>
        <v>5.3567040929677248</v>
      </c>
      <c r="O13" s="11">
        <f>E6</f>
        <v>6.5014215760699603</v>
      </c>
      <c r="P13" s="11">
        <f>(D11+D13)-(G11+G13)</f>
        <v>1.6699999999999995</v>
      </c>
      <c r="Q13" s="11">
        <f>G11+G13</f>
        <v>3.3000000000000003</v>
      </c>
      <c r="R13" s="11">
        <f>N13+O13+P13+Q13</f>
        <v>16.828125669037686</v>
      </c>
    </row>
    <row r="14" spans="1:37" ht="15" thickBot="1" x14ac:dyDescent="0.35">
      <c r="A14" s="25" t="s">
        <v>33</v>
      </c>
      <c r="B14" s="26">
        <f>B4-(B13+B12+B11+B10+B8+B6)</f>
        <v>0</v>
      </c>
      <c r="C14" s="26">
        <f>C4-(C9+C8+C6)</f>
        <v>0</v>
      </c>
      <c r="D14" s="26">
        <f>D4-(D13+D12+D11+D10+D8+D6)</f>
        <v>1.3200455057926774E-6</v>
      </c>
      <c r="E14" s="26">
        <f>E4-(E13+E12+E11+E10+E8+E6)</f>
        <v>0</v>
      </c>
      <c r="F14" s="26">
        <f>F4-(F13+F12+F11+F10+F8+F6)</f>
        <v>1.3200455057926774E-6</v>
      </c>
      <c r="G14" s="26">
        <f>G4-(G13+G12+G11+G10+G8+G6)</f>
        <v>8.7648896673897525E-7</v>
      </c>
      <c r="H14" s="26">
        <f>H4-(H13+H12+H11+H10+H8+H6)</f>
        <v>0</v>
      </c>
      <c r="P14" s="11"/>
      <c r="Q14" s="11"/>
      <c r="AK14" s="9"/>
    </row>
    <row r="15" spans="1:37" x14ac:dyDescent="0.3">
      <c r="A15" s="20"/>
      <c r="B15" s="27"/>
      <c r="C15" s="28"/>
      <c r="D15" s="27"/>
      <c r="E15" s="20"/>
      <c r="F15" s="20"/>
      <c r="G15" s="20"/>
      <c r="H15" s="20"/>
      <c r="J15" s="10"/>
      <c r="K15" t="s">
        <v>10</v>
      </c>
      <c r="L15" t="s">
        <v>22</v>
      </c>
      <c r="M15" s="11">
        <f>G5</f>
        <v>9.6588800373336596</v>
      </c>
      <c r="N15" s="11">
        <f>G8</f>
        <v>5.2392593879713356</v>
      </c>
      <c r="O15" s="11"/>
      <c r="P15" s="11"/>
      <c r="Q15" s="11"/>
      <c r="R15" s="11">
        <f>M15+N15</f>
        <v>14.898139425304995</v>
      </c>
      <c r="AK15" s="9"/>
    </row>
    <row r="16" spans="1:37" x14ac:dyDescent="0.3">
      <c r="A16" s="20" t="s">
        <v>34</v>
      </c>
      <c r="B16" s="22">
        <v>1.6690510252742008</v>
      </c>
      <c r="C16" s="22">
        <f>$B$16</f>
        <v>1.6690510252742008</v>
      </c>
      <c r="D16" s="29">
        <f>B16</f>
        <v>1.6690510252742008</v>
      </c>
      <c r="E16" s="30">
        <f>D16*0.75</f>
        <v>1.2517882689556505</v>
      </c>
      <c r="F16" s="23">
        <f>$B16</f>
        <v>1.6690510252742008</v>
      </c>
      <c r="G16" s="23">
        <f>$D16</f>
        <v>1.6690510252742008</v>
      </c>
      <c r="H16" s="30">
        <f>E16</f>
        <v>1.2517882689556505</v>
      </c>
      <c r="L16" t="s">
        <v>24</v>
      </c>
      <c r="M16" s="11"/>
      <c r="N16" s="11">
        <f>G8</f>
        <v>5.2392593879713356</v>
      </c>
      <c r="O16" s="11">
        <f>G6</f>
        <v>6.3588791608446913</v>
      </c>
      <c r="P16" s="11">
        <f>G11+G13-G11-G13</f>
        <v>0</v>
      </c>
      <c r="Q16" s="11">
        <f>G11+G13</f>
        <v>3.3000000000000003</v>
      </c>
      <c r="R16" s="11">
        <f>N16+O16+P16+Q16</f>
        <v>14.898138548816029</v>
      </c>
    </row>
    <row r="17" spans="1:18" x14ac:dyDescent="0.3">
      <c r="A17" s="20" t="s">
        <v>35</v>
      </c>
      <c r="B17" s="31">
        <f>(B4-B16*(B10+B11))/(B12+B13)</f>
        <v>5.6304844416432402</v>
      </c>
      <c r="C17" s="22">
        <f>$B$17</f>
        <v>5.6304844416432402</v>
      </c>
      <c r="D17" s="31">
        <f>B17</f>
        <v>5.6304844416432402</v>
      </c>
      <c r="E17" s="30">
        <f>(D17/D16)*E16</f>
        <v>4.2228633312324302</v>
      </c>
      <c r="F17" s="23">
        <f>$B17</f>
        <v>5.6304844416432402</v>
      </c>
      <c r="G17" s="24">
        <f>$D17</f>
        <v>5.6304844416432402</v>
      </c>
      <c r="H17" s="30">
        <f>E17</f>
        <v>4.2228633312324302</v>
      </c>
      <c r="P17" s="11"/>
      <c r="Q17" s="11"/>
    </row>
    <row r="18" spans="1:18" x14ac:dyDescent="0.3">
      <c r="K18" t="s">
        <v>11</v>
      </c>
      <c r="L18" t="s">
        <v>22</v>
      </c>
      <c r="M18" s="11">
        <f>H5</f>
        <v>4.0258726278736807</v>
      </c>
      <c r="N18" s="11">
        <f>H8</f>
        <v>7.1477319411050653</v>
      </c>
      <c r="O18" s="11"/>
      <c r="P18" s="11"/>
      <c r="Q18" s="11"/>
      <c r="R18" s="11">
        <f>M18+N18</f>
        <v>11.173604568978746</v>
      </c>
    </row>
    <row r="19" spans="1:18" x14ac:dyDescent="0.3">
      <c r="B19" s="6"/>
      <c r="C19" s="6"/>
      <c r="D19" s="6"/>
      <c r="L19" t="s">
        <v>24</v>
      </c>
      <c r="M19" s="11"/>
      <c r="N19" s="11">
        <f>H8</f>
        <v>7.1477319411050653</v>
      </c>
      <c r="O19" s="11">
        <f>H6</f>
        <v>0.72587262787368045</v>
      </c>
      <c r="P19" s="11">
        <f>G11+G13-H11-H13</f>
        <v>0</v>
      </c>
      <c r="Q19" s="11">
        <f>G11+G13</f>
        <v>3.3000000000000003</v>
      </c>
      <c r="R19" s="11">
        <f>N19+O19+P19+Q19</f>
        <v>11.173604568978746</v>
      </c>
    </row>
    <row r="20" spans="1:18" x14ac:dyDescent="0.3">
      <c r="A20" t="s">
        <v>40</v>
      </c>
      <c r="B20" s="14">
        <f>C11+C13</f>
        <v>4.97</v>
      </c>
    </row>
    <row r="21" spans="1:18" x14ac:dyDescent="0.3">
      <c r="A21" t="s">
        <v>41</v>
      </c>
      <c r="B21" s="2">
        <v>3.3</v>
      </c>
      <c r="C21" s="7"/>
      <c r="D21" s="7"/>
      <c r="E21" s="7"/>
      <c r="F21" s="7"/>
      <c r="G21" s="7"/>
      <c r="H21" s="7"/>
    </row>
    <row r="22" spans="1:18" x14ac:dyDescent="0.3">
      <c r="A22" t="s">
        <v>42</v>
      </c>
      <c r="B22" s="19">
        <f>1-(B21/B20)</f>
        <v>0.33601609657947684</v>
      </c>
      <c r="C22" s="14"/>
      <c r="D22" s="14"/>
      <c r="E22" s="14"/>
      <c r="F22" s="14"/>
      <c r="G22" s="14"/>
      <c r="H22" s="14"/>
    </row>
    <row r="23" spans="1:18" x14ac:dyDescent="0.3">
      <c r="B23" s="18"/>
      <c r="C23" s="15"/>
      <c r="K23" t="s">
        <v>5</v>
      </c>
      <c r="M23" t="s">
        <v>19</v>
      </c>
      <c r="N23" t="s">
        <v>14</v>
      </c>
      <c r="O23" t="s">
        <v>15</v>
      </c>
      <c r="P23" t="s">
        <v>17</v>
      </c>
      <c r="Q23" t="s">
        <v>16</v>
      </c>
      <c r="R23" t="s">
        <v>20</v>
      </c>
    </row>
    <row r="24" spans="1:18" x14ac:dyDescent="0.3">
      <c r="B24" s="18"/>
      <c r="C24" s="15"/>
      <c r="L24" t="s">
        <v>36</v>
      </c>
      <c r="M24" s="10">
        <f>M6/$R6</f>
        <v>0.64832793959007551</v>
      </c>
      <c r="N24" s="10">
        <f>N6/$R6</f>
        <v>0.35167206040992449</v>
      </c>
      <c r="O24" s="10"/>
      <c r="P24" s="10"/>
      <c r="Q24" s="10"/>
      <c r="R24" s="13">
        <f>R6</f>
        <v>22.437500892050249</v>
      </c>
    </row>
    <row r="25" spans="1:18" x14ac:dyDescent="0.3">
      <c r="B25" s="14"/>
      <c r="C25" s="14"/>
      <c r="L25" t="s">
        <v>37</v>
      </c>
      <c r="M25" s="10"/>
      <c r="N25" s="10">
        <f>N7/$R7</f>
        <v>0.35167208109953479</v>
      </c>
      <c r="O25" s="10">
        <f>O7/$R7</f>
        <v>0.42682373640229299</v>
      </c>
      <c r="P25" s="10">
        <f>P7/$R7</f>
        <v>7.4428970779063894E-2</v>
      </c>
      <c r="Q25" s="10">
        <f>Q7/$R7</f>
        <v>0.14707521171910834</v>
      </c>
      <c r="R25" s="13">
        <f>R7</f>
        <v>22.437499572004743</v>
      </c>
    </row>
    <row r="26" spans="1:18" x14ac:dyDescent="0.3">
      <c r="K26" t="s">
        <v>38</v>
      </c>
    </row>
    <row r="27" spans="1:18" x14ac:dyDescent="0.3">
      <c r="L27" t="s">
        <v>36</v>
      </c>
      <c r="M27" s="10">
        <f>M9/$R9</f>
        <v>0.36030204962243806</v>
      </c>
      <c r="N27" s="10">
        <f>N9/$R9</f>
        <v>0.63969795037756194</v>
      </c>
      <c r="O27" s="10"/>
      <c r="P27" s="10"/>
      <c r="Q27" s="10"/>
      <c r="R27" s="13">
        <f>R9</f>
        <v>22.437500892050249</v>
      </c>
    </row>
    <row r="28" spans="1:18" x14ac:dyDescent="0.3">
      <c r="C28" s="6"/>
      <c r="L28" t="s">
        <v>37</v>
      </c>
      <c r="M28" s="10"/>
      <c r="N28" s="10">
        <f>N10/$R10</f>
        <v>0.6396979880123439</v>
      </c>
      <c r="O28" s="10">
        <f>O10/$R10</f>
        <v>0.13879782948948385</v>
      </c>
      <c r="P28" s="10">
        <f>P10/$R10</f>
        <v>7.4428970779063908E-2</v>
      </c>
      <c r="Q28" s="10">
        <f>Q10/$R10</f>
        <v>0.14707521171910834</v>
      </c>
      <c r="R28" s="13">
        <f>R10</f>
        <v>22.437499572004743</v>
      </c>
    </row>
    <row r="29" spans="1:18" x14ac:dyDescent="0.3">
      <c r="C29" s="6"/>
      <c r="K29" t="s">
        <v>39</v>
      </c>
    </row>
    <row r="30" spans="1:18" x14ac:dyDescent="0.3">
      <c r="C30" s="6"/>
      <c r="L30" t="s">
        <v>36</v>
      </c>
      <c r="M30" s="10">
        <f>M12/$R12</f>
        <v>0.68168147788297051</v>
      </c>
      <c r="N30" s="10">
        <f>N12/$R12</f>
        <v>0.31831852211702955</v>
      </c>
      <c r="O30" s="10"/>
      <c r="P30" s="10"/>
      <c r="Q30" s="10"/>
      <c r="R30" s="13">
        <f>R12</f>
        <v>16.828125669037686</v>
      </c>
    </row>
    <row r="31" spans="1:18" x14ac:dyDescent="0.3">
      <c r="B31" s="6"/>
      <c r="C31" s="6"/>
      <c r="L31" t="s">
        <v>37</v>
      </c>
      <c r="M31" s="10"/>
      <c r="N31" s="10">
        <f>N13/$R13</f>
        <v>0.31831852211702955</v>
      </c>
      <c r="O31" s="10">
        <f>O13/$R13</f>
        <v>0.38634258526081849</v>
      </c>
      <c r="P31" s="10">
        <f>P13/$R13</f>
        <v>9.923862186700072E-2</v>
      </c>
      <c r="Q31" s="10">
        <f>Q13/$R13</f>
        <v>0.19610027075515121</v>
      </c>
      <c r="R31" s="13">
        <f>R13</f>
        <v>16.828125669037686</v>
      </c>
    </row>
    <row r="32" spans="1:18" x14ac:dyDescent="0.3">
      <c r="B32" s="6"/>
      <c r="C32" s="6"/>
      <c r="K32" t="s">
        <v>30</v>
      </c>
    </row>
    <row r="33" spans="2:37" x14ac:dyDescent="0.3">
      <c r="B33" s="12"/>
      <c r="C33" s="12"/>
      <c r="L33" t="s">
        <v>36</v>
      </c>
      <c r="M33" s="10">
        <f>M15/$R15</f>
        <v>0.64832793959007551</v>
      </c>
      <c r="N33" s="10">
        <f>N15/$R15</f>
        <v>0.35167206040992444</v>
      </c>
      <c r="O33" s="10"/>
      <c r="P33" s="10"/>
      <c r="Q33" s="10"/>
      <c r="R33" s="13">
        <f>R15</f>
        <v>14.898139425304995</v>
      </c>
    </row>
    <row r="34" spans="2:37" x14ac:dyDescent="0.3">
      <c r="B34" s="12"/>
      <c r="C34" s="12"/>
      <c r="L34" t="s">
        <v>37</v>
      </c>
      <c r="M34" s="10"/>
      <c r="N34" s="10">
        <f>N16/$R16</f>
        <v>0.35167208109953479</v>
      </c>
      <c r="O34" s="10">
        <f>O16/$R16</f>
        <v>0.42682373640229293</v>
      </c>
      <c r="P34" s="10">
        <f>P16/$R16</f>
        <v>0</v>
      </c>
      <c r="Q34" s="10">
        <f>Q16/$R16</f>
        <v>0.22150418249817222</v>
      </c>
      <c r="R34" s="13">
        <f>R16</f>
        <v>14.898138548816029</v>
      </c>
    </row>
    <row r="35" spans="2:37" x14ac:dyDescent="0.3">
      <c r="B35" s="12"/>
      <c r="C35" s="12"/>
      <c r="K35" t="s">
        <v>11</v>
      </c>
    </row>
    <row r="36" spans="2:37" x14ac:dyDescent="0.3">
      <c r="B36" s="17"/>
      <c r="C36" s="17"/>
      <c r="L36" t="s">
        <v>36</v>
      </c>
      <c r="M36" s="10">
        <f>M18/$R18</f>
        <v>0.36030204962243806</v>
      </c>
      <c r="N36" s="10">
        <f>N18/$R18</f>
        <v>0.63969795037756194</v>
      </c>
      <c r="O36" s="10"/>
      <c r="P36" s="10"/>
      <c r="Q36" s="10"/>
      <c r="R36" s="13">
        <f>R18</f>
        <v>11.173604568978746</v>
      </c>
    </row>
    <row r="37" spans="2:37" x14ac:dyDescent="0.3">
      <c r="L37" t="s">
        <v>37</v>
      </c>
      <c r="M37" s="10"/>
      <c r="N37" s="10">
        <f>N19/$R19</f>
        <v>0.63969795037756194</v>
      </c>
      <c r="O37" s="10">
        <f>O19/$R19</f>
        <v>6.4963157000286112E-2</v>
      </c>
      <c r="P37" s="10">
        <f>P19/$R19</f>
        <v>0</v>
      </c>
      <c r="Q37" s="10">
        <f>Q19/$R19</f>
        <v>0.29533889262215196</v>
      </c>
      <c r="R37" s="13">
        <f>R19</f>
        <v>11.173604568978746</v>
      </c>
    </row>
    <row r="41" spans="2:37" ht="15" customHeight="1" x14ac:dyDescent="0.3">
      <c r="K41" t="s">
        <v>5</v>
      </c>
      <c r="M41" t="s">
        <v>19</v>
      </c>
      <c r="N41" t="s">
        <v>14</v>
      </c>
      <c r="O41" t="s">
        <v>15</v>
      </c>
      <c r="P41" t="s">
        <v>17</v>
      </c>
      <c r="Q41" t="s">
        <v>16</v>
      </c>
      <c r="R41" t="s">
        <v>20</v>
      </c>
    </row>
    <row r="42" spans="2:37" x14ac:dyDescent="0.3">
      <c r="L42" t="s">
        <v>36</v>
      </c>
      <c r="M42" s="10">
        <f t="shared" ref="M42:R43" si="1">M6/$R$6</f>
        <v>0.64832793959007551</v>
      </c>
      <c r="N42" s="10">
        <f t="shared" si="1"/>
        <v>0.35167206040992449</v>
      </c>
      <c r="O42" s="10">
        <f t="shared" si="1"/>
        <v>0</v>
      </c>
      <c r="P42" s="10">
        <f t="shared" si="1"/>
        <v>0</v>
      </c>
      <c r="Q42" s="10">
        <f t="shared" si="1"/>
        <v>0</v>
      </c>
      <c r="R42" s="10">
        <f t="shared" si="1"/>
        <v>1</v>
      </c>
    </row>
    <row r="43" spans="2:37" x14ac:dyDescent="0.3">
      <c r="K43" t="s">
        <v>38</v>
      </c>
      <c r="L43" t="s">
        <v>37</v>
      </c>
      <c r="M43" s="10">
        <f t="shared" si="1"/>
        <v>0</v>
      </c>
      <c r="N43" s="10">
        <f t="shared" si="1"/>
        <v>0.35167206040992449</v>
      </c>
      <c r="O43" s="10">
        <f t="shared" si="1"/>
        <v>0.42682371129135221</v>
      </c>
      <c r="P43" s="10">
        <f t="shared" si="1"/>
        <v>7.442896640025054E-2</v>
      </c>
      <c r="Q43" s="10">
        <f t="shared" si="1"/>
        <v>0.1470752030663634</v>
      </c>
      <c r="R43" s="10">
        <f t="shared" si="1"/>
        <v>0.9999999411678907</v>
      </c>
      <c r="AH43" s="16"/>
      <c r="AI43" s="16"/>
      <c r="AJ43" s="16"/>
    </row>
    <row r="44" spans="2:37" s="20" customFormat="1" x14ac:dyDescent="0.3">
      <c r="B44" s="27"/>
      <c r="C44" s="27"/>
      <c r="D44" s="27"/>
      <c r="L44" s="20" t="s">
        <v>36</v>
      </c>
      <c r="M44" s="39">
        <f t="shared" ref="M44:R45" si="2">M9/$R$6</f>
        <v>0.36030204962243806</v>
      </c>
      <c r="N44" s="39">
        <f t="shared" si="2"/>
        <v>0.63969795037756194</v>
      </c>
      <c r="O44" s="39">
        <f t="shared" si="2"/>
        <v>0</v>
      </c>
      <c r="P44" s="39">
        <f t="shared" si="2"/>
        <v>0</v>
      </c>
      <c r="Q44" s="39">
        <f t="shared" si="2"/>
        <v>0</v>
      </c>
      <c r="R44" s="39">
        <f t="shared" si="2"/>
        <v>1</v>
      </c>
    </row>
    <row r="45" spans="2:37" x14ac:dyDescent="0.3">
      <c r="K45" t="s">
        <v>39</v>
      </c>
      <c r="L45" t="s">
        <v>37</v>
      </c>
      <c r="M45" s="10">
        <f t="shared" si="2"/>
        <v>0</v>
      </c>
      <c r="N45" s="10">
        <f t="shared" si="2"/>
        <v>0.63969795037756194</v>
      </c>
      <c r="O45" s="10">
        <f t="shared" si="2"/>
        <v>0.13879782132371479</v>
      </c>
      <c r="P45" s="10">
        <f t="shared" si="2"/>
        <v>7.4428966400250554E-2</v>
      </c>
      <c r="Q45" s="10">
        <f t="shared" si="2"/>
        <v>0.1470752030663634</v>
      </c>
      <c r="R45" s="10">
        <f t="shared" si="2"/>
        <v>0.9999999411678907</v>
      </c>
    </row>
    <row r="46" spans="2:37" x14ac:dyDescent="0.3">
      <c r="L46" t="s">
        <v>36</v>
      </c>
      <c r="M46" s="10">
        <f t="shared" ref="M46:R47" si="3">M12/$R$6</f>
        <v>0.51126110841222783</v>
      </c>
      <c r="N46" s="10">
        <f t="shared" si="3"/>
        <v>0.23873889158777212</v>
      </c>
      <c r="O46" s="10">
        <f t="shared" si="3"/>
        <v>0</v>
      </c>
      <c r="P46" s="10">
        <f t="shared" si="3"/>
        <v>0</v>
      </c>
      <c r="Q46" s="10">
        <f t="shared" si="3"/>
        <v>0</v>
      </c>
      <c r="R46" s="10">
        <f t="shared" si="3"/>
        <v>0.75</v>
      </c>
    </row>
    <row r="47" spans="2:37" x14ac:dyDescent="0.3">
      <c r="K47" t="s">
        <v>30</v>
      </c>
      <c r="L47" t="s">
        <v>37</v>
      </c>
      <c r="M47" s="10">
        <f t="shared" si="3"/>
        <v>0</v>
      </c>
      <c r="N47" s="10">
        <f t="shared" si="3"/>
        <v>0.23873889158777212</v>
      </c>
      <c r="O47" s="10">
        <f t="shared" si="3"/>
        <v>0.28975693894561383</v>
      </c>
      <c r="P47" s="10">
        <f t="shared" si="3"/>
        <v>7.442896640025054E-2</v>
      </c>
      <c r="Q47" s="10">
        <f t="shared" si="3"/>
        <v>0.1470752030663634</v>
      </c>
      <c r="R47" s="10">
        <f t="shared" si="3"/>
        <v>0.75</v>
      </c>
      <c r="AK47" s="16"/>
    </row>
    <row r="48" spans="2:37" s="20" customFormat="1" x14ac:dyDescent="0.3">
      <c r="B48" s="27"/>
      <c r="C48" s="27"/>
      <c r="D48" s="27"/>
      <c r="L48" s="20" t="s">
        <v>36</v>
      </c>
      <c r="M48" s="39">
        <f t="shared" ref="M48:R49" si="4">M15/$R$6</f>
        <v>0.43047931602560352</v>
      </c>
      <c r="N48" s="39">
        <f t="shared" si="4"/>
        <v>0.23350458739491969</v>
      </c>
      <c r="O48" s="39">
        <f t="shared" si="4"/>
        <v>0</v>
      </c>
      <c r="P48" s="39">
        <f t="shared" si="4"/>
        <v>0</v>
      </c>
      <c r="Q48" s="39">
        <f t="shared" si="4"/>
        <v>0</v>
      </c>
      <c r="R48" s="39">
        <f t="shared" si="4"/>
        <v>0.66398390342052316</v>
      </c>
    </row>
    <row r="49" spans="2:18" s="37" customFormat="1" x14ac:dyDescent="0.3">
      <c r="B49" s="36"/>
      <c r="C49" s="36"/>
      <c r="D49" s="36"/>
      <c r="K49" s="37" t="s">
        <v>11</v>
      </c>
      <c r="L49" s="37" t="s">
        <v>37</v>
      </c>
      <c r="M49" s="38">
        <f t="shared" si="4"/>
        <v>0</v>
      </c>
      <c r="N49" s="38">
        <f t="shared" si="4"/>
        <v>0.23350458739491969</v>
      </c>
      <c r="O49" s="38">
        <f t="shared" si="4"/>
        <v>0.28340407389566646</v>
      </c>
      <c r="P49" s="38">
        <f t="shared" si="4"/>
        <v>0</v>
      </c>
      <c r="Q49" s="38">
        <f t="shared" si="4"/>
        <v>0.1470752030663634</v>
      </c>
      <c r="R49" s="38">
        <f t="shared" si="4"/>
        <v>0.66398386435694967</v>
      </c>
    </row>
    <row r="50" spans="2:18" x14ac:dyDescent="0.3">
      <c r="L50" t="s">
        <v>36</v>
      </c>
      <c r="M50" s="10">
        <f t="shared" ref="M50:R51" si="5">M18/$R$6</f>
        <v>0.17942607098904109</v>
      </c>
      <c r="N50" s="10">
        <f t="shared" si="5"/>
        <v>0.31856185657635128</v>
      </c>
      <c r="O50" s="10">
        <f t="shared" si="5"/>
        <v>0</v>
      </c>
      <c r="P50" s="10">
        <f t="shared" si="5"/>
        <v>0</v>
      </c>
      <c r="Q50" s="10">
        <f t="shared" si="5"/>
        <v>0</v>
      </c>
      <c r="R50" s="10">
        <f t="shared" si="5"/>
        <v>0.4979879275653924</v>
      </c>
    </row>
    <row r="51" spans="2:18" x14ac:dyDescent="0.3">
      <c r="K51" s="16"/>
      <c r="L51" t="s">
        <v>37</v>
      </c>
      <c r="M51" s="10">
        <f t="shared" si="5"/>
        <v>0</v>
      </c>
      <c r="N51" s="10">
        <f t="shared" si="5"/>
        <v>0.31856185657635128</v>
      </c>
      <c r="O51" s="10">
        <f t="shared" si="5"/>
        <v>3.235086792267769E-2</v>
      </c>
      <c r="P51" s="10">
        <f t="shared" si="5"/>
        <v>0</v>
      </c>
      <c r="Q51" s="10">
        <f t="shared" si="5"/>
        <v>0.1470752030663634</v>
      </c>
      <c r="R51" s="10">
        <f t="shared" si="5"/>
        <v>0.4979879275653924</v>
      </c>
    </row>
  </sheetData>
  <mergeCells count="2">
    <mergeCell ref="E2:H2"/>
    <mergeCell ref="K4:P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9796A-3D75-4600-B57A-6012915D34FF}">
  <dimension ref="A1:D9"/>
  <sheetViews>
    <sheetView workbookViewId="0">
      <selection activeCell="D29" sqref="D29"/>
    </sheetView>
  </sheetViews>
  <sheetFormatPr defaultRowHeight="14.4" x14ac:dyDescent="0.3"/>
  <cols>
    <col min="1" max="1" width="14.5546875" customWidth="1"/>
  </cols>
  <sheetData>
    <row r="1" spans="1:4" x14ac:dyDescent="0.3">
      <c r="A1" t="s">
        <v>47</v>
      </c>
    </row>
    <row r="2" spans="1:4" x14ac:dyDescent="0.3">
      <c r="A2" t="s">
        <v>43</v>
      </c>
      <c r="B2" t="s">
        <v>44</v>
      </c>
      <c r="C2" t="s">
        <v>46</v>
      </c>
      <c r="D2" t="s">
        <v>45</v>
      </c>
    </row>
    <row r="3" spans="1:4" x14ac:dyDescent="0.3">
      <c r="A3">
        <v>4</v>
      </c>
      <c r="B3">
        <v>1</v>
      </c>
      <c r="C3">
        <f>A3-B3</f>
        <v>3</v>
      </c>
      <c r="D3" s="10">
        <f>C3/A3</f>
        <v>0.75</v>
      </c>
    </row>
    <row r="4" spans="1:4" x14ac:dyDescent="0.3">
      <c r="A4">
        <v>3.5</v>
      </c>
      <c r="B4">
        <v>1</v>
      </c>
      <c r="C4">
        <f t="shared" ref="C4:C9" si="0">A4-B4</f>
        <v>2.5</v>
      </c>
      <c r="D4" s="10">
        <f t="shared" ref="D4:D8" si="1">C4/A4</f>
        <v>0.7142857142857143</v>
      </c>
    </row>
    <row r="5" spans="1:4" x14ac:dyDescent="0.3">
      <c r="A5">
        <v>3</v>
      </c>
      <c r="B5">
        <v>1</v>
      </c>
      <c r="C5">
        <f t="shared" si="0"/>
        <v>2</v>
      </c>
      <c r="D5" s="10">
        <f t="shared" si="1"/>
        <v>0.66666666666666663</v>
      </c>
    </row>
    <row r="6" spans="1:4" x14ac:dyDescent="0.3">
      <c r="A6">
        <v>2.5</v>
      </c>
      <c r="B6">
        <v>1</v>
      </c>
      <c r="C6">
        <f t="shared" si="0"/>
        <v>1.5</v>
      </c>
      <c r="D6" s="10">
        <f t="shared" si="1"/>
        <v>0.6</v>
      </c>
    </row>
    <row r="7" spans="1:4" x14ac:dyDescent="0.3">
      <c r="A7">
        <v>2</v>
      </c>
      <c r="B7">
        <v>1</v>
      </c>
      <c r="C7">
        <f t="shared" si="0"/>
        <v>1</v>
      </c>
      <c r="D7" s="10">
        <f t="shared" si="1"/>
        <v>0.5</v>
      </c>
    </row>
    <row r="8" spans="1:4" x14ac:dyDescent="0.3">
      <c r="A8">
        <v>1.5</v>
      </c>
      <c r="B8">
        <v>1</v>
      </c>
      <c r="C8">
        <f t="shared" si="0"/>
        <v>0.5</v>
      </c>
      <c r="D8" s="10">
        <f t="shared" si="1"/>
        <v>0.33333333333333331</v>
      </c>
    </row>
    <row r="9" spans="1:4" x14ac:dyDescent="0.3">
      <c r="A9">
        <v>1</v>
      </c>
      <c r="B9">
        <v>1</v>
      </c>
      <c r="C9">
        <f t="shared" si="0"/>
        <v>0</v>
      </c>
      <c r="D9" s="10">
        <f>C9/A9</f>
        <v>0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05af71e-9e53-403e-a9a5-bddf0a26d8ed">
      <Terms xmlns="http://schemas.microsoft.com/office/infopath/2007/PartnerControls"/>
    </lcf76f155ced4ddcb4097134ff3c332f>
    <TaxCatchAll xmlns="7b2ee4d3-5d35-4661-ac1e-fe01c7ca7f1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F98B6498F9A84D9F22E54052775D79" ma:contentTypeVersion="16" ma:contentTypeDescription="Create a new document." ma:contentTypeScope="" ma:versionID="ce07e0bcdc40c1e2fe39fc68768cfd0b">
  <xsd:schema xmlns:xsd="http://www.w3.org/2001/XMLSchema" xmlns:xs="http://www.w3.org/2001/XMLSchema" xmlns:p="http://schemas.microsoft.com/office/2006/metadata/properties" xmlns:ns2="7b2ee4d3-5d35-4661-ac1e-fe01c7ca7f18" xmlns:ns3="105af71e-9e53-403e-a9a5-bddf0a26d8ed" targetNamespace="http://schemas.microsoft.com/office/2006/metadata/properties" ma:root="true" ma:fieldsID="7a0a8ef14280eeb35484eb99b16d396e" ns2:_="" ns3:_="">
    <xsd:import namespace="7b2ee4d3-5d35-4661-ac1e-fe01c7ca7f18"/>
    <xsd:import namespace="105af71e-9e53-403e-a9a5-bddf0a26d8e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2ee4d3-5d35-4661-ac1e-fe01c7ca7f1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e12a370-d901-497e-9ac9-8960ead53d54}" ma:internalName="TaxCatchAll" ma:showField="CatchAllData" ma:web="7b2ee4d3-5d35-4661-ac1e-fe01c7ca7f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5af71e-9e53-403e-a9a5-bddf0a26d8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f9fc2d29-e47d-4962-b2bb-d877dae466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2247A32-F2A0-46CB-A9AD-63B72FB3E71F}">
  <ds:schemaRefs>
    <ds:schemaRef ds:uri="http://schemas.microsoft.com/office/2006/metadata/properties"/>
    <ds:schemaRef ds:uri="http://schemas.microsoft.com/office/infopath/2007/PartnerControls"/>
    <ds:schemaRef ds:uri="105af71e-9e53-403e-a9a5-bddf0a26d8ed"/>
    <ds:schemaRef ds:uri="7b2ee4d3-5d35-4661-ac1e-fe01c7ca7f18"/>
  </ds:schemaRefs>
</ds:datastoreItem>
</file>

<file path=customXml/itemProps2.xml><?xml version="1.0" encoding="utf-8"?>
<ds:datastoreItem xmlns:ds="http://schemas.openxmlformats.org/officeDocument/2006/customXml" ds:itemID="{1B82EB33-216F-48FB-9448-54C3D09D0B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51076C-5925-47AC-80A5-B3581A660E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2ee4d3-5d35-4661-ac1e-fe01c7ca7f18"/>
    <ds:schemaRef ds:uri="105af71e-9e53-403e-a9a5-bddf0a26d8e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scenario calculations</vt:lpstr>
      <vt:lpstr>NIF &amp; Recovery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Spiller</dc:creator>
  <cp:lastModifiedBy>Marc Spiller</cp:lastModifiedBy>
  <dcterms:created xsi:type="dcterms:W3CDTF">2023-06-20T11:36:42Z</dcterms:created>
  <dcterms:modified xsi:type="dcterms:W3CDTF">2023-06-26T07:15:10Z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0x0101000EF98B6498F9A84D9F22E54052775D79</vt:lpwstr>
  </property>
</Properties>
</file>